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C:\Program Files (x86)\Caseware\Data\IRD602 - Tax Credit Assembly - Second Round 2025 (Sync)\"/>
    </mc:Choice>
  </mc:AlternateContent>
  <xr:revisionPtr revIDLastSave="0" documentId="13_ncr:1_{D592FE1D-BEF0-481F-95D5-AE8CC8082A10}" xr6:coauthVersionLast="47" xr6:coauthVersionMax="47" xr10:uidLastSave="{00000000-0000-0000-0000-000000000000}"/>
  <bookViews>
    <workbookView xWindow="28680" yWindow="-870" windowWidth="29040" windowHeight="15720" tabRatio="74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6">'CalHFA Addendum'!$A$1:$BE$249</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7" i="7" l="1"/>
  <c r="AG66" i="7"/>
  <c r="AE67" i="7"/>
  <c r="AE66" i="7"/>
  <c r="AC67" i="7"/>
  <c r="AC66" i="7"/>
  <c r="AA67" i="7"/>
  <c r="AA66" i="7"/>
  <c r="Y67" i="7"/>
  <c r="Y66" i="7"/>
  <c r="W67" i="7"/>
  <c r="W66" i="7"/>
  <c r="U67" i="7"/>
  <c r="U66" i="7"/>
  <c r="U62" i="7"/>
  <c r="F115" i="23" l="1"/>
  <c r="AM557" i="3"/>
  <c r="U209" i="23"/>
  <c r="AC886" i="3"/>
  <c r="AM555" i="3"/>
  <c r="AM554" i="3"/>
  <c r="F31" i="4"/>
  <c r="J45" i="4"/>
  <c r="I99" i="4"/>
  <c r="C99" i="4"/>
  <c r="F30" i="4"/>
  <c r="C83" i="4"/>
  <c r="C30" i="4"/>
  <c r="J30" i="4" l="1"/>
  <c r="E31" i="4"/>
  <c r="AU190" i="23"/>
  <c r="W871" i="3"/>
  <c r="W866" i="3"/>
  <c r="W861" i="3"/>
  <c r="W862" i="3" s="1"/>
  <c r="W846" i="3"/>
  <c r="W847" i="3" s="1"/>
  <c r="S51" i="4"/>
  <c r="E45" i="4"/>
  <c r="S65" i="4"/>
  <c r="C93" i="4"/>
  <c r="E93" i="4" s="1"/>
  <c r="E86" i="4"/>
  <c r="E85" i="4"/>
  <c r="E80" i="4"/>
  <c r="E79" i="4"/>
  <c r="E76" i="4"/>
  <c r="E75" i="4"/>
  <c r="E74" i="4"/>
  <c r="E66" i="4"/>
  <c r="E61" i="4"/>
  <c r="E58" i="4"/>
  <c r="E56" i="4"/>
  <c r="E52" i="4"/>
  <c r="E50" i="4"/>
  <c r="E48" i="4"/>
  <c r="E46" i="4"/>
  <c r="E36" i="4"/>
  <c r="E35" i="4"/>
  <c r="C43" i="4"/>
  <c r="E43" i="4" s="1"/>
  <c r="C53" i="4"/>
  <c r="E53" i="4" s="1"/>
  <c r="E94" i="4"/>
  <c r="C69" i="4"/>
  <c r="E69" i="4" s="1"/>
  <c r="E92" i="4"/>
  <c r="C65" i="4"/>
  <c r="E65" i="4" s="1"/>
  <c r="C51" i="4"/>
  <c r="E51" i="4" s="1"/>
  <c r="C91" i="4"/>
  <c r="E91" i="4" s="1"/>
  <c r="E83" i="4"/>
  <c r="C40" i="4"/>
  <c r="E40" i="4" s="1"/>
  <c r="C89" i="4"/>
  <c r="E89" i="4" s="1"/>
  <c r="E33" i="4"/>
  <c r="E32" i="4"/>
  <c r="E29" i="4"/>
  <c r="F4" i="4"/>
  <c r="B150" i="20"/>
  <c r="AA948" i="3"/>
  <c r="AA934" i="3"/>
  <c r="N11" i="23" s="1"/>
  <c r="AA919" i="3"/>
  <c r="AA918" i="3"/>
  <c r="Z655" i="3"/>
  <c r="Z654" i="3"/>
  <c r="Z653" i="3"/>
  <c r="Z652" i="3"/>
  <c r="G655" i="3"/>
  <c r="G654" i="3"/>
  <c r="G653" i="3"/>
  <c r="G652" i="3"/>
  <c r="Z647" i="3"/>
  <c r="Z646" i="3"/>
  <c r="Z645" i="3"/>
  <c r="Z644" i="3"/>
  <c r="BE103" i="3"/>
  <c r="AC216" i="23"/>
  <c r="Y216" i="23"/>
  <c r="U216" i="23"/>
  <c r="BQ102" i="23"/>
  <c r="BQ101" i="23"/>
  <c r="W879" i="3"/>
  <c r="W855"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P49" i="21" s="1" a="1"/>
  <c r="P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9" i="21" l="1"/>
  <c r="U46" i="21"/>
  <c r="P52" i="21" a="1"/>
  <c r="P52" i="21" s="1"/>
  <c r="S30" i="4"/>
  <c r="U51" i="21"/>
  <c r="E99" i="4"/>
  <c r="AU191" i="23" s="1"/>
  <c r="O50" i="21"/>
  <c r="T49" i="21"/>
  <c r="T46" i="21"/>
  <c r="O49" i="21"/>
  <c r="S46" i="21"/>
  <c r="W872" i="3"/>
  <c r="T45" i="21"/>
  <c r="R51" i="21" a="1"/>
  <c r="R51" i="21" s="1"/>
  <c r="S50" i="21"/>
  <c r="S48" i="21"/>
  <c r="U50" i="21"/>
  <c r="S52" i="21"/>
  <c r="P50" i="21" a="1"/>
  <c r="P50" i="21" s="1"/>
  <c r="U45" i="21"/>
  <c r="S49" i="21"/>
  <c r="T47" i="21"/>
  <c r="R53" i="21" a="1"/>
  <c r="R53" i="21" s="1"/>
  <c r="R49" i="21" a="1"/>
  <c r="R49" i="21" s="1"/>
  <c r="S47" i="21"/>
  <c r="U47" i="21"/>
  <c r="R47" i="21" a="1"/>
  <c r="R47" i="21" s="1"/>
  <c r="S45" i="21"/>
  <c r="U53" i="21"/>
  <c r="T51" i="21"/>
  <c r="U48" i="21"/>
  <c r="T53" i="21"/>
  <c r="S51" i="21"/>
  <c r="T48" i="21"/>
  <c r="P51" i="21" a="1"/>
  <c r="P51" i="21" s="1"/>
  <c r="R48" i="21" a="1"/>
  <c r="R48" i="21" s="1"/>
  <c r="P48" i="21" a="1"/>
  <c r="P48"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B36" i="4"/>
  <c r="B66" i="4"/>
  <c r="B67" i="4"/>
  <c r="B68" i="4"/>
  <c r="B69" i="4"/>
  <c r="R66" i="4"/>
  <c r="S66" i="4" s="1"/>
  <c r="S70" i="4" s="1"/>
  <c r="E70" i="13" s="1"/>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R84" i="4"/>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3" i="13"/>
  <c r="E90" i="13"/>
  <c r="E87" i="13"/>
  <c r="E84" i="13"/>
  <c r="E65" i="13"/>
  <c r="E51" i="13"/>
  <c r="E49" i="13"/>
  <c r="E47" i="13"/>
  <c r="E45" i="13"/>
  <c r="E41" i="13"/>
  <c r="E34"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S94" i="4" s="1"/>
  <c r="E94" i="13" s="1"/>
  <c r="R93" i="4"/>
  <c r="R92" i="4"/>
  <c r="S92" i="4" s="1"/>
  <c r="E92" i="13" s="1"/>
  <c r="R90" i="4"/>
  <c r="R89" i="4"/>
  <c r="S89" i="4" s="1"/>
  <c r="E89" i="13" s="1"/>
  <c r="R88" i="4"/>
  <c r="R87" i="4"/>
  <c r="R86" i="4"/>
  <c r="S86" i="4" s="1"/>
  <c r="E86" i="13" s="1"/>
  <c r="R85" i="4"/>
  <c r="S85" i="4" s="1"/>
  <c r="E85" i="13" s="1"/>
  <c r="R83" i="4"/>
  <c r="R76" i="4"/>
  <c r="R75" i="4"/>
  <c r="R72" i="4"/>
  <c r="R73" i="4"/>
  <c r="R74" i="4"/>
  <c r="R69" i="4"/>
  <c r="R65" i="4"/>
  <c r="R61" i="4"/>
  <c r="R60" i="4"/>
  <c r="R59" i="4"/>
  <c r="R58" i="4"/>
  <c r="R57" i="4"/>
  <c r="R56" i="4"/>
  <c r="R53" i="4"/>
  <c r="S53" i="4" s="1"/>
  <c r="E53" i="13" s="1"/>
  <c r="R52" i="4"/>
  <c r="S52" i="4" s="1"/>
  <c r="E52" i="13" s="1"/>
  <c r="R51" i="4"/>
  <c r="R50" i="4"/>
  <c r="S50" i="4" s="1"/>
  <c r="R49" i="4"/>
  <c r="R48" i="4"/>
  <c r="S48" i="4" s="1"/>
  <c r="E48" i="13" s="1"/>
  <c r="R47" i="4"/>
  <c r="R46" i="4"/>
  <c r="S46" i="4" s="1"/>
  <c r="E46" i="13" s="1"/>
  <c r="R45" i="4"/>
  <c r="R43" i="4"/>
  <c r="S43" i="4" s="1"/>
  <c r="E43" i="13" s="1"/>
  <c r="R41" i="4"/>
  <c r="R40" i="4"/>
  <c r="S40" i="4" s="1"/>
  <c r="S42" i="4" s="1"/>
  <c r="E42" i="13" s="1"/>
  <c r="R37" i="4"/>
  <c r="S37" i="4" s="1"/>
  <c r="E37" i="13" s="1"/>
  <c r="R35" i="4"/>
  <c r="S35" i="4" s="1"/>
  <c r="E35" i="13" s="1"/>
  <c r="R34" i="4"/>
  <c r="R33" i="4"/>
  <c r="S33" i="4" s="1"/>
  <c r="E33" i="13" s="1"/>
  <c r="R32" i="4"/>
  <c r="S32" i="4" s="1"/>
  <c r="E32" i="13" s="1"/>
  <c r="R31" i="4"/>
  <c r="S31" i="4" s="1"/>
  <c r="E31" i="13" s="1"/>
  <c r="R30" i="4"/>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81" i="4" l="1"/>
  <c r="E81" i="13" s="1"/>
  <c r="E66" i="13"/>
  <c r="E40" i="13"/>
  <c r="S54" i="4"/>
  <c r="E54" i="13" s="1"/>
  <c r="S96" i="4"/>
  <c r="E96" i="13" s="1"/>
  <c r="D35" i="11"/>
  <c r="E50" i="13"/>
  <c r="S38" i="4"/>
  <c r="E38" i="13" s="1"/>
  <c r="E30" i="13"/>
  <c r="S104" i="4"/>
  <c r="E104" i="13" s="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BA1058" i="3" l="1"/>
  <c r="S63" i="4"/>
  <c r="E63" i="13" s="1"/>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S105" i="4" s="1"/>
  <c r="O28" i="21"/>
  <c r="P28" i="21" s="1" a="1"/>
  <c r="P28" i="21" s="1"/>
  <c r="S28" i="21" s="1"/>
  <c r="O27" i="2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AB47" i="15" s="1"/>
  <c r="BE101" i="3"/>
  <c r="AK84" i="20"/>
  <c r="AK191" i="20" s="1"/>
  <c r="T811" i="20" s="1"/>
  <c r="AF811" i="20" s="1"/>
  <c r="BE76" i="3" s="1"/>
  <c r="D13" i="11"/>
  <c r="B97" i="13"/>
  <c r="B97" i="4"/>
  <c r="AZ1046" i="3"/>
  <c r="E97" i="13"/>
  <c r="B105" i="13"/>
  <c r="AG269" i="20"/>
  <c r="O58" i="7"/>
  <c r="Q53" i="7"/>
  <c r="T105" i="4"/>
  <c r="H97" i="13"/>
  <c r="P29" i="21" a="1"/>
  <c r="P29" i="21" s="1"/>
  <c r="S29" i="21" s="1"/>
  <c r="P31" i="21" a="1"/>
  <c r="P31" i="21" s="1"/>
  <c r="S31" i="21" s="1"/>
  <c r="P30" i="21" a="1"/>
  <c r="P30" i="21" s="1"/>
  <c r="S30" i="21" s="1"/>
  <c r="P27" i="21" a="1"/>
  <c r="P27" i="21" s="1"/>
  <c r="S27"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N185" i="23"/>
  <c r="BE22" i="3"/>
  <c r="AB49" i="15"/>
  <c r="AB50" i="15" s="1"/>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BE62" i="3" l="1"/>
  <c r="AJ1041" i="3"/>
  <c r="AJ1016" i="3"/>
  <c r="AC456" i="3"/>
  <c r="BE44" i="3"/>
  <c r="F457" i="3"/>
  <c r="AD11" i="15"/>
  <c r="AD23" i="15" s="1"/>
  <c r="AD26" i="15" s="1"/>
  <c r="AD28" i="15" s="1"/>
  <c r="AI11" i="15"/>
  <c r="AI23" i="15" s="1"/>
  <c r="AI26" i="15" s="1"/>
  <c r="AI28" i="15"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AB54" i="15" l="1"/>
  <c r="AB55" i="15" s="1"/>
  <c r="T11" i="15"/>
  <c r="T23" i="15" s="1"/>
  <c r="T26" i="15" s="1"/>
  <c r="T28" i="15" s="1"/>
  <c r="Y11" i="15"/>
  <c r="Y23" i="15" s="1"/>
  <c r="Y26" i="15" s="1"/>
  <c r="Y28"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Y64" i="15"/>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AC53" i="7" l="1"/>
  <c r="AA58" i="7"/>
  <c r="M26" i="3"/>
  <c r="BE19" i="3" s="1"/>
  <c r="U4" i="7"/>
  <c r="S5" i="7"/>
  <c r="M48" i="7"/>
  <c r="M47" i="7"/>
  <c r="M60" i="7"/>
  <c r="O45" i="7"/>
  <c r="O49" i="7"/>
  <c r="K62" i="7"/>
  <c r="Q7" i="7"/>
  <c r="Q11" i="7" s="1"/>
  <c r="Q37" i="7" s="1"/>
  <c r="S6" i="7"/>
  <c r="I70" i="7"/>
  <c r="I72" i="7" s="1"/>
  <c r="W22" i="7"/>
  <c r="W35" i="7" s="1"/>
  <c r="Y15" i="7"/>
  <c r="W9" i="7"/>
  <c r="Y8" i="7"/>
  <c r="AE53" i="7" l="1"/>
  <c r="AC58" i="7"/>
  <c r="AB57" i="15"/>
  <c r="P204" i="3"/>
  <c r="U5" i="7"/>
  <c r="W4" i="7"/>
  <c r="Q49" i="7"/>
  <c r="Q45" i="7"/>
  <c r="M62"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2" i="7"/>
  <c r="Q60" i="7"/>
  <c r="Q48" i="7"/>
  <c r="Q47" i="7"/>
  <c r="S49" i="7"/>
  <c r="S45" i="7"/>
  <c r="AC15" i="7"/>
  <c r="AA22" i="7"/>
  <c r="AA35" i="7" s="1"/>
  <c r="AC8" i="7"/>
  <c r="AA9" i="7"/>
  <c r="AB78" i="15" l="1"/>
  <c r="AB79" i="15" s="1"/>
  <c r="AB81" i="15" s="1"/>
  <c r="J82" i="15" s="1"/>
  <c r="AA4" i="7"/>
  <c r="Y5" i="7"/>
  <c r="Y6" i="7"/>
  <c r="W7" i="7"/>
  <c r="W11" i="7" s="1"/>
  <c r="W37" i="7" s="1"/>
  <c r="U45" i="7"/>
  <c r="U49" i="7"/>
  <c r="Q62" i="7"/>
  <c r="S48" i="7"/>
  <c r="S47" i="7"/>
  <c r="S60" i="7"/>
  <c r="O70" i="7"/>
  <c r="O72" i="7" s="1"/>
  <c r="AE15" i="7"/>
  <c r="AC22" i="7"/>
  <c r="AC35" i="7" s="1"/>
  <c r="AC9" i="7"/>
  <c r="AE8" i="7"/>
  <c r="M27" i="3" l="1"/>
  <c r="BE20" i="3" s="1"/>
  <c r="I10" i="21"/>
  <c r="I11" i="21" s="1"/>
  <c r="AA5" i="7"/>
  <c r="AC4"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Y49" i="7"/>
  <c r="Y45" i="7"/>
  <c r="W60" i="7"/>
  <c r="W47" i="7"/>
  <c r="W48" i="7"/>
  <c r="AE5" i="7" l="1"/>
  <c r="AG4" i="7"/>
  <c r="AA45" i="7"/>
  <c r="AA49" i="7"/>
  <c r="U70" i="7"/>
  <c r="U72" i="7" s="1"/>
  <c r="Y47" i="7"/>
  <c r="Y48" i="7"/>
  <c r="Y60" i="7"/>
  <c r="AE6" i="7"/>
  <c r="AC7" i="7"/>
  <c r="AC11" i="7" s="1"/>
  <c r="AC37" i="7" s="1"/>
  <c r="AG5" i="7" l="1"/>
  <c r="W70" i="7"/>
  <c r="W72" i="7" s="1"/>
  <c r="AA60" i="7"/>
  <c r="AA47" i="7"/>
  <c r="AA48" i="7"/>
  <c r="AC45" i="7"/>
  <c r="AC49" i="7"/>
  <c r="AE7" i="7"/>
  <c r="AE11" i="7" s="1"/>
  <c r="AE37" i="7" s="1"/>
  <c r="AG6" i="7"/>
  <c r="Y70" i="7" l="1"/>
  <c r="Y72" i="7" s="1"/>
  <c r="AG7" i="7"/>
  <c r="AG11" i="7" s="1"/>
  <c r="AG37" i="7" s="1"/>
  <c r="AE49" i="7"/>
  <c r="AE45" i="7"/>
  <c r="AC60" i="7"/>
  <c r="AC48" i="7"/>
  <c r="AC47" i="7"/>
  <c r="AA70" i="7" l="1"/>
  <c r="AA72" i="7" s="1"/>
  <c r="AE47" i="7"/>
  <c r="AE60" i="7"/>
  <c r="AE48" i="7"/>
  <c r="AG49" i="7"/>
  <c r="AG45" i="7"/>
  <c r="AG48" i="7" l="1"/>
  <c r="AG60" i="7"/>
  <c r="AG47" i="7"/>
  <c r="AC70" i="7"/>
  <c r="AC72" i="7" s="1"/>
  <c r="AE70" i="7" l="1"/>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<sst xmlns="http://schemas.openxmlformats.org/spreadsheetml/2006/main" count="5018" uniqueCount="2813">
  <si>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</si>
  <si>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</si>
  <si>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</si>
  <si>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</si>
  <si>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</si>
  <si>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</si>
  <si>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</si>
  <si>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</si>
  <si>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</si>
  <si>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</si>
  <si>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</si>
  <si>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</si>
  <si>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</si>
  <si>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</si>
  <si>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</si>
  <si>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</si>
  <si>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</si>
  <si>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</si>
  <si>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</si>
  <si>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</si>
  <si>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</si>
  <si>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</si>
  <si>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</si>
  <si>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</si>
  <si>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</si>
  <si>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</si>
  <si>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</si>
  <si>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</si>
  <si>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</si>
  <si>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</si>
  <si>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</si>
  <si>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</si>
  <si>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</si>
  <si>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</si>
  <si>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</si>
  <si>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</si>
  <si>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</si>
  <si>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</si>
  <si>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</si>
  <si>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</si>
  <si>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</si>
  <si>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</si>
  <si>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</si>
  <si>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</si>
  <si>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</si>
  <si>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</si>
  <si>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</si>
  <si>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</si>
  <si>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</si>
  <si>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</si>
  <si>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</si>
  <si>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</si>
  <si>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</si>
  <si>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</si>
  <si>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</si>
  <si>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</si>
  <si>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</si>
  <si>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</si>
  <si>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</si>
  <si>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</si>
  <si>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</si>
  <si>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</si>
  <si>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</si>
  <si>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</si>
  <si>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</si>
  <si>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</si>
  <si>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</si>
  <si>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</si>
  <si>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</si>
  <si>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</si>
  <si>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</si>
  <si>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</si>
  <si>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</si>
  <si>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</si>
  <si>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</si>
  <si>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</si>
  <si>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</si>
  <si>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</si>
  <si>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</si>
  <si>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</si>
  <si>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</si>
  <si>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</si>
  <si>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</si>
  <si>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</si>
  <si>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</si>
  <si>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</si>
  <si>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</si>
  <si>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</si>
  <si>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</si>
  <si>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</si>
  <si>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</si>
  <si>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</si>
  <si>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</si>
  <si>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</si>
  <si>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</si>
  <si>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</si>
  <si>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</si>
  <si>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</si>
  <si>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</si>
  <si>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</si>
  <si>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</si>
  <si>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</si>
  <si>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</si>
  <si>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</si>
  <si>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</si>
  <si>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</si>
  <si>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</si>
  <si>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</si>
  <si>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</si>
  <si>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</si>
  <si>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</si>
  <si>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</si>
  <si>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</si>
  <si>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</si>
  <si>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</si>
  <si>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</si>
  <si>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</si>
  <si>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</si>
  <si>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</si>
  <si>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</si>
  <si>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</si>
  <si>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</si>
  <si>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</si>
  <si>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</si>
  <si>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</si>
  <si>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</si>
  <si>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</si>
  <si>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</si>
  <si>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</si>
  <si>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</si>
  <si>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</si>
  <si>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</si>
  <si>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</si>
  <si>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</si>
  <si>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</si>
  <si>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</si>
  <si>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</si>
  <si>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</si>
  <si>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</si>
  <si>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</si>
  <si>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</si>
  <si>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</si>
  <si>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</si>
  <si>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</si>
  <si>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</si>
  <si>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</si>
  <si>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</si>
  <si>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</si>
  <si>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</si>
  <si>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</si>
  <si>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</si>
  <si>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</si>
  <si>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</si>
  <si>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</si>
  <si>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</si>
  <si>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</si>
  <si>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</si>
  <si>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</si>
  <si>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</si>
  <si>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</si>
  <si>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</si>
  <si>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</si>
  <si>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</si>
  <si>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</si>
  <si>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</si>
  <si>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</si>
  <si>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</si>
  <si>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</si>
  <si>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</si>
  <si>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</si>
  <si>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</si>
  <si>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</si>
  <si>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</si>
  <si>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</si>
  <si>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</si>
  <si>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</si>
  <si>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</si>
  <si>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</si>
  <si>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</si>
  <si>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</si>
  <si>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</si>
  <si>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</si>
  <si>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</si>
  <si>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</si>
  <si>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</si>
  <si>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</si>
  <si>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</si>
  <si>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</si>
  <si>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</si>
  <si>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</si>
  <si>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</si>
  <si>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</si>
  <si>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</si>
  <si>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</si>
  <si>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</si>
  <si>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</si>
  <si>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</si>
  <si>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</si>
  <si>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</si>
  <si>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</si>
  <si>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</si>
  <si>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</si>
  <si>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</si>
  <si>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</si>
  <si>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</si>
  <si>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</si>
  <si>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</si>
  <si>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</si>
  <si>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</si>
  <si>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</si>
  <si>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</si>
  <si>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</si>
  <si>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</si>
  <si>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</si>
  <si>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</si>
  <si>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</si>
  <si>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</si>
  <si>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</si>
  <si>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</si>
  <si>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</si>
  <si>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</si>
  <si>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</si>
  <si>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</si>
  <si>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</si>
  <si>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</si>
  <si>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</si>
  <si>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</si>
  <si>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</si>
  <si>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</si>
  <si>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</si>
  <si>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</si>
  <si>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</si>
  <si>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</si>
  <si>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</si>
  <si>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</si>
  <si>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</si>
  <si>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</si>
  <si>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</si>
  <si>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</si>
  <si>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</si>
  <si>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</si>
  <si>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</si>
  <si>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</si>
  <si>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</si>
  <si>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</si>
  <si>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</si>
  <si>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</si>
  <si>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</si>
  <si>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</si>
  <si>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</si>
  <si>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</si>
  <si>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</si>
  <si>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</si>
  <si>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</si>
  <si>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</si>
  <si>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</si>
  <si>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</si>
  <si>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</si>
  <si>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</si>
  <si>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</si>
  <si>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</si>
  <si>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</si>
  <si>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</si>
  <si>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</si>
  <si>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</si>
  <si>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</si>
  <si>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</si>
  <si>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</si>
  <si>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</si>
  <si>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</si>
  <si>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</si>
  <si>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</si>
  <si>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</si>
  <si>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</si>
  <si>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</si>
  <si>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</si>
  <si>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</si>
  <si>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</si>
  <si>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</si>
  <si>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</si>
  <si>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</si>
  <si>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</si>
  <si>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</si>
  <si>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</si>
  <si>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</si>
  <si>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</si>
  <si>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</si>
  <si>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</si>
  <si>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</si>
  <si>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</si>
  <si>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</si>
  <si>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</si>
  <si>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</si>
  <si>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</si>
  <si>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</si>
  <si>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</si>
  <si>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</si>
  <si>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</si>
  <si>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</si>
  <si>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</si>
  <si>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</si>
  <si>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</si>
  <si>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</si>
  <si>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</si>
  <si>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</si>
  <si>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</si>
  <si>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</si>
  <si>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</si>
  <si>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</si>
  <si>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</si>
  <si>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</si>
  <si>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</si>
  <si>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</si>
  <si>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</si>
  <si>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</si>
  <si>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</si>
  <si>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</si>
  <si>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</si>
  <si>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</si>
  <si>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</si>
  <si>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</si>
  <si>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</si>
  <si>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</si>
  <si>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</si>
  <si>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</si>
  <si>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</si>
  <si>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</si>
  <si>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</si>
  <si>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</si>
  <si>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</si>
  <si>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</si>
  <si>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</si>
  <si>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</si>
  <si>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</si>
  <si>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</si>
  <si>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</si>
  <si>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</si>
  <si>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</si>
  <si>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</si>
  <si>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</si>
  <si>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</si>
  <si>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</si>
  <si>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</si>
  <si>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</si>
  <si>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</si>
  <si>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</si>
  <si>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</si>
  <si>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</si>
  <si>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</si>
  <si>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</si>
  <si>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</si>
  <si>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</si>
  <si>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</si>
  <si>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</si>
  <si>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</si>
  <si>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</si>
  <si>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</si>
  <si>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</si>
  <si>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</si>
  <si>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</si>
  <si>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</si>
  <si>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</si>
  <si>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</si>
  <si>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</si>
  <si>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</si>
  <si>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</si>
  <si>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</si>
  <si>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</si>
  <si>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</si>
  <si>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</si>
  <si>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</si>
  <si>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</si>
  <si>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</si>
  <si>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</si>
  <si>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</si>
  <si>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</si>
  <si>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</si>
  <si>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</si>
  <si>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</si>
  <si>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</si>
  <si>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</si>
  <si>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</si>
  <si>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</si>
  <si>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</si>
  <si>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</si>
  <si>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</si>
  <si>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</si>
  <si>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</si>
  <si>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</si>
  <si>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</si>
  <si>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</si>
  <si>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</si>
  <si>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</si>
  <si>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</si>
  <si>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</si>
  <si>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</si>
  <si>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</si>
  <si>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</si>
  <si>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</si>
  <si>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</si>
  <si>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</si>
  <si>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</si>
  <si>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</si>
  <si>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</si>
  <si>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</si>
  <si>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</si>
  <si>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</si>
  <si>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</si>
  <si>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</si>
  <si>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</si>
  <si>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</si>
  <si>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</si>
  <si>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</si>
  <si>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</si>
  <si>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</si>
  <si>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</si>
  <si>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</si>
  <si>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</si>
  <si>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</si>
  <si>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</si>
  <si>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</si>
  <si>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</si>
  <si>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</si>
  <si>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</si>
  <si>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</si>
  <si>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</si>
  <si>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</si>
  <si>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</si>
  <si>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</si>
  <si>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</si>
  <si>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</si>
  <si>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</si>
  <si>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</si>
  <si>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</si>
  <si>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</si>
  <si>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</si>
  <si>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</si>
  <si>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</si>
  <si>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</si>
  <si>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</si>
  <si>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</si>
  <si>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</si>
  <si>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</si>
  <si>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</si>
  <si>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</si>
  <si>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</si>
  <si>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</si>
  <si>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</si>
  <si>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</si>
  <si>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</si>
  <si>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</si>
  <si>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</si>
  <si>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</si>
  <si>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</si>
  <si>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</si>
  <si>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</si>
  <si>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</si>
  <si>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</si>
  <si>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</si>
  <si>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</si>
  <si>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</si>
  <si>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</si>
  <si>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</si>
  <si>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</si>
  <si>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</si>
  <si>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</si>
  <si>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</si>
  <si>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</si>
  <si>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</si>
  <si>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</si>
  <si>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</si>
  <si>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</si>
  <si>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</si>
  <si>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</si>
  <si>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</si>
  <si>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</si>
  <si>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</si>
  <si>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</si>
  <si>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</si>
  <si>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</si>
  <si>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</si>
  <si>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</si>
  <si>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</si>
  <si>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</si>
  <si>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</si>
  <si>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</si>
  <si>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</si>
  <si>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</si>
  <si>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</si>
  <si>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</si>
  <si>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</si>
  <si>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</si>
  <si>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</si>
  <si>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</si>
  <si>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</si>
  <si>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</si>
  <si>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</si>
  <si>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</si>
  <si>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</si>
  <si>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</si>
  <si>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</si>
  <si>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</si>
  <si>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</si>
  <si>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</si>
  <si>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</si>
  <si>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</si>
  <si>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</si>
  <si>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</si>
  <si>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</si>
  <si>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</si>
  <si>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</si>
  <si>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</si>
  <si>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</si>
  <si>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</si>
  <si>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</si>
  <si>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</si>
  <si>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</si>
  <si>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</si>
  <si>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</si>
  <si>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</si>
  <si>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</si>
  <si>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</si>
  <si>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</si>
  <si>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</si>
  <si>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</si>
  <si>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</si>
  <si>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</si>
  <si>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</si>
  <si>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</si>
  <si>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</si>
  <si>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</si>
  <si>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</si>
  <si>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</si>
  <si>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</si>
  <si>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</si>
  <si>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</si>
  <si>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</si>
  <si>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</si>
  <si>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</si>
  <si>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</si>
  <si>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</si>
  <si>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</si>
  <si>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</si>
  <si>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</si>
  <si>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</si>
  <si>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</si>
  <si>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</si>
  <si>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</si>
  <si>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</si>
  <si>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</si>
  <si>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</si>
  <si>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</si>
  <si>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</si>
  <si>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</si>
  <si>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</si>
  <si>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</si>
  <si>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</si>
  <si>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</si>
  <si>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</si>
  <si>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</si>
  <si>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</si>
  <si>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</si>
  <si>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</si>
  <si>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</si>
  <si>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</si>
  <si>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</si>
  <si>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</si>
  <si>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</si>
  <si>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</si>
  <si>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</si>
  <si>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</si>
  <si>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</si>
  <si>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</si>
  <si>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</si>
  <si>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</si>
  <si>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</si>
  <si>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</si>
  <si>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</si>
  <si>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</si>
  <si>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</si>
  <si>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</si>
  <si>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</si>
  <si>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</si>
  <si>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</si>
  <si>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</si>
  <si>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</si>
  <si>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</si>
  <si>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</si>
  <si>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</si>
  <si>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</si>
  <si>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</si>
  <si>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</si>
  <si>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</si>
  <si>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</si>
  <si>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</si>
  <si>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</si>
  <si>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</si>
  <si>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</si>
  <si>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</si>
  <si>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</si>
  <si>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</si>
  <si>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</si>
  <si>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</si>
  <si>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</si>
  <si>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</si>
  <si>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</si>
  <si>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</si>
  <si>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</si>
  <si>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</si>
  <si>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</si>
  <si>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</si>
  <si>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</si>
  <si>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</si>
  <si>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</si>
  <si>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</si>
  <si>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</si>
  <si>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</si>
  <si>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</si>
  <si>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</si>
  <si>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</si>
  <si>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</si>
  <si>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</si>
  <si>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</si>
  <si>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</si>
  <si>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</si>
  <si>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</si>
  <si>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</si>
  <si>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</si>
  <si>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</si>
  <si>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</si>
  <si>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</si>
  <si>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</si>
  <si>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</si>
  <si>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</si>
  <si>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</si>
  <si>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</si>
  <si>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</si>
  <si>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</si>
  <si>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</si>
  <si>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</si>
  <si>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</si>
  <si>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</si>
  <si>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</si>
  <si>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</si>
  <si>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</si>
  <si>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</si>
  <si>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</si>
  <si>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</si>
  <si>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</si>
  <si>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</si>
  <si>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</si>
  <si>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</si>
  <si>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</si>
  <si>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</si>
  <si>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</si>
  <si>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</si>
  <si>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</si>
  <si>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</si>
  <si>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</si>
  <si>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</si>
  <si>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</si>
  <si>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</si>
  <si>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</si>
  <si>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</si>
  <si>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</si>
  <si>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</si>
  <si>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</si>
  <si>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</si>
  <si>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</si>
  <si>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</si>
  <si>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</si>
  <si>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</si>
  <si>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</si>
  <si>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</si>
  <si>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</si>
  <si>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</si>
  <si>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</si>
  <si>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</si>
  <si>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</si>
  <si>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</si>
  <si>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</si>
  <si>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</si>
  <si>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</si>
  <si>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</si>
  <si>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</si>
  <si>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</si>
  <si>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</si>
  <si>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</si>
  <si>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</si>
  <si>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</si>
  <si>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</si>
  <si>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</si>
  <si>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</si>
  <si>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</si>
  <si>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</si>
  <si>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</si>
  <si>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</si>
  <si>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</si>
  <si>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</si>
  <si>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</si>
  <si>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</si>
  <si>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</si>
  <si>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</si>
  <si>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</si>
  <si>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</si>
  <si>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</si>
  <si>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</si>
  <si>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</si>
  <si>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</si>
  <si>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</si>
  <si>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</si>
  <si>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</si>
  <si>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</si>
  <si>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</si>
  <si>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</si>
  <si>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</si>
  <si>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</si>
  <si>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</si>
  <si>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</si>
  <si>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</si>
  <si>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</si>
  <si>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</si>
  <si>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</si>
  <si>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</si>
  <si>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</si>
  <si>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</si>
  <si>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</si>
  <si>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</si>
  <si>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</si>
  <si>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</si>
  <si>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</si>
  <si>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</si>
  <si>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</si>
  <si>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</si>
  <si>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</si>
  <si>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</si>
  <si>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</si>
  <si>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</si>
  <si>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</si>
  <si>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</si>
  <si>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</si>
  <si>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</si>
  <si>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</si>
  <si>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</si>
  <si>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</si>
  <si>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</si>
  <si>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</si>
  <si>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</si>
  <si>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</si>
  <si>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</si>
  <si>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</si>
  <si>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</si>
  <si>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</si>
  <si>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</si>
  <si>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</si>
  <si>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</si>
  <si>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</si>
  <si>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</si>
  <si>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</si>
  <si>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</si>
  <si>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</si>
  <si>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</si>
  <si>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</si>
  <si>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</si>
  <si>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</si>
  <si>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</si>
  <si>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</si>
  <si>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</si>
  <si>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</si>
  <si>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</si>
  <si>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</si>
  <si>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</si>
  <si>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</si>
  <si>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</si>
  <si>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</si>
  <si>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</si>
  <si>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</si>
  <si>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</si>
  <si>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</si>
  <si>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</si>
  <si>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</si>
  <si>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</si>
  <si>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</si>
  <si>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</si>
  <si>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</si>
  <si>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</si>
  <si>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</si>
  <si>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</si>
  <si>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</si>
  <si>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</si>
  <si>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</si>
  <si>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</si>
  <si>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</si>
  <si>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</si>
  <si>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</si>
  <si>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</si>
  <si>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</si>
  <si>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</si>
  <si>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</si>
  <si>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</si>
  <si>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</si>
  <si>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</si>
  <si>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</si>
  <si>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</si>
  <si>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</si>
  <si>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</si>
  <si>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</si>
  <si>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</si>
  <si>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</si>
  <si>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</si>
  <si>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</si>
  <si>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</si>
  <si>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</si>
  <si>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</si>
  <si>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</si>
  <si>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</si>
  <si>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</si>
  <si>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</si>
  <si>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</si>
  <si>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</si>
  <si>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</si>
  <si>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</si>
  <si>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</si>
  <si>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</si>
  <si>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</si>
  <si>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</si>
  <si>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</si>
  <si>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</si>
  <si>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</si>
  <si>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</si>
  <si>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</si>
  <si>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</si>
  <si>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</si>
  <si>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</si>
  <si>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</si>
  <si>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</si>
  <si>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</si>
  <si>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</si>
  <si>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</si>
  <si>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</si>
  <si>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</si>
  <si>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</si>
  <si>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</si>
  <si>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</si>
  <si>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</si>
  <si>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</si>
  <si>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</si>
  <si>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</si>
  <si>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</si>
  <si>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</si>
  <si>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</si>
  <si>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</si>
  <si>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</si>
  <si>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</si>
  <si>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</si>
  <si>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</si>
  <si>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</si>
  <si>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</si>
  <si>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</si>
  <si>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</si>
  <si>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</si>
  <si>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</si>
  <si>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</si>
  <si>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</si>
  <si>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</si>
  <si>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</si>
  <si>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</si>
  <si>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</si>
  <si>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</si>
  <si>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</si>
  <si>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</si>
  <si>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</si>
  <si>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</si>
  <si>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</si>
  <si>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</si>
  <si>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</si>
  <si>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</si>
  <si>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</si>
  <si>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</si>
  <si>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</si>
  <si>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</si>
  <si>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</si>
  <si>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</si>
  <si>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</si>
  <si>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</si>
  <si>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</si>
  <si>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</si>
  <si>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</si>
  <si>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</si>
  <si>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</si>
  <si>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</si>
  <si>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</si>
  <si>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</si>
  <si>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</si>
  <si>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</si>
  <si>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</si>
  <si>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</si>
  <si>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</si>
  <si>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</si>
  <si>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</si>
  <si>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</si>
  <si>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</si>
  <si>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</si>
  <si>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</si>
  <si>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</si>
  <si>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</si>
  <si>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</si>
  <si>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</si>
  <si>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</si>
  <si>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</si>
  <si>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</si>
  <si>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</si>
  <si>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</si>
  <si>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</si>
  <si>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</si>
  <si>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</si>
  <si>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</si>
  <si>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</si>
  <si>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</si>
  <si>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</si>
  <si>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</si>
  <si>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</si>
  <si>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</si>
  <si>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</si>
  <si>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</si>
  <si>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</si>
  <si>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</si>
  <si>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</si>
  <si>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</si>
  <si>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</si>
  <si>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</si>
  <si>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</si>
  <si>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</si>
  <si>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</si>
  <si>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</si>
  <si>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</si>
  <si>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</si>
  <si>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</si>
  <si>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</si>
  <si>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</si>
  <si>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</si>
  <si>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</si>
  <si>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</si>
  <si>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</si>
  <si>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</si>
  <si>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</si>
  <si>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</si>
  <si>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</si>
  <si>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</si>
  <si>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</si>
  <si>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</si>
  <si>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</si>
  <si>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</si>
  <si>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</si>
  <si>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</si>
  <si>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</si>
  <si>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</si>
  <si>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</si>
  <si>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</si>
  <si>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</si>
  <si>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</si>
  <si>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</si>
  <si>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</si>
  <si>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</si>
  <si>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</si>
  <si>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</si>
  <si>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</si>
  <si>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</si>
  <si>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</si>
  <si>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</si>
  <si>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</si>
  <si>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</si>
  <si>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</si>
  <si>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</si>
  <si>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</si>
  <si>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</si>
  <si>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</si>
  <si>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</si>
  <si>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</si>
  <si>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</si>
  <si>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</si>
  <si>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</si>
  <si>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</si>
  <si>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</si>
  <si>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</si>
  <si>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</si>
  <si>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</si>
  <si>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</si>
  <si>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</si>
  <si>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</si>
  <si>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</si>
  <si>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</si>
  <si>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</si>
  <si>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</si>
  <si>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</si>
  <si>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</si>
  <si>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</si>
  <si>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</si>
  <si>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</si>
  <si>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</si>
  <si>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</si>
  <si>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</si>
  <si>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</si>
  <si>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</si>
  <si>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</si>
  <si>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</si>
  <si>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</si>
  <si>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</si>
  <si>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</si>
  <si>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</si>
  <si>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</si>
  <si>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</si>
  <si>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</si>
  <si>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</si>
  <si>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</si>
  <si>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</si>
  <si>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</si>
  <si>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</si>
  <si>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</si>
  <si>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</si>
  <si>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</si>
  <si>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</si>
  <si>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</si>
  <si>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</si>
  <si>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</si>
  <si>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</si>
  <si>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</si>
  <si>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</si>
  <si>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</si>
  <si>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</si>
  <si>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</si>
  <si>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</si>
  <si>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</si>
  <si>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</si>
  <si>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</si>
  <si>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</si>
  <si>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</si>
  <si>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</si>
  <si>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</si>
  <si>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</si>
  <si>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</si>
  <si>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</si>
  <si>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</si>
  <si>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</si>
  <si>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</si>
  <si>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</si>
  <si>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</si>
  <si>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</si>
  <si>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</si>
  <si>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</si>
  <si>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</si>
  <si>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</si>
  <si>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</si>
  <si>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</si>
  <si>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</si>
  <si>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</si>
  <si>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</si>
  <si>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</si>
  <si>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</si>
  <si>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</si>
  <si>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</si>
  <si>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</si>
  <si>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</si>
  <si>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</si>
  <si>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</si>
  <si>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</si>
  <si>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</si>
  <si>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</si>
  <si>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</si>
  <si>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</si>
  <si>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</si>
  <si>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</si>
  <si>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</si>
  <si>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</si>
  <si>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</si>
  <si>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</si>
  <si>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</si>
  <si>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</si>
  <si>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</si>
  <si>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</si>
  <si>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</si>
  <si>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</si>
  <si>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</si>
  <si>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</si>
  <si>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</si>
  <si>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</si>
  <si>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</si>
  <si>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</si>
  <si>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</si>
  <si>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</si>
  <si>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</si>
  <si>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</si>
  <si>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</si>
  <si>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</si>
  <si>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</si>
  <si>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</si>
  <si>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</si>
  <si>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</si>
  <si>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</si>
  <si>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</si>
  <si>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</si>
  <si>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</si>
  <si>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</si>
  <si>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</si>
  <si>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</si>
  <si>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</si>
  <si>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</si>
  <si>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</si>
  <si>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</si>
  <si>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</si>
  <si>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</si>
  <si>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</si>
  <si>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</si>
  <si>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</si>
  <si>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</si>
  <si>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</si>
  <si>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</si>
  <si>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</si>
  <si>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</si>
  <si>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</si>
  <si>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</si>
  <si>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</si>
  <si>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</si>
  <si>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</si>
  <si>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</si>
  <si>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</si>
  <si>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</si>
  <si>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</si>
  <si>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</si>
  <si>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</si>
  <si>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</si>
  <si>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</si>
  <si>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</si>
  <si>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</si>
  <si>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</si>
  <si>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</si>
  <si>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</si>
  <si>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</si>
  <si>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</si>
  <si>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</si>
  <si>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</si>
  <si>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</si>
  <si>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</si>
  <si>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</si>
  <si>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</si>
  <si>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</si>
  <si>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</si>
  <si>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</si>
  <si>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</si>
  <si>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</si>
  <si>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</si>
  <si>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</si>
  <si>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</si>
  <si>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</si>
  <si>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</si>
  <si>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</si>
  <si>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</si>
  <si>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</si>
  <si>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</si>
  <si>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</si>
  <si>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</si>
  <si>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</si>
  <si>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</si>
  <si>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</si>
  <si>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</si>
  <si>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</si>
  <si>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</si>
  <si>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</si>
  <si>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</si>
  <si>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</si>
  <si>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</si>
  <si>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</si>
  <si>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</si>
  <si>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</si>
  <si>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</si>
  <si>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</si>
  <si>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</si>
  <si>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</si>
  <si>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</si>
  <si>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</si>
  <si>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</si>
  <si>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</si>
  <si>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</si>
  <si>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</si>
  <si>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</si>
  <si>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</si>
  <si>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</si>
  <si>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</si>
  <si>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</si>
  <si>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</si>
  <si>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</si>
  <si>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</si>
  <si>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</si>
  <si>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</si>
  <si>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</si>
  <si>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</si>
  <si>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</si>
  <si>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</si>
  <si>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</si>
  <si>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</si>
  <si>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</si>
  <si>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</si>
  <si>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</si>
  <si>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</si>
  <si>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</si>
  <si>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</si>
  <si>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</si>
  <si>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</si>
  <si>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</si>
  <si>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</si>
  <si>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</si>
  <si>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</si>
  <si>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</si>
  <si>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</si>
  <si>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</si>
  <si>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</si>
  <si>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</si>
  <si>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</si>
  <si>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</si>
  <si>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</si>
  <si>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</si>
  <si>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</si>
  <si>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</si>
  <si>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</si>
  <si>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</si>
  <si>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</si>
  <si>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</si>
  <si>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</si>
  <si>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</si>
  <si>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</si>
  <si>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</si>
  <si>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</si>
  <si>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</si>
  <si>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</si>
  <si>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</si>
  <si>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</si>
  <si>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</si>
  <si>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</si>
  <si>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</si>
  <si>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</si>
  <si>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</si>
  <si>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</si>
  <si>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</si>
  <si>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</si>
  <si>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</si>
  <si>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</si>
  <si>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</si>
  <si>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</si>
  <si>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</si>
  <si>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</si>
  <si>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</si>
  <si>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</si>
  <si>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</si>
  <si>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</si>
  <si>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</si>
  <si>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</si>
  <si>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</si>
  <si>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</si>
  <si>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</si>
  <si>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</si>
  <si>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</si>
  <si>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</si>
  <si>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</si>
  <si>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</si>
  <si>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</si>
  <si>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</si>
  <si>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</si>
  <si>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</si>
  <si>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</si>
  <si>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</si>
  <si>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</si>
  <si>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</si>
  <si>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</si>
  <si>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</si>
  <si>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</si>
  <si>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</si>
  <si>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</si>
  <si>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</si>
  <si>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</si>
  <si>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</si>
  <si>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</si>
  <si>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</si>
  <si>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</si>
  <si>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</si>
  <si>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</si>
  <si>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</si>
  <si>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</si>
  <si>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</si>
  <si>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</si>
  <si>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</si>
  <si>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</si>
  <si>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</si>
  <si>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</si>
  <si>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</si>
  <si>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</si>
  <si>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</si>
  <si>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</si>
  <si>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</si>
  <si>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</si>
  <si>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</si>
  <si>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</si>
  <si>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</si>
  <si>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</si>
  <si>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</si>
  <si>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</si>
  <si>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</si>
  <si>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</si>
  <si>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</si>
  <si>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</si>
  <si>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</si>
  <si>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</si>
  <si>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</si>
  <si>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</si>
  <si>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</si>
  <si>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</si>
  <si>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</si>
  <si>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</si>
  <si>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</si>
  <si>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</si>
  <si>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</si>
  <si>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</si>
  <si>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</si>
  <si>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</si>
  <si>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</si>
  <si>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</si>
  <si>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</si>
  <si>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</si>
  <si>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</si>
  <si>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</si>
  <si>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</si>
  <si>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</si>
  <si>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</si>
  <si>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</si>
  <si>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</si>
  <si>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</si>
  <si>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</si>
  <si>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</si>
  <si>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</si>
  <si>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</si>
  <si>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</si>
  <si>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</si>
  <si>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</si>
  <si>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</si>
  <si>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</si>
  <si>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</si>
  <si>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</si>
  <si>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</si>
  <si>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</si>
  <si>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</si>
  <si>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</si>
  <si>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</si>
  <si>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</si>
  <si>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</si>
  <si>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</si>
  <si>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</si>
  <si>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</si>
  <si>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</si>
  <si>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</si>
  <si>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</si>
  <si>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</si>
  <si>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</si>
  <si>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</si>
  <si>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</si>
  <si>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</si>
  <si>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</si>
  <si>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</si>
  <si>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</si>
  <si>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</si>
  <si>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</si>
  <si>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</si>
  <si>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</si>
  <si>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</si>
  <si>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</si>
  <si>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</si>
  <si>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</si>
  <si>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</si>
  <si>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</si>
  <si>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</si>
  <si>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</si>
  <si>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</si>
  <si>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</si>
  <si>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</si>
  <si>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</si>
  <si>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</si>
  <si>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</si>
  <si>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</si>
  <si>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</si>
  <si>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</si>
  <si>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</si>
  <si>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</si>
  <si>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</si>
  <si>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</si>
  <si>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</si>
  <si>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</si>
  <si>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</si>
  <si>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</si>
  <si>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</si>
  <si>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</si>
  <si>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</si>
  <si>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</si>
  <si>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</si>
  <si>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</si>
  <si>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</si>
  <si>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</si>
  <si>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</si>
  <si>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</si>
  <si>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</si>
  <si>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</si>
  <si>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</si>
  <si>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</si>
  <si>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</si>
  <si>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</si>
  <si>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</si>
  <si>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</si>
  <si>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</si>
  <si>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</si>
  <si>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</si>
  <si>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</si>
  <si>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</si>
  <si>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</si>
  <si>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</si>
  <si>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</si>
  <si>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</si>
  <si>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</si>
  <si>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</si>
  <si>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</si>
  <si>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</si>
  <si>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</si>
  <si>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</si>
  <si>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</si>
  <si>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</si>
  <si>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</si>
  <si>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</si>
  <si>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</si>
  <si>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</si>
  <si>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</si>
  <si>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</si>
  <si>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</si>
  <si>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</si>
  <si>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</si>
  <si>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</si>
  <si>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</si>
  <si>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</si>
  <si>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</si>
  <si>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</si>
  <si>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</si>
  <si>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</si>
  <si>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</si>
  <si>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</si>
  <si>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</si>
  <si>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</si>
  <si>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</si>
  <si>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</si>
  <si>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</si>
  <si>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</si>
  <si>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</si>
  <si>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</si>
  <si>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</si>
  <si>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</si>
  <si>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</si>
  <si>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</si>
  <si>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</si>
  <si>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</si>
  <si>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</si>
  <si>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</si>
  <si>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</si>
  <si>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</si>
  <si>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</si>
  <si>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</si>
  <si>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</si>
  <si>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</si>
  <si>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</si>
  <si>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</si>
  <si>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</si>
  <si>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</si>
  <si>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</si>
  <si>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</si>
  <si>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</si>
  <si>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</si>
  <si>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</si>
  <si>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</si>
  <si>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</si>
  <si>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</si>
  <si>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</si>
  <si>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</si>
  <si>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</si>
  <si>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</si>
  <si>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</si>
  <si>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</si>
  <si>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</si>
  <si>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</si>
  <si>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</si>
  <si>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</si>
  <si>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</si>
  <si>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</si>
  <si>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</si>
  <si>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</si>
  <si>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</si>
  <si>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</si>
  <si>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</si>
  <si>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</si>
  <si>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</si>
  <si>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</si>
  <si>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</si>
  <si>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</si>
  <si>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</si>
  <si>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</si>
  <si>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</si>
  <si>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</si>
  <si>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</si>
  <si>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</si>
  <si>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</si>
  <si>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</si>
  <si>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</si>
  <si>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</si>
  <si>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</si>
  <si>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</si>
  <si>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</si>
  <si>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</si>
  <si>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</si>
  <si>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</si>
  <si>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</si>
  <si>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</si>
  <si>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</si>
  <si>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</si>
  <si>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</si>
  <si>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</si>
  <si>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</si>
  <si>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</si>
  <si>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</si>
  <si>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</si>
  <si>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</si>
  <si>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</si>
  <si>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</si>
  <si>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</si>
  <si>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</si>
  <si>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</si>
  <si>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</si>
  <si>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</si>
  <si>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</si>
  <si>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</si>
  <si>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</si>
  <si>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</si>
  <si>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</si>
  <si>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</si>
  <si>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</si>
  <si>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</si>
  <si>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</si>
  <si>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</si>
  <si>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</si>
  <si>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</si>
  <si>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</si>
  <si>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</si>
  <si>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</si>
  <si>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</si>
  <si>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</si>
  <si>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</si>
  <si>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</si>
  <si>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</si>
  <si>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</si>
  <si>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</si>
  <si>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</si>
  <si>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</si>
  <si>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</si>
  <si>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</si>
  <si>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</si>
  <si>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</si>
  <si>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</si>
  <si>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</si>
  <si>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</si>
  <si>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</si>
  <si>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</si>
  <si>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</si>
  <si>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</si>
  <si>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</si>
  <si>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</si>
  <si>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</si>
  <si>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</si>
  <si>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</si>
  <si>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</si>
  <si>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</si>
  <si>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</si>
  <si>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</si>
  <si>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</si>
  <si>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</si>
  <si>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</si>
  <si>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</si>
  <si>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</si>
  <si>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</si>
  <si>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</si>
  <si>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</si>
  <si>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</si>
  <si>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</si>
  <si>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</si>
  <si>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</si>
  <si>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</si>
  <si>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</si>
  <si>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</si>
  <si>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</si>
  <si>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</si>
  <si>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</si>
  <si>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</si>
  <si>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</si>
  <si>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</si>
  <si>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</si>
  <si>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</si>
  <si>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</si>
  <si>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</si>
  <si>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</si>
  <si>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</si>
  <si>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</si>
  <si>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</si>
  <si>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</si>
  <si>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</si>
  <si>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</si>
  <si>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</si>
  <si>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</si>
  <si>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</si>
  <si>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</si>
  <si>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</si>
  <si>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</si>
  <si>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</si>
  <si>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</si>
  <si>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</si>
  <si>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</si>
  <si>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</si>
  <si>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</si>
  <si>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</si>
  <si>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</si>
  <si>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</si>
  <si>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</si>
  <si>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</si>
  <si>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</si>
  <si>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</si>
  <si>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</si>
  <si>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</si>
  <si>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</si>
  <si>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</si>
  <si>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</si>
  <si>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</si>
  <si>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</si>
  <si>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</si>
  <si>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</si>
  <si>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</si>
  <si>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</si>
  <si>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</si>
  <si>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</si>
  <si>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</si>
  <si>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</si>
  <si>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</si>
  <si>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</si>
  <si>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</si>
  <si>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</si>
  <si>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</si>
  <si>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</si>
  <si>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</si>
  <si>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</si>
  <si>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</si>
  <si>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</si>
  <si>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</si>
  <si>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</si>
  <si>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</si>
  <si>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</si>
  <si>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</si>
  <si>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</si>
  <si>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</si>
  <si>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</si>
  <si>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</si>
  <si>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</si>
  <si>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</si>
  <si>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</si>
  <si>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</si>
  <si>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</si>
  <si>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</si>
  <si>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</si>
  <si>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</si>
  <si>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</si>
  <si>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</si>
  <si>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</si>
  <si>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</si>
  <si>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</si>
  <si>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</si>
  <si>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</si>
  <si>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</si>
  <si>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</si>
  <si>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</si>
  <si>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</si>
  <si>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</si>
  <si>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</si>
  <si>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</si>
  <si>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</si>
  <si>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</si>
  <si>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</si>
  <si>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</si>
  <si>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</si>
  <si>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</si>
  <si>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</si>
  <si>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</si>
  <si>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</si>
  <si>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</si>
  <si>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</si>
  <si>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</si>
  <si>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</si>
  <si>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</si>
  <si>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</si>
  <si>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</si>
  <si>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</si>
  <si>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</si>
  <si>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</si>
  <si>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</si>
  <si>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</si>
  <si>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</si>
  <si>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</si>
  <si>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</si>
  <si>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</si>
  <si>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</si>
  <si>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</si>
  <si>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</si>
  <si>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</si>
  <si>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</si>
  <si>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</si>
  <si>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</si>
  <si>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</si>
  <si>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</si>
  <si>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</si>
  <si>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</si>
  <si>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</si>
  <si>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</si>
  <si>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</si>
  <si>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</si>
  <si>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</si>
  <si>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</si>
  <si>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</si>
  <si>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</si>
  <si>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</si>
  <si>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</si>
  <si>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</si>
  <si>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</si>
  <si>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</si>
  <si>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</si>
  <si>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</si>
  <si>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</si>
  <si>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</si>
  <si>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</si>
  <si>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</si>
  <si>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</si>
  <si>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</si>
  <si>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</si>
  <si>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</si>
  <si>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</si>
  <si>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</si>
  <si>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</si>
  <si>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</si>
  <si>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</si>
  <si>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</si>
  <si>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</si>
  <si>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</si>
  <si>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</si>
  <si>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</si>
  <si>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</si>
  <si>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</si>
  <si>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</si>
  <si>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</si>
  <si>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</si>
  <si>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</si>
  <si>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</si>
  <si>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</si>
  <si>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</si>
  <si>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</si>
  <si>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</si>
  <si>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</si>
  <si>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</si>
  <si>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</si>
  <si>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</si>
  <si>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</si>
  <si>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</si>
  <si>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</si>
  <si>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</si>
  <si>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</si>
  <si>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</si>
  <si>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</si>
  <si>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</si>
  <si>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</si>
  <si>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</si>
  <si>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</si>
  <si>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</si>
  <si>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</si>
  <si>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</si>
  <si>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</si>
  <si>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</si>
  <si>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</si>
  <si>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</si>
  <si>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</si>
  <si>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</si>
  <si>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</si>
  <si>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</si>
  <si>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</si>
  <si>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</si>
  <si>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</si>
  <si>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</si>
  <si>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</si>
  <si>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</si>
  <si>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</si>
  <si>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</si>
  <si>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</si>
  <si>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</si>
  <si>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</si>
  <si>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</si>
  <si>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</si>
  <si>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</si>
  <si>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</si>
  <si>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</si>
  <si>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</si>
  <si>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</si>
  <si>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</si>
  <si>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</si>
  <si>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</si>
  <si>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</si>
  <si>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</si>
  <si>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</si>
  <si>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</si>
  <si>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</si>
  <si>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</si>
  <si>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</si>
  <si>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</si>
  <si>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</si>
  <si>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</si>
  <si>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</si>
  <si>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</si>
  <si>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</si>
  <si>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</si>
  <si>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</si>
  <si>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</si>
  <si>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</si>
  <si>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</si>
  <si>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</si>
  <si>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</si>
  <si>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</si>
  <si>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</si>
  <si>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</si>
  <si>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</si>
  <si>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</si>
  <si>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</si>
  <si>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</si>
  <si>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</si>
  <si>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</si>
  <si>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</si>
  <si>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</si>
  <si>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</si>
  <si>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</si>
  <si>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</si>
  <si>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</si>
  <si>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</si>
  <si>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</si>
  <si>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</si>
  <si>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</si>
  <si>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</si>
  <si>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</si>
  <si>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</si>
  <si>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</si>
  <si>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</si>
  <si>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</si>
  <si>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</si>
  <si>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</si>
  <si>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</si>
  <si>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</si>
  <si>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</si>
  <si>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</si>
  <si>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</si>
  <si>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</si>
  <si>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</si>
  <si>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</si>
  <si>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</si>
  <si>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</si>
  <si>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</si>
  <si>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</si>
  <si>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</si>
  <si>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</si>
  <si>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</si>
  <si>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</si>
  <si>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</si>
  <si>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</si>
  <si>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</si>
  <si>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</si>
  <si>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</si>
  <si>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</si>
  <si>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</si>
  <si>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</si>
  <si>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</si>
  <si>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</si>
  <si>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</si>
  <si>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</si>
  <si>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</si>
  <si>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</si>
  <si>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</si>
  <si>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</si>
  <si>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</si>
  <si>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</si>
  <si>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</si>
  <si>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</si>
  <si>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</si>
  <si>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</si>
  <si>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</si>
  <si>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</si>
  <si>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</si>
  <si>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</si>
  <si>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</si>
  <si>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</si>
  <si>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</si>
  <si>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</si>
  <si>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</si>
  <si>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</si>
  <si>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</si>
  <si>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</si>
  <si>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</si>
  <si>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</si>
  <si>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</si>
  <si>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</si>
  <si>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</si>
  <si>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</si>
  <si>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</si>
  <si>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</si>
  <si>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</si>
  <si>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</si>
  <si>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</si>
  <si>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</si>
  <si>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</si>
  <si>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</si>
  <si>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</si>
  <si>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</si>
  <si>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</si>
  <si>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</si>
  <si>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</si>
  <si>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</si>
  <si>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</si>
  <si>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</si>
  <si>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</si>
  <si>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</si>
  <si>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</si>
  <si>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</si>
  <si>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</si>
  <si>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</si>
  <si>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</si>
  <si>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</si>
  <si>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</si>
  <si>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</si>
  <si>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</si>
  <si>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</si>
  <si>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</si>
  <si>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</si>
  <si>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</si>
  <si>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</si>
  <si>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</si>
  <si>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</si>
  <si>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</si>
  <si>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</si>
  <si>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</si>
  <si>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</si>
  <si>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</si>
  <si>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</si>
  <si>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</si>
  <si>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</si>
  <si>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</si>
  <si>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</si>
  <si>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</si>
  <si>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</si>
  <si>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</si>
  <si>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</si>
  <si>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</si>
  <si>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</si>
  <si>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</si>
  <si>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</si>
  <si>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</si>
  <si>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</si>
  <si>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</si>
  <si>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</si>
  <si>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</si>
  <si>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</si>
  <si>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</si>
  <si>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</si>
  <si>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</si>
  <si>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</si>
  <si>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</si>
  <si>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</si>
  <si>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</si>
  <si>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</si>
  <si>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</si>
  <si>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</si>
  <si>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</si>
  <si>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</si>
  <si>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</si>
  <si>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</si>
  <si>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</si>
  <si>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</si>
  <si>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</si>
  <si>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</si>
  <si>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</si>
  <si>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</si>
  <si>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</si>
  <si>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</si>
  <si>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</si>
  <si>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</si>
  <si>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</si>
  <si>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</si>
  <si>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</si>
  <si>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</si>
  <si>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</si>
  <si>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</si>
  <si>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</si>
  <si>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</si>
  <si>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</si>
  <si>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</si>
  <si>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</si>
  <si>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</si>
  <si>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</si>
  <si>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</si>
  <si>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</si>
  <si>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</si>
  <si>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</si>
  <si>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</si>
  <si>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</si>
  <si>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</si>
  <si>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</si>
  <si>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</si>
  <si>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</si>
  <si>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</si>
  <si>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</si>
  <si>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</si>
  <si>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</si>
  <si>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</si>
  <si>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</si>
  <si>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</si>
  <si>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</si>
  <si>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</si>
  <si>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</si>
  <si>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</si>
  <si>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</si>
  <si>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</si>
  <si>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</si>
  <si>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</si>
  <si>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</si>
  <si>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</si>
  <si>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</si>
  <si>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</si>
  <si>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</si>
  <si>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</si>
  <si>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</si>
  <si>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</si>
  <si>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</si>
  <si>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</si>
  <si>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</si>
  <si>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</si>
  <si>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</si>
  <si>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</si>
  <si>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</si>
  <si>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</si>
  <si>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</si>
  <si>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</si>
  <si>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</si>
  <si>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</si>
  <si>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</si>
  <si>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</si>
  <si>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</si>
  <si>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</si>
  <si>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</si>
  <si>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</si>
  <si>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</si>
  <si>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</si>
  <si>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</si>
  <si>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</si>
  <si>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</si>
  <si>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</si>
  <si>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</si>
  <si>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</si>
  <si>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</si>
  <si>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</si>
  <si>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</si>
  <si>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</si>
  <si>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</si>
  <si>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</si>
  <si>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</si>
  <si>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</si>
  <si>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</si>
  <si>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</si>
  <si>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</si>
  <si>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</si>
  <si>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</si>
  <si>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</si>
  <si>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</si>
  <si>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</si>
  <si>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</si>
  <si>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</si>
  <si>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</si>
  <si>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</si>
  <si>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</si>
  <si>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</si>
  <si>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</si>
  <si>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</si>
  <si>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</si>
  <si>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</si>
  <si>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</si>
  <si>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</si>
  <si>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</si>
  <si>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</si>
  <si>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</si>
  <si>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</si>
  <si>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</si>
  <si>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</si>
  <si>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</si>
  <si>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</si>
  <si>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</si>
  <si>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</si>
  <si>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</si>
  <si>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</si>
  <si>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</si>
  <si>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</si>
  <si>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</si>
  <si>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</si>
  <si>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</si>
  <si>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</si>
  <si>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</si>
  <si>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</si>
  <si>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</si>
  <si>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</si>
  <si>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</si>
  <si>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</si>
  <si>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</si>
  <si>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</si>
  <si>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</si>
  <si>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</si>
  <si>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</si>
  <si>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</si>
  <si>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</si>
  <si>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</si>
  <si>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</si>
  <si>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</si>
  <si>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</si>
  <si>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</si>
  <si>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</si>
  <si>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</si>
  <si>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</si>
  <si>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</si>
  <si>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</si>
  <si>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</si>
  <si>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</si>
  <si>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</si>
  <si>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</si>
  <si>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</si>
  <si>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</si>
  <si>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</si>
  <si>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</si>
  <si>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</si>
  <si>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</si>
  <si>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</si>
  <si>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</si>
  <si>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</si>
  <si>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</si>
  <si>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</si>
  <si>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</si>
  <si>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</si>
  <si>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</si>
  <si>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</si>
  <si>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</si>
  <si>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</si>
  <si>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</si>
  <si>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</si>
  <si>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</si>
  <si>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</si>
  <si>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</si>
  <si>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</si>
  <si>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</si>
  <si>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</si>
  <si>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</si>
  <si>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</si>
  <si>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</si>
  <si>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</si>
  <si>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</si>
  <si>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</si>
  <si>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</si>
  <si>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</si>
  <si>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</si>
  <si>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</si>
  <si>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</si>
  <si>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</si>
  <si>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</si>
  <si>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</si>
  <si>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</si>
  <si>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</si>
  <si>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</si>
  <si>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</si>
  <si>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</si>
  <si>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</si>
  <si>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</si>
  <si>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</si>
  <si>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</si>
  <si>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</si>
  <si>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</si>
  <si>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</si>
  <si>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</si>
  <si>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</si>
  <si>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</si>
  <si>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</si>
  <si>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</si>
  <si>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</si>
  <si>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</si>
  <si>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</si>
  <si>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</si>
  <si>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</si>
  <si>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</si>
  <si>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</si>
  <si>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</si>
  <si>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</si>
  <si>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</si>
  <si>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</si>
  <si>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</si>
  <si>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</si>
  <si>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</si>
  <si>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</si>
  <si>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</si>
  <si>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</si>
  <si>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</si>
  <si>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</si>
  <si>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</si>
  <si>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</si>
  <si>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</si>
  <si>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</si>
  <si>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</si>
  <si>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</si>
  <si>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</si>
  <si>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</si>
  <si>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</si>
  <si>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</si>
  <si>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</si>
  <si>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</si>
  <si>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</si>
  <si>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</si>
  <si>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</si>
  <si>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</si>
  <si>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</si>
  <si>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</si>
  <si>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</si>
  <si>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</si>
  <si>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</si>
  <si>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</si>
  <si>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</si>
  <si>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</si>
  <si>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</si>
  <si>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</si>
  <si>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</si>
  <si>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</si>
  <si>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</si>
  <si>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</si>
  <si>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</si>
  <si>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</si>
  <si>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</si>
  <si>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</si>
  <si>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</si>
  <si>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</si>
  <si>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</si>
  <si>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</si>
  <si>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</si>
  <si>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</si>
  <si>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</si>
  <si>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</si>
  <si>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</si>
  <si>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</si>
  <si>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</si>
  <si>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</si>
  <si>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</si>
  <si>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</si>
  <si>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</si>
  <si>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</si>
  <si>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</si>
  <si>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</si>
  <si>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</si>
  <si>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</si>
  <si>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</si>
  <si>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</si>
  <si>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</si>
  <si>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</si>
  <si>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</si>
  <si>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</si>
  <si>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</si>
  <si>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</si>
  <si>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</si>
  <si>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</si>
  <si>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</si>
  <si>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</si>
  <si>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</si>
  <si>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</si>
  <si>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</si>
  <si>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</si>
  <si>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</si>
  <si>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</si>
  <si>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</si>
  <si>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</si>
  <si>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</si>
  <si>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</si>
  <si>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</si>
  <si>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</si>
  <si>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</si>
  <si>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</si>
  <si>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</si>
  <si>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</si>
  <si>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</si>
  <si>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</si>
  <si>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</si>
  <si>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</si>
  <si>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</si>
  <si>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</si>
  <si>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</si>
  <si>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</si>
  <si>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</si>
  <si>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</si>
  <si>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</si>
  <si>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</si>
  <si>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</si>
  <si>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</si>
  <si>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</si>
  <si>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</si>
  <si>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</si>
  <si>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</si>
  <si>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</si>
  <si>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</si>
  <si>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</si>
  <si>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</si>
  <si>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</si>
  <si>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</si>
  <si>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</si>
  <si>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</si>
  <si>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</si>
  <si>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</si>
  <si>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</si>
  <si>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</si>
  <si>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</si>
  <si>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</si>
  <si>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</si>
  <si>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</si>
  <si>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</si>
  <si>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</si>
  <si>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</si>
  <si>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</si>
  <si>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</si>
  <si>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</si>
  <si>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</si>
  <si>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</si>
  <si>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</si>
  <si>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</si>
  <si>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</si>
  <si>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</si>
  <si>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</si>
  <si>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</si>
  <si>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</si>
  <si>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</si>
  <si>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</si>
  <si>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</si>
  <si>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</si>
  <si>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</si>
  <si>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</si>
  <si>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</si>
  <si>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</si>
  <si>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</si>
  <si>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</si>
  <si>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</si>
  <si>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</si>
  <si>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</si>
  <si>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</si>
  <si>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</si>
  <si>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</si>
  <si>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</si>
  <si>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</si>
  <si>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</si>
  <si>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</si>
  <si>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</si>
  <si>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</si>
  <si>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</si>
  <si>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</si>
  <si>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</si>
  <si>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</si>
  <si>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</si>
  <si>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</si>
  <si>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</si>
  <si>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</si>
  <si>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</si>
  <si>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</si>
  <si>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</si>
  <si>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</si>
  <si>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</si>
  <si>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</si>
  <si>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</si>
  <si>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</si>
  <si>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</si>
  <si>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</si>
  <si>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</si>
  <si>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</si>
  <si>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</si>
  <si>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</si>
  <si>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</si>
  <si>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</si>
  <si>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</si>
  <si>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</si>
  <si>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</si>
  <si>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</si>
  <si>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</si>
  <si>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</si>
  <si>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</si>
  <si>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</si>
  <si>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</si>
  <si>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</si>
  <si>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</si>
  <si>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</si>
  <si>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</si>
  <si>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</si>
  <si>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</si>
  <si>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</si>
  <si>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</si>
  <si>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</si>
  <si>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</si>
  <si>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</si>
  <si>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</si>
  <si>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</si>
  <si>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</si>
  <si>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</si>
  <si>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</si>
  <si>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</si>
  <si>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</si>
  <si>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</si>
  <si>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</si>
  <si>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</si>
  <si>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</si>
  <si>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</si>
  <si>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</si>
  <si>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</si>
  <si>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</si>
  <si>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</si>
  <si>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</si>
  <si>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</si>
  <si>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</si>
  <si>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</si>
  <si>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</si>
  <si>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</si>
  <si>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</si>
  <si>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</si>
  <si>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</si>
  <si>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</si>
  <si>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</si>
  <si>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</si>
  <si>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</si>
  <si>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</si>
  <si>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</si>
  <si>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</si>
  <si>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</si>
  <si>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</si>
  <si>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</si>
  <si>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</si>
  <si>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</si>
  <si>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</si>
  <si>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</si>
  <si>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</si>
  <si>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</si>
  <si>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</si>
  <si>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</si>
  <si>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</si>
  <si>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</si>
  <si>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</si>
  <si>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</si>
  <si>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</si>
  <si>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</si>
  <si>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</si>
  <si>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</si>
  <si>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</si>
  <si>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</si>
  <si>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</si>
  <si>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</si>
  <si>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</si>
  <si>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</si>
  <si>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</si>
  <si>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</si>
  <si>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</si>
  <si>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</si>
  <si>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</si>
  <si>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</si>
  <si>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</si>
  <si>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</si>
  <si>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</si>
  <si>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</si>
  <si>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</si>
  <si>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</si>
  <si>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</si>
  <si>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</si>
  <si>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</si>
  <si>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</si>
  <si>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</si>
  <si>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</si>
  <si>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</si>
  <si>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</si>
  <si>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</si>
  <si>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</si>
  <si>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</si>
  <si>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</si>
  <si>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</si>
  <si>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</si>
  <si>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</si>
  <si>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</si>
  <si>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</si>
  <si>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</si>
  <si>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</si>
  <si>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</si>
  <si>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</si>
  <si>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</si>
  <si>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</si>
  <si>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</si>
  <si>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</si>
  <si>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</si>
  <si>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</si>
  <si>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</si>
  <si>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</si>
  <si>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</si>
  <si>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</si>
  <si>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</si>
  <si>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</si>
  <si>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</si>
  <si>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</si>
  <si>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</si>
  <si>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</si>
  <si>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</si>
  <si>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</si>
  <si>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</si>
  <si>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</si>
  <si>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</si>
  <si>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</si>
  <si>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</si>
  <si>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</si>
  <si>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</si>
  <si>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</si>
  <si>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</si>
  <si>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</si>
  <si>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</si>
  <si>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</si>
  <si>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</si>
  <si>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</si>
  <si>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</si>
  <si>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</si>
  <si>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</si>
  <si>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</si>
  <si>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</si>
  <si>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</si>
  <si>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</si>
  <si>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</si>
  <si>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</si>
  <si>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</si>
  <si>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</si>
  <si>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</si>
  <si>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</si>
  <si>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</si>
  <si>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</si>
  <si>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</si>
  <si>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</si>
  <si>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</si>
  <si>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</si>
  <si>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</si>
  <si>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</si>
  <si>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</si>
  <si>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</si>
  <si>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</si>
  <si>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</si>
  <si>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</si>
  <si>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</si>
  <si>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</si>
  <si>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</si>
  <si>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</si>
  <si>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</si>
  <si>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</si>
  <si>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</si>
  <si>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</si>
  <si>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</si>
  <si>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</si>
  <si>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</si>
  <si>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</si>
  <si>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</si>
  <si>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</si>
  <si>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</si>
  <si>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</si>
  <si>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</si>
  <si>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</si>
  <si>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</si>
  <si>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</si>
  <si>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</si>
  <si>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</si>
  <si>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</si>
  <si>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</si>
  <si>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</si>
  <si>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</si>
  <si>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</si>
  <si>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</si>
  <si>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</si>
  <si>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</si>
  <si>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</si>
  <si>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</si>
  <si>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</si>
  <si>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</si>
  <si>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</si>
  <si>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</si>
  <si>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</si>
  <si>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</si>
  <si>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</si>
  <si>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</si>
  <si>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</si>
  <si>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</si>
  <si>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Marinwood Propco, L.P.</t>
  </si>
  <si>
    <t>Marinwood Plaza</t>
  </si>
  <si>
    <t>County of Marin</t>
  </si>
  <si>
    <t>Sarah Jones</t>
  </si>
  <si>
    <t>3501 Civic Center Drive, Suite 308</t>
  </si>
  <si>
    <t>San Rafael, CA</t>
  </si>
  <si>
    <t>415-473-6269</t>
  </si>
  <si>
    <t>Sarah.Jones@marincounty.gov</t>
  </si>
  <si>
    <t>121, 155, 175, and 197 Marinwood Avenue</t>
  </si>
  <si>
    <t>APN 164-471-64, APN 164-471-65, APN 164-471-69, APN 164-471-70</t>
  </si>
  <si>
    <t>40%/60% Average Income</t>
  </si>
  <si>
    <t xml:space="preserve">2340 Collins Ave.																		</t>
  </si>
  <si>
    <t>Miami</t>
  </si>
  <si>
    <t>FL</t>
  </si>
  <si>
    <t>Jessica Mullins</t>
  </si>
  <si>
    <t>713-344-7055</t>
  </si>
  <si>
    <t>jmullins@impactresidential.com</t>
  </si>
  <si>
    <t>Impact Residential Development, LLC</t>
  </si>
  <si>
    <t>Marinwood GP, L.L.C.</t>
  </si>
  <si>
    <t>Administrative GP</t>
  </si>
  <si>
    <t>2340 Collins Ave.</t>
  </si>
  <si>
    <t>Kevin Fitzpatrick</t>
  </si>
  <si>
    <t>203-274-4359</t>
  </si>
  <si>
    <t>kfitzpatrick@impactresidential.com</t>
  </si>
  <si>
    <t>PACH San Jose Holding LLC</t>
  </si>
  <si>
    <t>2115 J Street, Ste. 201</t>
  </si>
  <si>
    <t xml:space="preserve">Sacramento							</t>
  </si>
  <si>
    <t>CA</t>
  </si>
  <si>
    <t>Mark Wiese</t>
  </si>
  <si>
    <t>916-638-5200</t>
  </si>
  <si>
    <t>mwiese@pacifichousing.org</t>
  </si>
  <si>
    <t>Pacific Housing, Inc.</t>
  </si>
  <si>
    <t>Tableau Development Company</t>
  </si>
  <si>
    <t>407 Riviera Drive</t>
  </si>
  <si>
    <t>San Rafael</t>
  </si>
  <si>
    <t>Jack Robertson</t>
  </si>
  <si>
    <t>415-519-7574</t>
  </si>
  <si>
    <t>Jack@tableaudev.com</t>
  </si>
  <si>
    <t>Consultant</t>
  </si>
  <si>
    <t xml:space="preserve">Impact Residential Development LLC										</t>
  </si>
  <si>
    <t>LPAS Architects</t>
  </si>
  <si>
    <t>723 S Street</t>
  </si>
  <si>
    <t>Sacramento, CA  95811</t>
  </si>
  <si>
    <t>Tracy Hart</t>
  </si>
  <si>
    <t>916-443-0335</t>
  </si>
  <si>
    <t>thart@lpas.com</t>
  </si>
  <si>
    <t>Cox Castle</t>
  </si>
  <si>
    <t>50 California Street, Suite 3200</t>
  </si>
  <si>
    <t>San Francisco, CA 94104</t>
  </si>
  <si>
    <t xml:space="preserve">Ofer Elitzsur										</t>
  </si>
  <si>
    <t xml:space="preserve">415-262-5165					</t>
  </si>
  <si>
    <t xml:space="preserve">oelitzur@coxcastle.com										</t>
  </si>
  <si>
    <t xml:space="preserve">Milestone Construction Group										</t>
  </si>
  <si>
    <t xml:space="preserve">51 University Avenue, Suite D										</t>
  </si>
  <si>
    <t>Los Gatos, CA 95030</t>
  </si>
  <si>
    <t xml:space="preserve">Charles Drotts										</t>
  </si>
  <si>
    <t xml:space="preserve">408-818-0254					</t>
  </si>
  <si>
    <t xml:space="preserve">Charles @MilestoneConstructionGroup.com										</t>
  </si>
  <si>
    <t xml:space="preserve">Novogradac &amp; Company LLP										</t>
  </si>
  <si>
    <t xml:space="preserve">1300 114th Ave SE, Suite 240										</t>
  </si>
  <si>
    <t xml:space="preserve">Bellevue, WA 98004										</t>
  </si>
  <si>
    <t>Thomas Stagg</t>
  </si>
  <si>
    <t xml:space="preserve">206-776-0855					</t>
  </si>
  <si>
    <t xml:space="preserve">thomas.stagg@novoco.com										</t>
  </si>
  <si>
    <t xml:space="preserve">Redwood Energy										</t>
  </si>
  <si>
    <t>1887 Q Street</t>
  </si>
  <si>
    <t xml:space="preserve">Arcata, CA 95521										</t>
  </si>
  <si>
    <t xml:space="preserve">Sean Armstrong										</t>
  </si>
  <si>
    <t xml:space="preserve">707-234-7573					</t>
  </si>
  <si>
    <t xml:space="preserve">seanarmstrongpm@gmail.com										</t>
  </si>
  <si>
    <t xml:space="preserve">1399 114th Ave Suite 240										</t>
  </si>
  <si>
    <t xml:space="preserve">Dat Ksor										</t>
  </si>
  <si>
    <t xml:space="preserve">dat.ksor@novoco.com										</t>
  </si>
  <si>
    <t>TBD</t>
  </si>
  <si>
    <t xml:space="preserve">Tableau Development Company										</t>
  </si>
  <si>
    <t xml:space="preserve">407 Riviera Drive										</t>
  </si>
  <si>
    <t xml:space="preserve">San Rafael, Ca 94901										</t>
  </si>
  <si>
    <t xml:space="preserve">Jack Robertson										</t>
  </si>
  <si>
    <t xml:space="preserve">415-519-7574					</t>
  </si>
  <si>
    <t xml:space="preserve">Jack@tableaudev.com										</t>
  </si>
  <si>
    <t xml:space="preserve">Laurin Associates										</t>
  </si>
  <si>
    <t xml:space="preserve">1501 Sports Drive, Suite A										</t>
  </si>
  <si>
    <t xml:space="preserve">Sacramento, CA 95834										</t>
  </si>
  <si>
    <t xml:space="preserve">Stefanie Williams										</t>
  </si>
  <si>
    <t xml:space="preserve">916-372-6100					</t>
  </si>
  <si>
    <t xml:space="preserve">916-419-6108					</t>
  </si>
  <si>
    <t xml:space="preserve">swilliams@laurinassociates.com										</t>
  </si>
  <si>
    <t xml:space="preserve">Joseph J. Blake and Associates, Inc.										</t>
  </si>
  <si>
    <t xml:space="preserve">500 Ygnacio Valley Road, Suite 350										</t>
  </si>
  <si>
    <t xml:space="preserve">Walnut Creek, CA 94596										</t>
  </si>
  <si>
    <t xml:space="preserve">Brian Rapela, MAI										</t>
  </si>
  <si>
    <t xml:space="preserve">925-482-1370					</t>
  </si>
  <si>
    <t xml:space="preserve">Brapela@JosephJBlake										</t>
  </si>
  <si>
    <t xml:space="preserve">CalHFA										</t>
  </si>
  <si>
    <t xml:space="preserve">500 Capitol Mall Suite 1400										</t>
  </si>
  <si>
    <t>Sacramento, CA 95814</t>
  </si>
  <si>
    <t xml:space="preserve">Kevin Brown										</t>
  </si>
  <si>
    <t xml:space="preserve">916-326-8808					</t>
  </si>
  <si>
    <t xml:space="preserve">916-326-6430					</t>
  </si>
  <si>
    <t xml:space="preserve">kbrown@calHFA.ca.gov										</t>
  </si>
  <si>
    <t xml:space="preserve">Aperto Property Management, Inc.										</t>
  </si>
  <si>
    <t>1851 Heritage Lane, Suite 170</t>
  </si>
  <si>
    <t xml:space="preserve">Sacramento, CA 95815										</t>
  </si>
  <si>
    <t xml:space="preserve">Candy Navarro										</t>
  </si>
  <si>
    <t xml:space="preserve">559-500-0844					</t>
  </si>
  <si>
    <t xml:space="preserve">cnavarro@apertopm.com										</t>
  </si>
  <si>
    <t xml:space="preserve">Marinwood Plaza LLC											</t>
  </si>
  <si>
    <t xml:space="preserve">Lee Hoyt											</t>
  </si>
  <si>
    <t xml:space="preserve">Lee Hoyt							</t>
  </si>
  <si>
    <t xml:space="preserve">Trustee											</t>
  </si>
  <si>
    <t xml:space="preserve">15701 Sherman Way, Van Nuys, CA 91409											</t>
  </si>
  <si>
    <t xml:space="preserve">9/8/2023				</t>
  </si>
  <si>
    <t xml:space="preserve">415-419-1900					</t>
  </si>
  <si>
    <t>Secured by Fee Interest</t>
  </si>
  <si>
    <t>Other (Specify below)</t>
  </si>
  <si>
    <t xml:space="preserve">1,040 square foot retail storefront located on ground floor of one of the residential buildings. Space is intended for a café																												
																												</t>
  </si>
  <si>
    <t>CP-HOD Commercial, Planned-Housing Overlay Combining District</t>
  </si>
  <si>
    <t xml:space="preserve">CP-HOD, Form-based code does not limit density; Housing Element cites 125 units																				</t>
  </si>
  <si>
    <t xml:space="preserve">CP-HOD and Transect T5 - Core Main Street (Form-based code); 125 units																				</t>
  </si>
  <si>
    <t>Occupancy to range between and up to 30%70% AMI in return for granting the code waivers and concessions.</t>
  </si>
  <si>
    <t>Yes, for site, but not applicable as units are 100% affordable</t>
  </si>
  <si>
    <t>Maximum hieght shall not exceed 40 feet</t>
  </si>
  <si>
    <t>Housing Compliance Review</t>
  </si>
  <si>
    <t>County of Marin, Housing Trust Fund</t>
  </si>
  <si>
    <t>Citibank</t>
  </si>
  <si>
    <t>County of Marin HTF Loan</t>
  </si>
  <si>
    <t>Deferred developer fee</t>
  </si>
  <si>
    <t>Deferred reserves</t>
  </si>
  <si>
    <t>LIHTC Equity</t>
  </si>
  <si>
    <t>Variable</t>
  </si>
  <si>
    <t>Fixed</t>
  </si>
  <si>
    <t xml:space="preserve">2700 Post Oak Blvd											</t>
  </si>
  <si>
    <t xml:space="preserve">Houston											</t>
  </si>
  <si>
    <t xml:space="preserve">Carrie Lee											</t>
  </si>
  <si>
    <t xml:space="preserve">713-752-5052					</t>
  </si>
  <si>
    <t xml:space="preserve">Conventional-tax exempt										</t>
  </si>
  <si>
    <t xml:space="preserve">Conventional										</t>
  </si>
  <si>
    <t xml:space="preserve">3501 Civic Center Drive, Suite 308											</t>
  </si>
  <si>
    <t xml:space="preserve">San Rafael											</t>
  </si>
  <si>
    <t xml:space="preserve">Leelee Thomas 											</t>
  </si>
  <si>
    <t xml:space="preserve">415 473 6697					</t>
  </si>
  <si>
    <t xml:space="preserve">Residual										</t>
  </si>
  <si>
    <t xml:space="preserve">400 Galleria Parkway, Suite 1450											</t>
  </si>
  <si>
    <t xml:space="preserve">Atlanta											</t>
  </si>
  <si>
    <t xml:space="preserve">Kevin Fitzpatrick											</t>
  </si>
  <si>
    <t xml:space="preserve">203-274-4359					</t>
  </si>
  <si>
    <t xml:space="preserve">Deferred										</t>
  </si>
  <si>
    <t>CalHFA Permanent Loan</t>
  </si>
  <si>
    <t xml:space="preserve">Deferred Developer Fee </t>
  </si>
  <si>
    <t>Cash flow from operations</t>
  </si>
  <si>
    <t>500 Capitol Mall, Suite 400, MS 990</t>
  </si>
  <si>
    <t xml:space="preserve">Sacramento											</t>
  </si>
  <si>
    <t>Kevin Brown</t>
  </si>
  <si>
    <t xml:space="preserve">(916) 326-8800					</t>
  </si>
  <si>
    <t>(late fees and misc)</t>
  </si>
  <si>
    <t>Air Conditioning</t>
  </si>
  <si>
    <t xml:space="preserve">Pacific Housing Inc. </t>
  </si>
  <si>
    <t>Operating Expense</t>
  </si>
  <si>
    <t xml:space="preserve">Provide services to community youth ages 7 to 12 in a shared environment where homework assistance, art appreciation, outdoor recreation, social development, and confidence-building activities are provided.  </t>
  </si>
  <si>
    <t>Provide services to teens ages 13 to 17 in a group environment that explores social skills , leadership development, community awareness, recreation and healthy living.</t>
  </si>
  <si>
    <t>Instructor-led Adult Education, Health and Wellness or skill building classes that are tailored to the requests and needs of residents.</t>
  </si>
  <si>
    <t>Marinwood GP, L.L.C. (Impact Residential Development, LLC)</t>
  </si>
  <si>
    <t>Managing general partner  alone meet the CDLAC 5230 (f) requirement.</t>
  </si>
  <si>
    <t>PACH San Jose Holding LLC (Pacific Housing, Inc.)</t>
  </si>
  <si>
    <t>Project is designed to CALGreen Tier 1 Standards. Project green design features include:
•	Project will be 100% electric energy
•	Solar rooftop generating electricity for residential units
•	Recycled water plumbing for all project toilets and for irrigation
•	Climate appropriate landscaping
•	Low-flow plumbing fixtures
•	Infill project site
•	Increased bike parking
•	Energy Star appliances
•	Efficient framing materials
•	Low VOC finishes and materials</t>
  </si>
  <si>
    <t>Preconstruction Agreement in place 12/10/24</t>
  </si>
  <si>
    <t>The GC Agreement will be based on an AIA 101-2017 Form (Standard Form of Agreement Between Owner and Contractor
where the basis of payment is a Stipulated Sum) and will cover:
•	Contract Sum
•	Substantial Completion Date
•	GC Fee
•	Reference to plan sets on which contract is based</t>
  </si>
  <si>
    <t>Phase 1 and II</t>
  </si>
  <si>
    <t>Mitigation Plan</t>
  </si>
  <si>
    <t>Site includes a former shopping center with a dry cleaners that contaminated a portion of the site. Seller is responsible for remediation and is close to completing it with SF Bay Regional Water Quality Board sign-off.  Development will include vapor intrusion mitigation systems (VIMs) for two of the four buildings and regular monitoring for a limited duration, which costs are included in the OPEX budget.</t>
  </si>
  <si>
    <t>Water, Sewer, etc. connection fees</t>
  </si>
  <si>
    <t>Appraised value &amp; Legal</t>
  </si>
  <si>
    <t>Closing</t>
  </si>
  <si>
    <t xml:space="preserve">Cash </t>
  </si>
  <si>
    <t>Completion</t>
  </si>
  <si>
    <t>Lease up</t>
  </si>
  <si>
    <t>Conversion</t>
  </si>
  <si>
    <t>Form 8609</t>
  </si>
  <si>
    <t>County of Marin AHT Loan</t>
  </si>
  <si>
    <t>Below residual receipts line for cash flow</t>
  </si>
  <si>
    <t>MIP (39% of 50% cash flow)</t>
  </si>
  <si>
    <t>Marin County (61% of 50% cash flow)</t>
  </si>
  <si>
    <t>Distribution to Owner</t>
  </si>
  <si>
    <t>Other: Lease-Up Reserve</t>
  </si>
  <si>
    <t>Other: (Perm Loan Legal)</t>
  </si>
  <si>
    <t>Other: Issuance Fees</t>
  </si>
  <si>
    <t>Other: Bond Transaction Costs</t>
  </si>
  <si>
    <t>Other: Lender Inspection and Construction Legal</t>
  </si>
  <si>
    <t>Other: Partnership Legal</t>
  </si>
  <si>
    <t>(subscription, office supplies, telephone)</t>
  </si>
  <si>
    <t>Benefits and payroll taxes</t>
  </si>
  <si>
    <t>cleaning supplies, and other maintainance</t>
  </si>
  <si>
    <t>CalFHA monitoring fee</t>
  </si>
  <si>
    <t xml:space="preserve">  </t>
  </si>
  <si>
    <t>CUAC</t>
  </si>
  <si>
    <t xml:space="preserve">San Rafael </t>
  </si>
  <si>
    <t>RBC</t>
  </si>
  <si>
    <t>GMP</t>
  </si>
  <si>
    <t>Miami Florida, 33139</t>
  </si>
  <si>
    <t>Lake Newcomb</t>
  </si>
  <si>
    <t>984-312-5386</t>
  </si>
  <si>
    <t>Lake.Newcomb@rbccm.com</t>
  </si>
  <si>
    <t>3800 Glenwood Ave Suite 400</t>
  </si>
  <si>
    <t>Raleigh, NC 27612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</si>
</sst>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17184">
    <xf numFmtId="0" fontId="0" fillId="0" borderId="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9" fillId="36" borderId="18" applyNumberFormat="0" applyAlignment="0" applyProtection="0"/>
    <xf numFmtId="0" fontId="89" fillId="36" borderId="18" applyNumberFormat="0" applyAlignment="0" applyProtection="0"/>
    <xf numFmtId="0" fontId="90" fillId="37" borderId="19"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27" fillId="0" borderId="0" applyFont="0" applyFill="0" applyBorder="0" applyAlignment="0" applyProtection="0"/>
    <xf numFmtId="43" fontId="62" fillId="0" borderId="0" applyFont="0" applyFill="0" applyBorder="0" applyAlignment="0" applyProtection="0"/>
    <xf numFmtId="44" fontId="79"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79" fillId="0" borderId="0" applyFont="0" applyFill="0" applyBorder="0" applyAlignment="0" applyProtection="0"/>
    <xf numFmtId="44" fontId="27" fillId="0" borderId="0" applyFont="0" applyFill="0" applyBorder="0" applyAlignment="0" applyProtection="0"/>
    <xf numFmtId="44" fontId="81"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27"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8"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7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27" fillId="0" borderId="0" applyFont="0" applyFill="0" applyBorder="0" applyAlignment="0" applyProtection="0"/>
    <xf numFmtId="44" fontId="72" fillId="0" borderId="0" applyFont="0" applyFill="0" applyBorder="0" applyAlignment="0" applyProtection="0"/>
    <xf numFmtId="44" fontId="27" fillId="0" borderId="0" applyFont="0" applyFill="0" applyBorder="0" applyAlignment="0" applyProtection="0"/>
    <xf numFmtId="44" fontId="78"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27"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8"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27"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27" fillId="0" borderId="0" applyFont="0" applyFill="0" applyBorder="0" applyAlignment="0" applyProtection="0"/>
    <xf numFmtId="44" fontId="7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77" fillId="0" borderId="0" applyFont="0" applyFill="0" applyBorder="0" applyAlignment="0" applyProtection="0"/>
    <xf numFmtId="44" fontId="27" fillId="0" borderId="0" applyFont="0" applyFill="0" applyBorder="0" applyAlignment="0" applyProtection="0"/>
    <xf numFmtId="0" fontId="91" fillId="0" borderId="0" applyNumberFormat="0" applyFill="0" applyBorder="0" applyAlignment="0" applyProtection="0"/>
    <xf numFmtId="0" fontId="92" fillId="38" borderId="0" applyNumberFormat="0" applyBorder="0" applyAlignment="0" applyProtection="0"/>
    <xf numFmtId="0" fontId="93" fillId="0" borderId="20" applyNumberFormat="0" applyFill="0" applyAlignment="0" applyProtection="0"/>
    <xf numFmtId="0" fontId="93" fillId="0" borderId="20"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83" fillId="0" borderId="0" applyNumberFormat="0" applyFill="0" applyBorder="0" applyAlignment="0" applyProtection="0">
      <alignment vertical="top"/>
      <protection locked="0"/>
    </xf>
    <xf numFmtId="0" fontId="96" fillId="39" borderId="18" applyNumberFormat="0" applyAlignment="0" applyProtection="0"/>
    <xf numFmtId="0" fontId="20" fillId="0" borderId="0" applyNumberFormat="0" applyBorder="0"/>
    <xf numFmtId="0" fontId="21" fillId="0" borderId="0" applyBorder="0" applyAlignment="0"/>
    <xf numFmtId="0" fontId="22" fillId="0" borderId="0" applyFill="0" applyBorder="0" applyAlignment="0"/>
    <xf numFmtId="0" fontId="97" fillId="0" borderId="23" applyNumberFormat="0" applyFill="0" applyAlignment="0" applyProtection="0"/>
    <xf numFmtId="0" fontId="98" fillId="40"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69" fontId="63" fillId="0" borderId="0"/>
    <xf numFmtId="0" fontId="86" fillId="0" borderId="0"/>
    <xf numFmtId="0" fontId="27" fillId="0" borderId="0"/>
    <xf numFmtId="0" fontId="27" fillId="0" borderId="0"/>
    <xf numFmtId="0" fontId="68" fillId="0" borderId="0"/>
    <xf numFmtId="0" fontId="62" fillId="0" borderId="0"/>
    <xf numFmtId="0" fontId="68" fillId="0" borderId="0"/>
    <xf numFmtId="0" fontId="62" fillId="0" borderId="0"/>
    <xf numFmtId="0" fontId="74"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4"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4" fillId="0" borderId="0"/>
    <xf numFmtId="0" fontId="62" fillId="0" borderId="0">
      <alignment vertical="top"/>
    </xf>
    <xf numFmtId="0" fontId="86" fillId="0" borderId="0"/>
    <xf numFmtId="0" fontId="86" fillId="0" borderId="0"/>
    <xf numFmtId="0" fontId="86" fillId="0" borderId="0"/>
    <xf numFmtId="0" fontId="86" fillId="0" borderId="0"/>
    <xf numFmtId="0" fontId="74" fillId="0" borderId="0"/>
    <xf numFmtId="0" fontId="27" fillId="0" borderId="0"/>
    <xf numFmtId="0" fontId="86" fillId="0" borderId="0"/>
    <xf numFmtId="0" fontId="27"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86"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62" fillId="0" borderId="0">
      <alignment vertical="top"/>
    </xf>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7" fillId="0" borderId="0"/>
    <xf numFmtId="0" fontId="86" fillId="0" borderId="0"/>
    <xf numFmtId="0" fontId="86" fillId="0" borderId="0"/>
    <xf numFmtId="0" fontId="86" fillId="0" borderId="0"/>
    <xf numFmtId="0" fontId="18" fillId="0" borderId="0" applyProtection="0">
      <protection locked="0"/>
    </xf>
    <xf numFmtId="0" fontId="27" fillId="0" borderId="0" applyProtection="0">
      <protection locked="0"/>
    </xf>
    <xf numFmtId="0" fontId="27" fillId="0" borderId="0" applyProtection="0">
      <protection locked="0"/>
    </xf>
    <xf numFmtId="0" fontId="63" fillId="0" borderId="0"/>
    <xf numFmtId="0" fontId="18" fillId="0" borderId="0"/>
    <xf numFmtId="0" fontId="78"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78"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86" fillId="41" borderId="24" applyNumberFormat="0" applyFont="0" applyAlignment="0" applyProtection="0"/>
    <xf numFmtId="0" fontId="101" fillId="36" borderId="25" applyNumberFormat="0" applyAlignment="0" applyProtection="0"/>
    <xf numFmtId="0" fontId="101" fillId="36" borderId="25" applyNumberFormat="0" applyAlignment="0" applyProtection="0"/>
    <xf numFmtId="0" fontId="23" fillId="0" borderId="0" applyNumberFormat="0" applyFill="0" applyBorder="0">
      <alignment horizontal="left"/>
    </xf>
    <xf numFmtId="0" fontId="102" fillId="0" borderId="0" applyNumberFormat="0" applyFill="0" applyBorder="0" applyAlignment="0" applyProtection="0"/>
    <xf numFmtId="0" fontId="103" fillId="0" borderId="26" applyNumberFormat="0" applyFill="0" applyAlignment="0" applyProtection="0"/>
    <xf numFmtId="0" fontId="103" fillId="0" borderId="26" applyNumberFormat="0" applyFill="0" applyAlignment="0" applyProtection="0"/>
    <xf numFmtId="0" fontId="104" fillId="0" borderId="0" applyNumberFormat="0" applyFill="0" applyBorder="0" applyAlignment="0" applyProtection="0"/>
    <xf numFmtId="0" fontId="18" fillId="0" borderId="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9" fontId="18" fillId="0" borderId="0" applyFont="0" applyFill="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9"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4" fontId="111"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78" fillId="41" borderId="24" applyNumberFormat="0" applyFont="0" applyAlignment="0" applyProtection="0"/>
    <xf numFmtId="0" fontId="112" fillId="0" borderId="0" applyNumberForma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02" fillId="0" borderId="0" applyNumberFormat="0" applyFill="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44" fontId="18" fillId="0" borderId="0" applyFont="0" applyFill="0" applyBorder="0" applyAlignment="0" applyProtection="0"/>
    <xf numFmtId="9" fontId="121" fillId="0" borderId="0" applyFont="0" applyFill="0" applyBorder="0" applyAlignment="0" applyProtection="0"/>
    <xf numFmtId="0" fontId="121" fillId="0" borderId="0"/>
    <xf numFmtId="0" fontId="12" fillId="0" borderId="0"/>
    <xf numFmtId="0" fontId="18"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43" fontId="149" fillId="0" borderId="0" applyFont="0" applyFill="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44" fontId="151"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18" fillId="0" borderId="0" applyBorder="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18"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2696">
    <xf numFmtId="0" fontId="0" fillId="0" borderId="0" xfId="0"/>
    <xf numFmtId="0" fontId="0" fillId="0" borderId="0" xfId="0" applyAlignment="1">
      <alignment horizontal="center"/>
    </xf>
    <xf numFmtId="0" fontId="25" fillId="0" borderId="0" xfId="0" applyFont="1"/>
    <xf numFmtId="0" fontId="18" fillId="0" borderId="0" xfId="0" applyFont="1"/>
    <xf numFmtId="0" fontId="27" fillId="0" borderId="0" xfId="0" applyFont="1"/>
    <xf numFmtId="0" fontId="0" fillId="0" borderId="4" xfId="0" applyBorder="1"/>
    <xf numFmtId="0" fontId="27" fillId="0" borderId="0" xfId="0" applyFont="1" applyAlignment="1">
      <alignment horizontal="center"/>
    </xf>
    <xf numFmtId="0" fontId="18"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5" fillId="0" borderId="4" xfId="0" applyFont="1" applyBorder="1"/>
    <xf numFmtId="164" fontId="0" fillId="0" borderId="0" xfId="0" applyNumberFormat="1" applyAlignment="1">
      <alignment horizontal="right"/>
    </xf>
    <xf numFmtId="0" fontId="25" fillId="0" borderId="0" xfId="0" applyFont="1" applyAlignment="1">
      <alignment horizontal="center"/>
    </xf>
    <xf numFmtId="0" fontId="18" fillId="0" borderId="0" xfId="543"/>
    <xf numFmtId="0" fontId="27" fillId="0" borderId="0" xfId="0" applyFont="1" applyAlignment="1">
      <alignment horizontal="left" vertical="top" wrapText="1"/>
    </xf>
    <xf numFmtId="0" fontId="33" fillId="0" borderId="0" xfId="0" applyFont="1"/>
    <xf numFmtId="0" fontId="26" fillId="0" borderId="0" xfId="0" applyFont="1" applyAlignment="1">
      <alignment vertical="top"/>
    </xf>
    <xf numFmtId="0" fontId="26" fillId="0" borderId="0" xfId="0" applyFont="1" applyAlignment="1">
      <alignment vertical="top" wrapText="1"/>
    </xf>
    <xf numFmtId="0" fontId="27" fillId="0" borderId="0" xfId="0" applyFont="1" applyAlignment="1">
      <alignment horizontal="left" indent="4"/>
    </xf>
    <xf numFmtId="0" fontId="26" fillId="0" borderId="0" xfId="0" applyFont="1" applyAlignment="1">
      <alignment horizontal="left" vertical="top"/>
    </xf>
    <xf numFmtId="0" fontId="26" fillId="0" borderId="0" xfId="0" applyFont="1" applyAlignment="1">
      <alignment horizontal="left"/>
    </xf>
    <xf numFmtId="0" fontId="26" fillId="0" borderId="0" xfId="0" applyFont="1"/>
    <xf numFmtId="0" fontId="38" fillId="0" borderId="0" xfId="543" applyFont="1"/>
    <xf numFmtId="1" fontId="26" fillId="0" borderId="0" xfId="0" applyNumberFormat="1" applyFont="1" applyAlignment="1">
      <alignment horizontal="left"/>
    </xf>
    <xf numFmtId="0" fontId="28" fillId="0" borderId="0" xfId="0" applyFont="1"/>
    <xf numFmtId="1" fontId="26" fillId="0" borderId="0" xfId="0" applyNumberFormat="1" applyFont="1" applyAlignment="1">
      <alignment horizontal="right"/>
    </xf>
    <xf numFmtId="0" fontId="0" fillId="0" borderId="0" xfId="0" applyAlignment="1">
      <alignment horizontal="right"/>
    </xf>
    <xf numFmtId="0" fontId="37" fillId="0" borderId="0" xfId="0" applyFont="1"/>
    <xf numFmtId="0" fontId="30" fillId="0" borderId="0" xfId="0" applyFont="1"/>
    <xf numFmtId="172" fontId="18" fillId="0" borderId="0" xfId="543" applyNumberFormat="1"/>
    <xf numFmtId="9" fontId="18" fillId="0" borderId="0" xfId="543" applyNumberFormat="1" applyAlignment="1">
      <alignment horizontal="left"/>
    </xf>
    <xf numFmtId="168" fontId="18" fillId="0" borderId="0" xfId="543" applyNumberFormat="1"/>
    <xf numFmtId="0" fontId="27" fillId="0" borderId="0" xfId="0" applyFont="1" applyAlignment="1">
      <alignment horizontal="right"/>
    </xf>
    <xf numFmtId="0" fontId="41" fillId="0" borderId="0" xfId="0" applyFont="1"/>
    <xf numFmtId="0" fontId="27" fillId="0" borderId="0" xfId="0" applyFont="1" applyAlignment="1">
      <alignment horizontal="left"/>
    </xf>
    <xf numFmtId="0" fontId="29" fillId="0" borderId="0" xfId="0" applyFont="1"/>
    <xf numFmtId="0" fontId="31" fillId="0" borderId="0" xfId="0" applyFont="1"/>
    <xf numFmtId="0" fontId="25"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5" fillId="0" borderId="1" xfId="0" applyFont="1" applyBorder="1" applyAlignment="1">
      <alignment horizontal="center" wrapText="1"/>
    </xf>
    <xf numFmtId="0" fontId="25"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5" fillId="0" borderId="4" xfId="0" applyFont="1" applyBorder="1" applyAlignment="1">
      <alignment horizontal="center"/>
    </xf>
    <xf numFmtId="0" fontId="34" fillId="0" borderId="3" xfId="0" applyFont="1" applyBorder="1" applyAlignment="1">
      <alignment horizontal="left"/>
    </xf>
    <xf numFmtId="0" fontId="34" fillId="0" borderId="9" xfId="0" applyFont="1" applyBorder="1" applyAlignment="1">
      <alignment horizontal="left"/>
    </xf>
    <xf numFmtId="0" fontId="25" fillId="0" borderId="4" xfId="0" applyFont="1" applyBorder="1" applyAlignment="1">
      <alignment horizontal="right"/>
    </xf>
    <xf numFmtId="0" fontId="25" fillId="0" borderId="5" xfId="0" applyFont="1" applyBorder="1" applyAlignment="1">
      <alignment horizontal="right"/>
    </xf>
    <xf numFmtId="0" fontId="34" fillId="0" borderId="0" xfId="0" applyFont="1" applyAlignment="1">
      <alignment horizontal="left"/>
    </xf>
    <xf numFmtId="0" fontId="25" fillId="0" borderId="0" xfId="0" applyFont="1" applyAlignment="1">
      <alignment horizontal="right"/>
    </xf>
    <xf numFmtId="0" fontId="25"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7" fillId="0" borderId="11" xfId="0" applyFont="1" applyBorder="1" applyAlignment="1">
      <alignment horizontal="left"/>
    </xf>
    <xf numFmtId="0" fontId="25" fillId="0" borderId="9" xfId="0" applyFont="1" applyBorder="1"/>
    <xf numFmtId="164" fontId="0" fillId="0" borderId="0" xfId="0" applyNumberFormat="1" applyAlignment="1">
      <alignment horizontal="center"/>
    </xf>
    <xf numFmtId="0" fontId="0" fillId="0" borderId="12" xfId="0" applyBorder="1"/>
    <xf numFmtId="0" fontId="27" fillId="0" borderId="3" xfId="0" applyFont="1" applyBorder="1"/>
    <xf numFmtId="0" fontId="27" fillId="0" borderId="0" xfId="543" applyFont="1"/>
    <xf numFmtId="0" fontId="43" fillId="0" borderId="0" xfId="543" applyFont="1"/>
    <xf numFmtId="49" fontId="18" fillId="0" borderId="0" xfId="543" applyNumberFormat="1"/>
    <xf numFmtId="0" fontId="41" fillId="0" borderId="0" xfId="543" applyFont="1"/>
    <xf numFmtId="168" fontId="38" fillId="0" borderId="6" xfId="543" applyNumberFormat="1" applyFont="1" applyBorder="1" applyAlignment="1">
      <alignment horizontal="left"/>
    </xf>
    <xf numFmtId="168" fontId="38" fillId="0" borderId="6" xfId="543" applyNumberFormat="1" applyFont="1" applyBorder="1" applyAlignment="1">
      <alignment horizontal="center"/>
    </xf>
    <xf numFmtId="0" fontId="18" fillId="0" borderId="8" xfId="543" applyBorder="1"/>
    <xf numFmtId="0" fontId="38" fillId="0" borderId="0" xfId="543" applyFont="1" applyAlignment="1">
      <alignment horizontal="center"/>
    </xf>
    <xf numFmtId="0" fontId="37" fillId="0" borderId="9" xfId="543" applyFont="1" applyBorder="1" applyAlignment="1">
      <alignment horizontal="left" vertical="top" wrapText="1"/>
    </xf>
    <xf numFmtId="0" fontId="37" fillId="0" borderId="6" xfId="543" applyFont="1" applyBorder="1" applyAlignment="1">
      <alignment horizontal="center" vertical="top" wrapText="1"/>
    </xf>
    <xf numFmtId="0" fontId="18" fillId="0" borderId="9" xfId="543" applyBorder="1"/>
    <xf numFmtId="0" fontId="18" fillId="0" borderId="10" xfId="543" applyBorder="1"/>
    <xf numFmtId="0" fontId="18" fillId="0" borderId="1" xfId="543" applyBorder="1"/>
    <xf numFmtId="0" fontId="38" fillId="0" borderId="2" xfId="543" applyFont="1" applyBorder="1" applyAlignment="1">
      <alignment horizontal="center"/>
    </xf>
    <xf numFmtId="0" fontId="40" fillId="0" borderId="8" xfId="543" applyFont="1" applyBorder="1" applyAlignment="1">
      <alignment horizontal="left" vertical="top" wrapText="1"/>
    </xf>
    <xf numFmtId="0" fontId="37" fillId="0" borderId="0" xfId="543" applyFont="1" applyAlignment="1">
      <alignment horizontal="center" vertical="top" wrapText="1"/>
    </xf>
    <xf numFmtId="0" fontId="18" fillId="0" borderId="12" xfId="543" applyBorder="1"/>
    <xf numFmtId="0" fontId="40" fillId="0" borderId="0" xfId="543" applyFont="1" applyAlignment="1">
      <alignment horizontal="center" vertical="top" wrapText="1"/>
    </xf>
    <xf numFmtId="0" fontId="40" fillId="0" borderId="9" xfId="543" applyFont="1" applyBorder="1" applyAlignment="1">
      <alignment horizontal="left" vertical="top" wrapText="1"/>
    </xf>
    <xf numFmtId="0" fontId="18" fillId="0" borderId="2" xfId="543" applyBorder="1"/>
    <xf numFmtId="0" fontId="18" fillId="0" borderId="7" xfId="543" applyBorder="1"/>
    <xf numFmtId="0" fontId="37" fillId="0" borderId="0" xfId="543" applyFont="1"/>
    <xf numFmtId="0" fontId="18" fillId="0" borderId="0" xfId="543" applyAlignment="1">
      <alignment horizontal="center"/>
    </xf>
    <xf numFmtId="0" fontId="26" fillId="0" borderId="6" xfId="543" applyFont="1" applyBorder="1" applyAlignment="1">
      <alignment vertical="top" wrapText="1"/>
    </xf>
    <xf numFmtId="0" fontId="27" fillId="0" borderId="0" xfId="0" applyFont="1" applyAlignment="1">
      <alignment horizontal="left" vertical="top"/>
    </xf>
    <xf numFmtId="0" fontId="0" fillId="2" borderId="2" xfId="0" applyFill="1" applyBorder="1"/>
    <xf numFmtId="0" fontId="0" fillId="2" borderId="7" xfId="0" applyFill="1" applyBorder="1"/>
    <xf numFmtId="0" fontId="25" fillId="0" borderId="6" xfId="0" applyFont="1" applyBorder="1" applyAlignment="1">
      <alignment horizontal="right"/>
    </xf>
    <xf numFmtId="0" fontId="24" fillId="0" borderId="0" xfId="0" applyFont="1" applyAlignment="1">
      <alignment horizontal="center" vertical="center"/>
    </xf>
    <xf numFmtId="0" fontId="25" fillId="0" borderId="0" xfId="0" applyFont="1" applyAlignment="1">
      <alignment vertical="top"/>
    </xf>
    <xf numFmtId="166" fontId="0" fillId="0" borderId="0" xfId="0" applyNumberFormat="1" applyAlignment="1">
      <alignment horizontal="right"/>
    </xf>
    <xf numFmtId="0" fontId="48" fillId="0" borderId="0" xfId="0" applyFont="1"/>
    <xf numFmtId="0" fontId="35" fillId="0" borderId="0" xfId="0" applyFont="1"/>
    <xf numFmtId="0" fontId="19" fillId="0" borderId="0" xfId="244" applyBorder="1" applyProtection="1"/>
    <xf numFmtId="0" fontId="19" fillId="0" borderId="0" xfId="244" applyFill="1" applyBorder="1" applyAlignment="1">
      <alignment horizontal="center" vertical="center"/>
    </xf>
    <xf numFmtId="0" fontId="18" fillId="0" borderId="3" xfId="543" applyBorder="1"/>
    <xf numFmtId="0" fontId="40" fillId="0" borderId="4" xfId="543" applyFont="1" applyBorder="1" applyAlignment="1">
      <alignment horizontal="right" vertical="top" wrapText="1"/>
    </xf>
    <xf numFmtId="0" fontId="27" fillId="0" borderId="6" xfId="0" applyFont="1" applyBorder="1"/>
    <xf numFmtId="0" fontId="27" fillId="0" borderId="2" xfId="0" applyFont="1" applyBorder="1"/>
    <xf numFmtId="0" fontId="27" fillId="0" borderId="7" xfId="0" applyFont="1" applyBorder="1"/>
    <xf numFmtId="0" fontId="27" fillId="0" borderId="12" xfId="0" applyFont="1" applyBorder="1"/>
    <xf numFmtId="0" fontId="27" fillId="0" borderId="9" xfId="0" applyFont="1" applyBorder="1"/>
    <xf numFmtId="0" fontId="27" fillId="0" borderId="10" xfId="0" applyFont="1" applyBorder="1"/>
    <xf numFmtId="0" fontId="32" fillId="0" borderId="6" xfId="0" applyFont="1" applyBorder="1" applyAlignment="1">
      <alignment vertical="top" wrapText="1"/>
    </xf>
    <xf numFmtId="0" fontId="32" fillId="0" borderId="5" xfId="0" applyFont="1" applyBorder="1" applyAlignment="1">
      <alignment vertical="top" wrapText="1"/>
    </xf>
    <xf numFmtId="0" fontId="32" fillId="0" borderId="4" xfId="0" applyFont="1" applyBorder="1" applyAlignment="1">
      <alignment vertical="top" wrapText="1"/>
    </xf>
    <xf numFmtId="0" fontId="32" fillId="2" borderId="6" xfId="0" applyFont="1" applyFill="1" applyBorder="1" applyAlignment="1">
      <alignment vertical="top" wrapText="1"/>
    </xf>
    <xf numFmtId="0" fontId="0" fillId="0" borderId="8" xfId="0" applyBorder="1"/>
    <xf numFmtId="0" fontId="25" fillId="0" borderId="2" xfId="0" applyFont="1" applyBorder="1"/>
    <xf numFmtId="0" fontId="27" fillId="0" borderId="0" xfId="0" applyFont="1" applyAlignment="1">
      <alignment vertical="top"/>
    </xf>
    <xf numFmtId="0" fontId="27" fillId="0" borderId="0" xfId="0" applyFont="1" applyAlignment="1">
      <alignment vertical="top" wrapText="1"/>
    </xf>
    <xf numFmtId="0" fontId="18" fillId="0" borderId="0" xfId="0" applyFont="1" applyAlignment="1">
      <alignment horizontal="left"/>
    </xf>
    <xf numFmtId="0" fontId="18" fillId="0" borderId="0" xfId="0" applyFont="1" applyAlignment="1">
      <alignment vertical="top"/>
    </xf>
    <xf numFmtId="0" fontId="47" fillId="0" borderId="0" xfId="0" applyFont="1"/>
    <xf numFmtId="0" fontId="18" fillId="0" borderId="3" xfId="0" applyFont="1" applyBorder="1"/>
    <xf numFmtId="0" fontId="18"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2" fillId="3" borderId="4" xfId="0" applyFont="1" applyFill="1" applyBorder="1" applyAlignment="1">
      <alignment vertical="top" wrapText="1"/>
    </xf>
    <xf numFmtId="0" fontId="32" fillId="3" borderId="5" xfId="0" applyFont="1" applyFill="1" applyBorder="1" applyAlignment="1">
      <alignment vertical="top" wrapText="1"/>
    </xf>
    <xf numFmtId="0" fontId="50" fillId="0" borderId="0" xfId="0" applyFont="1"/>
    <xf numFmtId="0" fontId="27" fillId="0" borderId="4" xfId="0" applyFont="1" applyBorder="1"/>
    <xf numFmtId="0" fontId="25" fillId="0" borderId="2" xfId="0" applyFont="1" applyBorder="1" applyAlignment="1">
      <alignment horizontal="center"/>
    </xf>
    <xf numFmtId="0" fontId="25" fillId="0" borderId="0" xfId="0" applyFont="1" applyAlignment="1">
      <alignment horizontal="center" vertical="center" wrapText="1"/>
    </xf>
    <xf numFmtId="0" fontId="25" fillId="0" borderId="7" xfId="543" applyFont="1" applyBorder="1" applyAlignment="1">
      <alignment horizontal="right"/>
    </xf>
    <xf numFmtId="0" fontId="26" fillId="0" borderId="9" xfId="543" applyFont="1" applyBorder="1"/>
    <xf numFmtId="0" fontId="27" fillId="0" borderId="6" xfId="543" applyFont="1" applyBorder="1"/>
    <xf numFmtId="0" fontId="26" fillId="0" borderId="6" xfId="543" applyFont="1" applyBorder="1" applyAlignment="1">
      <alignment horizontal="right"/>
    </xf>
    <xf numFmtId="0" fontId="25" fillId="0" borderId="0" xfId="0" applyFont="1" applyAlignment="1">
      <alignment horizontal="center" vertical="center"/>
    </xf>
    <xf numFmtId="0" fontId="27" fillId="0" borderId="0" xfId="0" applyFont="1" applyAlignment="1">
      <alignment horizontal="left" vertical="center"/>
    </xf>
    <xf numFmtId="0" fontId="55" fillId="0" borderId="3" xfId="0" applyFont="1" applyBorder="1" applyAlignment="1">
      <alignment horizontal="left" vertical="top"/>
    </xf>
    <xf numFmtId="0" fontId="55" fillId="0" borderId="13" xfId="0" applyFont="1" applyBorder="1" applyAlignment="1">
      <alignment horizontal="center" wrapText="1"/>
    </xf>
    <xf numFmtId="0" fontId="55" fillId="0" borderId="13" xfId="0" applyFont="1" applyBorder="1" applyAlignment="1">
      <alignment horizontal="center" vertical="top" wrapText="1"/>
    </xf>
    <xf numFmtId="0" fontId="55" fillId="2" borderId="13" xfId="0" applyFont="1" applyFill="1" applyBorder="1" applyAlignment="1">
      <alignment horizontal="center" wrapText="1"/>
    </xf>
    <xf numFmtId="0" fontId="56" fillId="2" borderId="11" xfId="0" applyFont="1" applyFill="1" applyBorder="1" applyAlignment="1">
      <alignment horizontal="left" vertical="top" wrapText="1"/>
    </xf>
    <xf numFmtId="0" fontId="57" fillId="4" borderId="11" xfId="0" applyFont="1" applyFill="1" applyBorder="1" applyAlignment="1">
      <alignment vertical="top" wrapText="1"/>
    </xf>
    <xf numFmtId="0" fontId="57" fillId="2" borderId="11" xfId="0" applyFont="1" applyFill="1" applyBorder="1" applyAlignment="1">
      <alignment vertical="top" wrapText="1"/>
    </xf>
    <xf numFmtId="0" fontId="57" fillId="0" borderId="11" xfId="0" applyFont="1" applyBorder="1" applyAlignment="1">
      <alignment vertical="top" wrapText="1"/>
    </xf>
    <xf numFmtId="0" fontId="57" fillId="0" borderId="11" xfId="0" applyFont="1" applyBorder="1" applyAlignment="1">
      <alignment horizontal="right" vertical="top" wrapText="1"/>
    </xf>
    <xf numFmtId="168" fontId="57" fillId="0" borderId="11" xfId="0" applyNumberFormat="1" applyFont="1" applyBorder="1" applyAlignment="1">
      <alignment vertical="top" wrapText="1"/>
    </xf>
    <xf numFmtId="168" fontId="57" fillId="5" borderId="11" xfId="0" applyNumberFormat="1" applyFont="1" applyFill="1" applyBorder="1" applyAlignment="1" applyProtection="1">
      <alignment vertical="top" wrapText="1"/>
      <protection locked="0"/>
    </xf>
    <xf numFmtId="168" fontId="57" fillId="6" borderId="11" xfId="0" applyNumberFormat="1" applyFont="1" applyFill="1" applyBorder="1" applyAlignment="1">
      <alignment horizontal="center"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7" fillId="4" borderId="11" xfId="0" applyNumberFormat="1"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21" fillId="0" borderId="11" xfId="0" applyFont="1" applyBorder="1" applyAlignment="1">
      <alignment horizontal="right" vertical="top" wrapText="1"/>
    </xf>
    <xf numFmtId="0" fontId="57" fillId="0" borderId="11" xfId="0" applyFont="1" applyBorder="1" applyAlignment="1" applyProtection="1">
      <alignment horizontal="right" vertical="top" wrapText="1"/>
      <protection locked="0"/>
    </xf>
    <xf numFmtId="0" fontId="55" fillId="0" borderId="0" xfId="0" applyFont="1" applyAlignment="1">
      <alignment horizontal="left" vertical="top"/>
    </xf>
    <xf numFmtId="0" fontId="57" fillId="0" borderId="0" xfId="0" applyFont="1" applyAlignment="1">
      <alignment horizontal="left" vertical="top"/>
    </xf>
    <xf numFmtId="0" fontId="57" fillId="0" borderId="0" xfId="0" applyFont="1" applyAlignment="1">
      <alignment vertical="top" wrapText="1"/>
    </xf>
    <xf numFmtId="0" fontId="57" fillId="0" borderId="0" xfId="0" applyFont="1" applyAlignment="1">
      <alignment vertical="top"/>
    </xf>
    <xf numFmtId="0" fontId="55" fillId="0" borderId="0" xfId="0" applyFont="1" applyAlignment="1">
      <alignment horizontal="right" vertical="top"/>
    </xf>
    <xf numFmtId="0" fontId="57" fillId="2" borderId="0" xfId="0" applyFont="1" applyFill="1" applyAlignment="1">
      <alignment vertical="top" wrapText="1"/>
    </xf>
    <xf numFmtId="0" fontId="55" fillId="0" borderId="0" xfId="0" applyFont="1" applyAlignment="1">
      <alignment vertical="top"/>
    </xf>
    <xf numFmtId="166" fontId="27" fillId="0" borderId="0" xfId="0" applyNumberFormat="1" applyFont="1" applyAlignment="1">
      <alignment horizontal="left"/>
    </xf>
    <xf numFmtId="0" fontId="58" fillId="0" borderId="0" xfId="0" applyFont="1"/>
    <xf numFmtId="0" fontId="18" fillId="0" borderId="0" xfId="244" applyFont="1" applyFill="1" applyBorder="1" applyAlignment="1" applyProtection="1">
      <alignment horizontal="left"/>
    </xf>
    <xf numFmtId="0" fontId="49" fillId="0" borderId="0" xfId="0" applyFont="1"/>
    <xf numFmtId="0" fontId="49" fillId="0" borderId="0" xfId="244" applyFont="1" applyFill="1" applyBorder="1" applyAlignment="1" applyProtection="1">
      <alignment horizontal="left"/>
    </xf>
    <xf numFmtId="0" fontId="24" fillId="3" borderId="11" xfId="0" applyFont="1" applyFill="1" applyBorder="1" applyAlignment="1">
      <alignment vertical="top"/>
    </xf>
    <xf numFmtId="0" fontId="0" fillId="7" borderId="0" xfId="0" applyFill="1"/>
    <xf numFmtId="0" fontId="38" fillId="0" borderId="0" xfId="0" applyFont="1"/>
    <xf numFmtId="0" fontId="60" fillId="0" borderId="0" xfId="0" applyFont="1"/>
    <xf numFmtId="0" fontId="36" fillId="0" borderId="0" xfId="0" applyFont="1" applyAlignment="1">
      <alignment horizontal="center"/>
    </xf>
    <xf numFmtId="0" fontId="36" fillId="0" borderId="0" xfId="0" applyFont="1" applyAlignment="1">
      <alignment horizontal="left"/>
    </xf>
    <xf numFmtId="49" fontId="25" fillId="0" borderId="0" xfId="0" applyNumberFormat="1" applyFont="1" applyAlignment="1">
      <alignment horizontal="center"/>
    </xf>
    <xf numFmtId="0" fontId="52" fillId="0" borderId="0" xfId="0" applyFont="1" applyAlignment="1">
      <alignment horizontal="center"/>
    </xf>
    <xf numFmtId="168" fontId="27" fillId="0" borderId="0" xfId="0" applyNumberFormat="1" applyFont="1" applyAlignment="1">
      <alignment horizontal="center"/>
    </xf>
    <xf numFmtId="168" fontId="37" fillId="0" borderId="0" xfId="0" applyNumberFormat="1" applyFont="1" applyAlignment="1">
      <alignment horizontal="left" vertical="top" wrapText="1"/>
    </xf>
    <xf numFmtId="0" fontId="54" fillId="0" borderId="3" xfId="0" applyFont="1" applyBorder="1"/>
    <xf numFmtId="168" fontId="0" fillId="0" borderId="0" xfId="0" applyNumberFormat="1" applyAlignment="1">
      <alignment horizontal="center"/>
    </xf>
    <xf numFmtId="0" fontId="38" fillId="0" borderId="0" xfId="0" applyFont="1" applyAlignment="1">
      <alignment vertical="top" wrapText="1"/>
    </xf>
    <xf numFmtId="0" fontId="55" fillId="0" borderId="4" xfId="0" applyFont="1" applyBorder="1" applyAlignment="1">
      <alignment horizontal="right"/>
    </xf>
    <xf numFmtId="0" fontId="62" fillId="0" borderId="0" xfId="0" applyFont="1"/>
    <xf numFmtId="3" fontId="27" fillId="0" borderId="0" xfId="0" applyNumberFormat="1" applyFont="1" applyAlignment="1">
      <alignment horizontal="center"/>
    </xf>
    <xf numFmtId="168" fontId="18" fillId="0" borderId="0" xfId="0" applyNumberFormat="1" applyFont="1" applyAlignment="1">
      <alignment horizontal="left" vertical="top"/>
    </xf>
    <xf numFmtId="168" fontId="27" fillId="0" borderId="0" xfId="0" applyNumberFormat="1" applyFont="1" applyAlignment="1">
      <alignment horizontal="left" vertical="top"/>
    </xf>
    <xf numFmtId="0" fontId="57" fillId="0" borderId="11" xfId="0" applyFont="1" applyBorder="1" applyAlignment="1">
      <alignment horizontal="right" vertical="top"/>
    </xf>
    <xf numFmtId="0" fontId="57" fillId="0" borderId="0" xfId="0" applyFont="1" applyAlignment="1">
      <alignment horizontal="right" vertical="top" wrapText="1"/>
    </xf>
    <xf numFmtId="0" fontId="57" fillId="2" borderId="12" xfId="0" applyFont="1" applyFill="1" applyBorder="1" applyAlignment="1">
      <alignment vertical="top" wrapText="1"/>
    </xf>
    <xf numFmtId="0" fontId="57" fillId="0" borderId="14" xfId="0" applyFont="1" applyBorder="1" applyAlignment="1">
      <alignment vertical="top" wrapText="1"/>
    </xf>
    <xf numFmtId="168" fontId="57" fillId="5" borderId="11" xfId="0" applyNumberFormat="1" applyFont="1" applyFill="1" applyBorder="1" applyAlignment="1" applyProtection="1">
      <alignment vertical="top"/>
      <protection locked="0"/>
    </xf>
    <xf numFmtId="0" fontId="57" fillId="2" borderId="11" xfId="0" applyFont="1" applyFill="1" applyBorder="1" applyAlignment="1" applyProtection="1">
      <alignment vertical="top"/>
      <protection locked="0"/>
    </xf>
    <xf numFmtId="0" fontId="57" fillId="0" borderId="11" xfId="0" applyFont="1" applyBorder="1" applyAlignment="1" applyProtection="1">
      <alignment vertical="top"/>
      <protection locked="0"/>
    </xf>
    <xf numFmtId="168" fontId="57" fillId="0" borderId="11" xfId="0" applyNumberFormat="1" applyFont="1" applyBorder="1" applyAlignment="1">
      <alignment vertical="top"/>
    </xf>
    <xf numFmtId="168" fontId="57" fillId="6" borderId="11" xfId="0" applyNumberFormat="1" applyFont="1" applyFill="1" applyBorder="1" applyAlignment="1">
      <alignment horizontal="center" vertical="top"/>
    </xf>
    <xf numFmtId="0" fontId="25" fillId="0" borderId="0" xfId="542" applyFont="1" applyProtection="1">
      <protection locked="0"/>
    </xf>
    <xf numFmtId="0" fontId="18" fillId="0" borderId="0" xfId="539" applyProtection="1"/>
    <xf numFmtId="0" fontId="38" fillId="8" borderId="0" xfId="539" applyFont="1" applyFill="1" applyAlignment="1" applyProtection="1">
      <alignment horizontal="centerContinuous"/>
    </xf>
    <xf numFmtId="0" fontId="25" fillId="0" borderId="0" xfId="543" applyFont="1"/>
    <xf numFmtId="0" fontId="27" fillId="0" borderId="0" xfId="543" applyFont="1" applyAlignment="1">
      <alignment horizontal="left"/>
    </xf>
    <xf numFmtId="0" fontId="27" fillId="0" borderId="15" xfId="0" applyFont="1" applyBorder="1"/>
    <xf numFmtId="2" fontId="41" fillId="0" borderId="11" xfId="0" applyNumberFormat="1" applyFont="1" applyBorder="1"/>
    <xf numFmtId="0" fontId="18" fillId="0" borderId="0" xfId="0" applyFont="1" applyProtection="1">
      <protection locked="0"/>
    </xf>
    <xf numFmtId="0" fontId="65" fillId="0" borderId="0" xfId="0" applyFont="1" applyAlignment="1">
      <alignment horizontal="center"/>
    </xf>
    <xf numFmtId="0" fontId="27" fillId="0" borderId="0" xfId="271"/>
    <xf numFmtId="0" fontId="25" fillId="0" borderId="0" xfId="271" applyFont="1"/>
    <xf numFmtId="0" fontId="27" fillId="0" borderId="0" xfId="271" applyAlignment="1">
      <alignment horizontal="left"/>
    </xf>
    <xf numFmtId="168" fontId="25" fillId="0" borderId="2" xfId="543" applyNumberFormat="1" applyFont="1" applyBorder="1" applyAlignment="1">
      <alignment horizontal="center" vertical="center"/>
    </xf>
    <xf numFmtId="0" fontId="40" fillId="0" borderId="0" xfId="543" applyFont="1" applyAlignment="1">
      <alignment horizontal="right" vertical="top" wrapText="1"/>
    </xf>
    <xf numFmtId="0" fontId="38" fillId="0" borderId="2" xfId="543" applyFont="1" applyBorder="1" applyAlignment="1">
      <alignment horizontal="right" vertical="top" wrapText="1"/>
    </xf>
    <xf numFmtId="0" fontId="23" fillId="0" borderId="0" xfId="0" applyFont="1"/>
    <xf numFmtId="0" fontId="67" fillId="0" borderId="0" xfId="0" applyFont="1"/>
    <xf numFmtId="0" fontId="65" fillId="0" borderId="0" xfId="0" applyFont="1"/>
    <xf numFmtId="0" fontId="38"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5" fillId="0" borderId="0" xfId="0" applyNumberFormat="1" applyFont="1" applyAlignment="1">
      <alignment horizontal="center"/>
    </xf>
    <xf numFmtId="3" fontId="27" fillId="0" borderId="0" xfId="0" applyNumberFormat="1" applyFont="1"/>
    <xf numFmtId="0" fontId="66" fillId="0" borderId="0" xfId="0" applyFont="1"/>
    <xf numFmtId="168" fontId="23" fillId="0" borderId="0" xfId="0" applyNumberFormat="1" applyFont="1"/>
    <xf numFmtId="10" fontId="23" fillId="0" borderId="0" xfId="0" applyNumberFormat="1" applyFont="1" applyAlignment="1">
      <alignment horizontal="center"/>
    </xf>
    <xf numFmtId="3" fontId="69" fillId="0" borderId="0" xfId="0" applyNumberFormat="1" applyFont="1"/>
    <xf numFmtId="3" fontId="23" fillId="0" borderId="0" xfId="0" applyNumberFormat="1" applyFont="1"/>
    <xf numFmtId="168" fontId="66" fillId="0" borderId="0" xfId="0" applyNumberFormat="1" applyFont="1"/>
    <xf numFmtId="168" fontId="66" fillId="0" borderId="0" xfId="0" applyNumberFormat="1" applyFont="1" applyAlignment="1">
      <alignment horizontal="center"/>
    </xf>
    <xf numFmtId="0" fontId="23" fillId="5" borderId="0" xfId="0" applyFont="1" applyFill="1" applyAlignment="1">
      <alignment horizontal="left"/>
    </xf>
    <xf numFmtId="0" fontId="23" fillId="5" borderId="0" xfId="0" applyFont="1" applyFill="1"/>
    <xf numFmtId="10" fontId="23" fillId="0" borderId="0" xfId="0" applyNumberFormat="1" applyFont="1"/>
    <xf numFmtId="172" fontId="23" fillId="0" borderId="0" xfId="0" applyNumberFormat="1" applyFont="1"/>
    <xf numFmtId="172" fontId="23" fillId="0" borderId="0" xfId="0" applyNumberFormat="1" applyFont="1" applyAlignment="1">
      <alignment horizontal="center"/>
    </xf>
    <xf numFmtId="0" fontId="23" fillId="0" borderId="6" xfId="0" applyFont="1" applyBorder="1"/>
    <xf numFmtId="10" fontId="23" fillId="0" borderId="6" xfId="0" applyNumberFormat="1" applyFont="1" applyBorder="1" applyAlignment="1">
      <alignment horizontal="center"/>
    </xf>
    <xf numFmtId="3" fontId="23" fillId="0" borderId="6" xfId="0" applyNumberFormat="1" applyFont="1" applyBorder="1"/>
    <xf numFmtId="10" fontId="27" fillId="0" borderId="0" xfId="0" applyNumberFormat="1" applyFont="1" applyAlignment="1">
      <alignment horizontal="center"/>
    </xf>
    <xf numFmtId="3" fontId="27" fillId="0" borderId="0" xfId="0" applyNumberFormat="1" applyFont="1" applyAlignment="1">
      <alignment vertical="top"/>
    </xf>
    <xf numFmtId="10" fontId="25" fillId="0" borderId="0" xfId="0" applyNumberFormat="1" applyFont="1" applyAlignment="1">
      <alignment horizontal="center"/>
    </xf>
    <xf numFmtId="0" fontId="65" fillId="0" borderId="6" xfId="0" applyFont="1" applyBorder="1" applyAlignment="1">
      <alignment horizontal="center"/>
    </xf>
    <xf numFmtId="172" fontId="27" fillId="0" borderId="0" xfId="0" applyNumberFormat="1" applyFont="1" applyAlignment="1">
      <alignment horizontal="center"/>
    </xf>
    <xf numFmtId="10" fontId="70" fillId="0" borderId="0" xfId="0" applyNumberFormat="1" applyFont="1" applyAlignment="1">
      <alignment horizontal="center"/>
    </xf>
    <xf numFmtId="0" fontId="27" fillId="9" borderId="6" xfId="0" applyFont="1" applyFill="1" applyBorder="1"/>
    <xf numFmtId="0" fontId="27" fillId="0" borderId="4" xfId="271" applyBorder="1"/>
    <xf numFmtId="0" fontId="27" fillId="0" borderId="6" xfId="271" applyBorder="1"/>
    <xf numFmtId="0" fontId="27" fillId="0" borderId="1" xfId="0" applyFont="1" applyBorder="1"/>
    <xf numFmtId="168" fontId="27" fillId="0" borderId="3" xfId="0" applyNumberFormat="1" applyFont="1" applyBorder="1" applyAlignment="1">
      <alignment vertical="top"/>
    </xf>
    <xf numFmtId="168" fontId="27" fillId="0" borderId="4" xfId="0" applyNumberFormat="1" applyFont="1" applyBorder="1" applyAlignment="1">
      <alignment vertical="top"/>
    </xf>
    <xf numFmtId="168" fontId="27" fillId="0" borderId="5" xfId="0" applyNumberFormat="1" applyFont="1" applyBorder="1" applyAlignment="1">
      <alignment vertical="top"/>
    </xf>
    <xf numFmtId="168" fontId="27" fillId="0" borderId="8" xfId="0" applyNumberFormat="1" applyFont="1" applyBorder="1" applyAlignment="1">
      <alignment vertical="top"/>
    </xf>
    <xf numFmtId="168" fontId="27" fillId="0" borderId="0" xfId="0" applyNumberFormat="1" applyFont="1" applyAlignment="1">
      <alignment vertical="top"/>
    </xf>
    <xf numFmtId="0" fontId="27" fillId="0" borderId="0" xfId="0" applyFont="1" applyAlignment="1">
      <alignment horizontal="right" vertical="top"/>
    </xf>
    <xf numFmtId="0" fontId="27"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7" fillId="5" borderId="4" xfId="0" applyFont="1" applyFill="1" applyBorder="1" applyAlignment="1" applyProtection="1">
      <alignment horizontal="left" vertical="top"/>
      <protection locked="0"/>
    </xf>
    <xf numFmtId="0" fontId="27" fillId="5" borderId="5" xfId="0" applyFont="1" applyFill="1" applyBorder="1" applyAlignment="1" applyProtection="1">
      <alignment horizontal="left" vertical="top"/>
      <protection locked="0"/>
    </xf>
    <xf numFmtId="4" fontId="52" fillId="0" borderId="0" xfId="0" applyNumberFormat="1" applyFont="1" applyAlignment="1">
      <alignment horizontal="center"/>
    </xf>
    <xf numFmtId="0" fontId="37" fillId="0" borderId="1" xfId="543" applyFont="1" applyBorder="1" applyAlignment="1">
      <alignment horizontal="left" vertical="top" wrapText="1"/>
    </xf>
    <xf numFmtId="0" fontId="37" fillId="0" borderId="12" xfId="543" applyFont="1" applyBorder="1" applyAlignment="1">
      <alignment horizontal="center" vertical="top" wrapText="1"/>
    </xf>
    <xf numFmtId="0" fontId="37" fillId="0" borderId="8" xfId="543" applyFont="1" applyBorder="1" applyAlignment="1">
      <alignment horizontal="left" vertical="top" wrapText="1"/>
    </xf>
    <xf numFmtId="0" fontId="32" fillId="3" borderId="4" xfId="271" applyFont="1" applyFill="1" applyBorder="1" applyAlignment="1">
      <alignment vertical="top" wrapText="1"/>
    </xf>
    <xf numFmtId="0" fontId="24" fillId="3" borderId="11" xfId="271" applyFont="1" applyFill="1" applyBorder="1" applyAlignment="1">
      <alignment vertical="top"/>
    </xf>
    <xf numFmtId="0" fontId="25" fillId="0" borderId="9" xfId="271" applyFont="1" applyBorder="1" applyAlignment="1">
      <alignment horizontal="center" wrapText="1"/>
    </xf>
    <xf numFmtId="0" fontId="32" fillId="3" borderId="4" xfId="271" applyFont="1" applyFill="1" applyBorder="1" applyAlignment="1" applyProtection="1">
      <alignment vertical="top" wrapText="1"/>
      <protection locked="0"/>
    </xf>
    <xf numFmtId="0" fontId="32" fillId="3" borderId="5" xfId="271" applyFont="1" applyFill="1" applyBorder="1" applyAlignment="1" applyProtection="1">
      <alignment vertical="top" wrapText="1"/>
      <protection locked="0"/>
    </xf>
    <xf numFmtId="0" fontId="25" fillId="0" borderId="13" xfId="271" applyFont="1" applyBorder="1" applyAlignment="1">
      <alignment horizontal="center" wrapText="1"/>
    </xf>
    <xf numFmtId="0" fontId="50" fillId="2" borderId="11" xfId="271" applyFont="1" applyFill="1" applyBorder="1" applyAlignment="1">
      <alignment horizontal="left" vertical="top" wrapText="1"/>
    </xf>
    <xf numFmtId="0" fontId="27" fillId="0" borderId="11" xfId="271" applyBorder="1" applyAlignment="1" applyProtection="1">
      <alignment vertical="top" wrapText="1"/>
      <protection locked="0"/>
    </xf>
    <xf numFmtId="168" fontId="27" fillId="5" borderId="11" xfId="271" applyNumberFormat="1" applyFill="1" applyBorder="1" applyAlignment="1" applyProtection="1">
      <alignment vertical="top" wrapText="1"/>
      <protection locked="0"/>
    </xf>
    <xf numFmtId="0" fontId="27" fillId="5" borderId="3" xfId="271" applyFill="1" applyBorder="1" applyAlignment="1" applyProtection="1">
      <alignment vertical="top" wrapText="1"/>
      <protection locked="0"/>
    </xf>
    <xf numFmtId="0" fontId="27" fillId="5" borderId="11" xfId="271" applyFill="1" applyBorder="1" applyAlignment="1" applyProtection="1">
      <alignment vertical="top" wrapText="1"/>
      <protection locked="0"/>
    </xf>
    <xf numFmtId="0" fontId="27" fillId="0" borderId="11" xfId="271" applyBorder="1" applyAlignment="1">
      <alignment horizontal="right" vertical="top" wrapText="1"/>
    </xf>
    <xf numFmtId="168" fontId="27" fillId="0" borderId="11" xfId="271" applyNumberFormat="1" applyBorder="1" applyAlignment="1">
      <alignment vertical="top" wrapText="1"/>
    </xf>
    <xf numFmtId="0" fontId="25" fillId="0" borderId="11" xfId="271" applyFont="1" applyBorder="1" applyAlignment="1">
      <alignment horizontal="right" vertical="top" wrapText="1"/>
    </xf>
    <xf numFmtId="0" fontId="27" fillId="5" borderId="11" xfId="271" applyFill="1" applyBorder="1" applyAlignment="1" applyProtection="1">
      <alignment horizontal="right" vertical="top" wrapText="1"/>
      <protection locked="0"/>
    </xf>
    <xf numFmtId="168" fontId="25" fillId="0" borderId="11" xfId="271" applyNumberFormat="1" applyFont="1" applyBorder="1" applyAlignment="1">
      <alignment vertical="top" wrapText="1"/>
    </xf>
    <xf numFmtId="0" fontId="35" fillId="0" borderId="11" xfId="271" applyFont="1" applyBorder="1" applyAlignment="1">
      <alignment horizontal="right" vertical="top" wrapText="1"/>
    </xf>
    <xf numFmtId="0" fontId="32" fillId="0" borderId="0" xfId="271" applyFont="1" applyAlignment="1" applyProtection="1">
      <alignment vertical="top" wrapText="1"/>
      <protection locked="0"/>
    </xf>
    <xf numFmtId="0" fontId="27" fillId="0" borderId="5" xfId="271" applyBorder="1" applyAlignment="1" applyProtection="1">
      <alignment vertical="top" wrapText="1"/>
      <protection locked="0"/>
    </xf>
    <xf numFmtId="0" fontId="25" fillId="0" borderId="3" xfId="271" applyFont="1" applyBorder="1" applyAlignment="1">
      <alignment horizontal="left" vertical="top"/>
    </xf>
    <xf numFmtId="0" fontId="27" fillId="0" borderId="4" xfId="271" applyBorder="1" applyAlignment="1" applyProtection="1">
      <alignment horizontal="left" vertical="top"/>
      <protection locked="0"/>
    </xf>
    <xf numFmtId="0" fontId="27" fillId="0" borderId="4" xfId="271" applyBorder="1" applyAlignment="1" applyProtection="1">
      <alignment vertical="top" wrapText="1"/>
      <protection locked="0"/>
    </xf>
    <xf numFmtId="0" fontId="32" fillId="0" borderId="0" xfId="271" applyFont="1" applyAlignment="1">
      <alignment vertical="top" wrapText="1"/>
    </xf>
    <xf numFmtId="0" fontId="27" fillId="0" borderId="4" xfId="271" applyBorder="1" applyAlignment="1">
      <alignment vertical="top" wrapText="1"/>
    </xf>
    <xf numFmtId="0" fontId="50" fillId="2" borderId="11" xfId="271" applyFont="1" applyFill="1" applyBorder="1" applyAlignment="1" applyProtection="1">
      <alignment horizontal="left" vertical="top" wrapText="1"/>
      <protection locked="0"/>
    </xf>
    <xf numFmtId="0" fontId="54" fillId="0" borderId="11" xfId="0" applyFont="1" applyBorder="1" applyAlignment="1">
      <alignment horizontal="right" vertical="top" wrapText="1"/>
    </xf>
    <xf numFmtId="0" fontId="27" fillId="8" borderId="0" xfId="542" quotePrefix="1" applyFont="1" applyFill="1" applyAlignment="1">
      <alignment horizontal="left"/>
    </xf>
    <xf numFmtId="0" fontId="27" fillId="8" borderId="0" xfId="542" applyFont="1" applyFill="1"/>
    <xf numFmtId="0" fontId="35" fillId="8" borderId="0" xfId="542" applyFont="1" applyFill="1"/>
    <xf numFmtId="0" fontId="54" fillId="0" borderId="11" xfId="271" applyFont="1" applyBorder="1" applyAlignment="1">
      <alignment horizontal="right" vertical="top"/>
    </xf>
    <xf numFmtId="0" fontId="54" fillId="0" borderId="11" xfId="271" applyFont="1" applyBorder="1" applyAlignment="1">
      <alignment horizontal="right" vertical="top" wrapText="1"/>
    </xf>
    <xf numFmtId="0" fontId="27" fillId="0" borderId="0" xfId="271" applyAlignment="1">
      <alignment horizontal="left" vertical="top"/>
    </xf>
    <xf numFmtId="0" fontId="25" fillId="0" borderId="0" xfId="271" applyFont="1" applyAlignment="1">
      <alignment horizontal="right"/>
    </xf>
    <xf numFmtId="0" fontId="26" fillId="0" borderId="0" xfId="271" applyFont="1" applyAlignment="1">
      <alignment horizontal="center"/>
    </xf>
    <xf numFmtId="5" fontId="27" fillId="0" borderId="0" xfId="542" applyNumberFormat="1" applyFont="1"/>
    <xf numFmtId="1" fontId="27" fillId="0" borderId="15" xfId="271" applyNumberFormat="1" applyBorder="1"/>
    <xf numFmtId="1" fontId="27" fillId="0" borderId="14" xfId="271" applyNumberFormat="1" applyBorder="1"/>
    <xf numFmtId="0" fontId="26" fillId="0" borderId="6" xfId="271" applyFont="1" applyBorder="1" applyAlignment="1">
      <alignment horizontal="left"/>
    </xf>
    <xf numFmtId="0" fontId="26" fillId="0" borderId="6" xfId="271" applyFont="1" applyBorder="1" applyAlignment="1">
      <alignment horizontal="right"/>
    </xf>
    <xf numFmtId="165" fontId="27" fillId="0" borderId="0" xfId="271" applyNumberFormat="1"/>
    <xf numFmtId="170" fontId="27" fillId="0" borderId="14" xfId="271" applyNumberFormat="1" applyBorder="1"/>
    <xf numFmtId="1" fontId="25" fillId="0" borderId="11" xfId="271" applyNumberFormat="1" applyFont="1" applyBorder="1"/>
    <xf numFmtId="165" fontId="25" fillId="0" borderId="11" xfId="271" applyNumberFormat="1" applyFont="1" applyBorder="1"/>
    <xf numFmtId="3" fontId="57" fillId="0" borderId="11" xfId="0" applyNumberFormat="1" applyFont="1" applyBorder="1" applyAlignment="1">
      <alignment vertical="top" wrapText="1"/>
    </xf>
    <xf numFmtId="166" fontId="27" fillId="0" borderId="0" xfId="0" applyNumberFormat="1" applyFont="1"/>
    <xf numFmtId="0" fontId="0" fillId="0" borderId="0" xfId="0" applyProtection="1">
      <protection locked="0"/>
    </xf>
    <xf numFmtId="0" fontId="23" fillId="0" borderId="0" xfId="0" applyFont="1" applyProtection="1">
      <protection locked="0"/>
    </xf>
    <xf numFmtId="0" fontId="23" fillId="0" borderId="0" xfId="271" applyFont="1" applyProtection="1">
      <protection locked="0"/>
    </xf>
    <xf numFmtId="168" fontId="23" fillId="0" borderId="0" xfId="271" applyNumberFormat="1" applyFont="1" applyProtection="1">
      <protection locked="0"/>
    </xf>
    <xf numFmtId="0" fontId="31" fillId="0" borderId="1" xfId="0" applyFont="1" applyBorder="1"/>
    <xf numFmtId="0" fontId="18" fillId="0" borderId="2" xfId="0" applyFont="1" applyBorder="1" applyAlignment="1">
      <alignment horizontal="left"/>
    </xf>
    <xf numFmtId="0" fontId="18" fillId="0" borderId="2" xfId="0" applyFont="1" applyBorder="1"/>
    <xf numFmtId="0" fontId="31" fillId="0" borderId="8" xfId="0" applyFont="1" applyBorder="1"/>
    <xf numFmtId="0" fontId="31" fillId="0" borderId="9" xfId="0" applyFont="1" applyBorder="1"/>
    <xf numFmtId="0" fontId="25" fillId="0" borderId="0" xfId="0" applyFont="1" applyAlignment="1">
      <alignment horizontal="left" vertical="top"/>
    </xf>
    <xf numFmtId="0" fontId="75" fillId="0" borderId="0" xfId="0" applyFont="1" applyAlignment="1">
      <alignment vertical="center" wrapText="1"/>
    </xf>
    <xf numFmtId="0" fontId="75" fillId="0" borderId="0" xfId="0" applyFont="1" applyAlignment="1">
      <alignment vertical="center"/>
    </xf>
    <xf numFmtId="0" fontId="75" fillId="0" borderId="0" xfId="0" applyFont="1" applyAlignment="1">
      <alignment horizontal="left" vertical="center" indent="1"/>
    </xf>
    <xf numFmtId="172" fontId="27" fillId="5" borderId="0" xfId="0" applyNumberFormat="1" applyFont="1" applyFill="1" applyAlignment="1">
      <alignment horizontal="center"/>
    </xf>
    <xf numFmtId="0" fontId="76" fillId="0" borderId="0" xfId="0" applyFont="1" applyAlignment="1">
      <alignment horizontal="left" vertical="center"/>
    </xf>
    <xf numFmtId="0" fontId="37" fillId="0" borderId="2" xfId="543" applyFont="1" applyBorder="1" applyAlignment="1">
      <alignment horizontal="center" vertical="top" wrapText="1"/>
    </xf>
    <xf numFmtId="49" fontId="48" fillId="0" borderId="0" xfId="0" applyNumberFormat="1" applyFont="1" applyAlignment="1">
      <alignment horizontal="center"/>
    </xf>
    <xf numFmtId="0" fontId="54" fillId="0" borderId="0" xfId="0" applyFont="1"/>
    <xf numFmtId="5" fontId="80" fillId="0" borderId="11" xfId="541" applyNumberFormat="1" applyFont="1" applyBorder="1" applyAlignment="1" applyProtection="1">
      <alignment horizontal="center"/>
    </xf>
    <xf numFmtId="5" fontId="80" fillId="42" borderId="11" xfId="541" applyNumberFormat="1" applyFont="1" applyFill="1" applyBorder="1" applyAlignment="1" applyProtection="1">
      <alignment horizontal="center"/>
    </xf>
    <xf numFmtId="5" fontId="80" fillId="2" borderId="11" xfId="541" applyNumberFormat="1" applyFont="1" applyFill="1" applyBorder="1" applyAlignment="1" applyProtection="1">
      <alignment horizontal="center"/>
    </xf>
    <xf numFmtId="0" fontId="54" fillId="0" borderId="0" xfId="0" applyFont="1" applyAlignment="1">
      <alignment vertical="top" wrapText="1"/>
    </xf>
    <xf numFmtId="0" fontId="54" fillId="0" borderId="0" xfId="0" applyFont="1" applyAlignment="1">
      <alignment vertical="top"/>
    </xf>
    <xf numFmtId="0" fontId="54" fillId="2" borderId="0" xfId="0" applyFont="1" applyFill="1" applyAlignment="1">
      <alignment vertical="top" wrapText="1"/>
    </xf>
    <xf numFmtId="0" fontId="82" fillId="0" borderId="13" xfId="0" applyFont="1" applyBorder="1" applyAlignment="1">
      <alignment vertical="top" wrapText="1"/>
    </xf>
    <xf numFmtId="0" fontId="32" fillId="0" borderId="0" xfId="0" applyFont="1" applyAlignment="1">
      <alignment vertical="top" wrapText="1"/>
    </xf>
    <xf numFmtId="0" fontId="82" fillId="2" borderId="13" xfId="0" applyFont="1" applyFill="1" applyBorder="1" applyAlignment="1">
      <alignment vertical="top" wrapText="1"/>
    </xf>
    <xf numFmtId="0" fontId="82" fillId="0" borderId="0" xfId="0" applyFont="1" applyAlignment="1">
      <alignment vertical="top" wrapText="1"/>
    </xf>
    <xf numFmtId="0" fontId="82" fillId="2" borderId="0" xfId="0" applyFont="1" applyFill="1" applyAlignment="1">
      <alignment vertical="top" wrapText="1"/>
    </xf>
    <xf numFmtId="0" fontId="54" fillId="0" borderId="0" xfId="0" applyFont="1" applyAlignment="1">
      <alignment horizontal="right" vertical="top" wrapText="1"/>
    </xf>
    <xf numFmtId="168" fontId="54" fillId="5" borderId="6" xfId="0" applyNumberFormat="1" applyFont="1" applyFill="1" applyBorder="1" applyAlignment="1" applyProtection="1">
      <alignment horizontal="right" vertical="top" wrapText="1"/>
      <protection locked="0"/>
    </xf>
    <xf numFmtId="168" fontId="54" fillId="0" borderId="6" xfId="0" applyNumberFormat="1" applyFont="1" applyBorder="1" applyAlignment="1">
      <alignment horizontal="right" vertical="top" wrapText="1"/>
    </xf>
    <xf numFmtId="0" fontId="25" fillId="0" borderId="0" xfId="0" applyFont="1" applyAlignment="1">
      <alignment horizontal="left" vertical="top" wrapText="1"/>
    </xf>
    <xf numFmtId="0" fontId="27" fillId="0" borderId="0" xfId="0" applyFont="1" applyAlignment="1">
      <alignment horizontal="right" vertical="top" wrapText="1"/>
    </xf>
    <xf numFmtId="10" fontId="27" fillId="5" borderId="6" xfId="0" applyNumberFormat="1" applyFont="1" applyFill="1" applyBorder="1" applyAlignment="1" applyProtection="1">
      <alignment horizontal="center" vertical="top" wrapText="1"/>
      <protection locked="0"/>
    </xf>
    <xf numFmtId="0" fontId="65" fillId="0" borderId="0" xfId="0" applyFont="1" applyAlignment="1">
      <alignment horizontal="left" vertical="center"/>
    </xf>
    <xf numFmtId="0" fontId="25" fillId="0" borderId="2" xfId="543" applyFont="1" applyBorder="1" applyAlignment="1">
      <alignment horizontal="center"/>
    </xf>
    <xf numFmtId="0" fontId="0" fillId="0" borderId="0" xfId="543" applyFont="1"/>
    <xf numFmtId="0" fontId="19" fillId="0" borderId="0" xfId="244" quotePrefix="1" applyAlignment="1" applyProtection="1">
      <alignment horizontal="left"/>
    </xf>
    <xf numFmtId="168" fontId="54"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106" fillId="0" borderId="0" xfId="0" applyFont="1" applyAlignment="1">
      <alignment horizontal="left" vertical="top"/>
    </xf>
    <xf numFmtId="0" fontId="107" fillId="0" borderId="0" xfId="0" applyFont="1" applyAlignment="1">
      <alignment horizontal="left" vertical="top"/>
    </xf>
    <xf numFmtId="0" fontId="75" fillId="0" borderId="0" xfId="0" applyFont="1"/>
    <xf numFmtId="0" fontId="25" fillId="8" borderId="11" xfId="542" applyFont="1" applyFill="1" applyBorder="1" applyAlignment="1">
      <alignment horizontal="left"/>
    </xf>
    <xf numFmtId="0" fontId="25" fillId="8" borderId="11" xfId="542" applyFont="1" applyFill="1" applyBorder="1" applyAlignment="1">
      <alignment horizontal="center"/>
    </xf>
    <xf numFmtId="0" fontId="64" fillId="8" borderId="11" xfId="542" applyFont="1" applyFill="1" applyBorder="1" applyAlignment="1">
      <alignment horizontal="left"/>
    </xf>
    <xf numFmtId="0" fontId="64" fillId="0" borderId="11" xfId="542" applyFont="1" applyBorder="1" applyAlignment="1">
      <alignment horizontal="left"/>
    </xf>
    <xf numFmtId="0" fontId="25" fillId="0" borderId="0" xfId="271" applyFont="1" applyAlignment="1" applyProtection="1">
      <alignment horizontal="center" wrapText="1"/>
      <protection locked="0"/>
    </xf>
    <xf numFmtId="0" fontId="27" fillId="0" borderId="0" xfId="271" applyAlignment="1" applyProtection="1">
      <alignment vertical="top" wrapText="1"/>
      <protection locked="0"/>
    </xf>
    <xf numFmtId="0" fontId="25" fillId="0" borderId="0" xfId="271" applyFont="1" applyAlignment="1" applyProtection="1">
      <alignment vertical="top" wrapText="1"/>
      <protection locked="0"/>
    </xf>
    <xf numFmtId="0" fontId="18" fillId="0" borderId="0" xfId="0" applyFont="1" applyAlignment="1">
      <alignment horizontal="center"/>
    </xf>
    <xf numFmtId="0" fontId="32" fillId="0" borderId="8" xfId="569" applyFont="1" applyBorder="1" applyAlignment="1">
      <alignment vertical="top" wrapText="1"/>
    </xf>
    <xf numFmtId="0" fontId="32" fillId="0" borderId="0" xfId="569" applyFont="1" applyAlignment="1">
      <alignment vertical="top" wrapText="1"/>
    </xf>
    <xf numFmtId="0" fontId="56" fillId="2" borderId="11" xfId="569" applyFont="1" applyFill="1" applyBorder="1" applyAlignment="1">
      <alignment horizontal="left" vertical="top" wrapText="1"/>
    </xf>
    <xf numFmtId="6" fontId="54" fillId="4" borderId="11" xfId="569" applyNumberFormat="1" applyFont="1" applyFill="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6" fontId="54" fillId="0" borderId="11" xfId="569" applyNumberFormat="1" applyFont="1" applyBorder="1" applyAlignment="1">
      <alignment vertical="top" wrapText="1"/>
    </xf>
    <xf numFmtId="6" fontId="54" fillId="5" borderId="11" xfId="569" applyNumberFormat="1" applyFont="1" applyFill="1" applyBorder="1" applyAlignment="1" applyProtection="1">
      <alignment vertical="top" wrapText="1"/>
      <protection locked="0"/>
    </xf>
    <xf numFmtId="6" fontId="54" fillId="6" borderId="11" xfId="569" applyNumberFormat="1" applyFont="1" applyFill="1" applyBorder="1" applyAlignment="1">
      <alignment horizontal="center" vertical="top" wrapText="1"/>
    </xf>
    <xf numFmtId="0" fontId="54" fillId="0" borderId="11" xfId="569" applyFont="1" applyBorder="1" applyAlignment="1">
      <alignment horizontal="right" vertical="top" wrapText="1"/>
    </xf>
    <xf numFmtId="0" fontId="55" fillId="0" borderId="11" xfId="569" applyFont="1" applyBorder="1" applyAlignment="1">
      <alignment horizontal="right" vertical="top" wrapText="1"/>
    </xf>
    <xf numFmtId="0" fontId="54" fillId="0" borderId="11" xfId="569" applyFont="1" applyBorder="1" applyAlignment="1">
      <alignment horizontal="right" vertical="top"/>
    </xf>
    <xf numFmtId="6" fontId="55" fillId="0" borderId="11" xfId="569" applyNumberFormat="1" applyFont="1" applyBorder="1" applyAlignment="1">
      <alignment vertical="top" wrapText="1"/>
    </xf>
    <xf numFmtId="0" fontId="55" fillId="0" borderId="8" xfId="569" applyFont="1" applyBorder="1" applyAlignment="1">
      <alignment vertical="top" wrapText="1"/>
    </xf>
    <xf numFmtId="0" fontId="55" fillId="0" borderId="0" xfId="569" applyFont="1" applyAlignment="1">
      <alignment vertical="top" wrapText="1"/>
    </xf>
    <xf numFmtId="0" fontId="21" fillId="0" borderId="11" xfId="569" applyFont="1" applyBorder="1" applyAlignment="1">
      <alignment horizontal="right" vertical="top" wrapText="1"/>
    </xf>
    <xf numFmtId="0" fontId="55" fillId="0" borderId="0" xfId="569" applyFont="1" applyAlignment="1">
      <alignment horizontal="left" vertical="top"/>
    </xf>
    <xf numFmtId="6" fontId="54" fillId="0" borderId="0" xfId="569" applyNumberFormat="1" applyFont="1" applyAlignment="1">
      <alignment horizontal="left" vertical="top"/>
    </xf>
    <xf numFmtId="0" fontId="107" fillId="0" borderId="0" xfId="569" applyFont="1" applyAlignment="1">
      <alignment horizontal="left" vertical="top"/>
    </xf>
    <xf numFmtId="6" fontId="54" fillId="0" borderId="0" xfId="569" applyNumberFormat="1" applyFont="1" applyAlignment="1">
      <alignment vertical="top" wrapText="1"/>
    </xf>
    <xf numFmtId="0" fontId="54" fillId="0" borderId="0" xfId="569" applyFont="1" applyAlignment="1">
      <alignment horizontal="left" vertical="top"/>
    </xf>
    <xf numFmtId="0" fontId="54" fillId="0" borderId="12" xfId="569" applyFont="1" applyBorder="1" applyAlignment="1">
      <alignment vertical="top" wrapText="1"/>
    </xf>
    <xf numFmtId="0" fontId="25" fillId="0" borderId="0" xfId="569" applyFont="1" applyAlignment="1">
      <alignment horizontal="left" vertical="top"/>
    </xf>
    <xf numFmtId="0" fontId="110" fillId="0" borderId="0" xfId="569" applyFont="1" applyAlignment="1">
      <alignment horizontal="left" vertical="top"/>
    </xf>
    <xf numFmtId="0" fontId="65" fillId="0" borderId="0" xfId="569" applyFont="1" applyAlignment="1">
      <alignment horizontal="left" vertical="center"/>
    </xf>
    <xf numFmtId="0" fontId="33" fillId="0" borderId="0" xfId="569" applyFont="1" applyAlignment="1">
      <alignment vertical="top" wrapText="1"/>
    </xf>
    <xf numFmtId="0" fontId="33" fillId="0" borderId="12" xfId="569" applyFont="1" applyBorder="1" applyAlignment="1">
      <alignment vertical="top" wrapText="1"/>
    </xf>
    <xf numFmtId="0" fontId="33" fillId="0" borderId="8" xfId="569" applyFont="1" applyBorder="1" applyAlignment="1">
      <alignment vertical="top" wrapText="1"/>
    </xf>
    <xf numFmtId="0" fontId="54" fillId="0" borderId="0" xfId="569" applyFont="1" applyAlignment="1">
      <alignment vertical="top"/>
    </xf>
    <xf numFmtId="168" fontId="54" fillId="0" borderId="0" xfId="569" applyNumberFormat="1" applyFont="1" applyAlignment="1" applyProtection="1">
      <alignment horizontal="right" vertical="top" wrapText="1"/>
      <protection locked="0"/>
    </xf>
    <xf numFmtId="0" fontId="18" fillId="0" borderId="0" xfId="569" applyAlignment="1">
      <alignment vertical="top" wrapText="1"/>
    </xf>
    <xf numFmtId="0" fontId="18" fillId="0" borderId="0" xfId="569" applyAlignment="1">
      <alignment vertical="top"/>
    </xf>
    <xf numFmtId="0" fontId="54" fillId="0" borderId="0" xfId="569" applyFont="1" applyAlignment="1">
      <alignment horizontal="right" vertical="top" wrapText="1"/>
    </xf>
    <xf numFmtId="0" fontId="25" fillId="0" borderId="0" xfId="569" applyFont="1" applyAlignment="1">
      <alignment horizontal="left" vertical="top" wrapText="1"/>
    </xf>
    <xf numFmtId="168" fontId="54" fillId="0" borderId="0" xfId="569" applyNumberFormat="1" applyFont="1" applyAlignment="1">
      <alignment horizontal="right" vertical="top" wrapText="1"/>
    </xf>
    <xf numFmtId="0" fontId="18" fillId="0" borderId="0" xfId="569" applyAlignment="1" applyProtection="1">
      <alignment horizontal="left" vertical="top" wrapText="1"/>
      <protection locked="0"/>
    </xf>
    <xf numFmtId="0" fontId="18" fillId="0" borderId="0" xfId="569" applyAlignment="1">
      <alignment horizontal="right" vertical="top" wrapText="1"/>
    </xf>
    <xf numFmtId="0" fontId="18" fillId="0" borderId="0" xfId="569" applyAlignment="1">
      <alignment horizontal="left" vertical="top"/>
    </xf>
    <xf numFmtId="0" fontId="82" fillId="0" borderId="0" xfId="569" applyFont="1" applyAlignment="1">
      <alignment vertical="top" wrapText="1"/>
    </xf>
    <xf numFmtId="0" fontId="82" fillId="0" borderId="12" xfId="569" applyFont="1" applyBorder="1" applyAlignment="1">
      <alignment vertical="top" wrapText="1"/>
    </xf>
    <xf numFmtId="0" fontId="82" fillId="0" borderId="8" xfId="569" applyFont="1" applyBorder="1" applyAlignment="1">
      <alignment vertical="top" wrapText="1"/>
    </xf>
    <xf numFmtId="0" fontId="32" fillId="0" borderId="0" xfId="569" applyFont="1" applyAlignment="1">
      <alignment horizontal="right" vertical="top" wrapText="1"/>
    </xf>
    <xf numFmtId="0" fontId="82" fillId="0" borderId="0" xfId="569" applyFont="1" applyAlignment="1">
      <alignment horizontal="right" vertical="top" wrapText="1"/>
    </xf>
    <xf numFmtId="0" fontId="55" fillId="0" borderId="3" xfId="569" applyFont="1" applyBorder="1" applyAlignment="1">
      <alignment horizontal="left"/>
    </xf>
    <xf numFmtId="0" fontId="55" fillId="0" borderId="13" xfId="569" applyFont="1" applyBorder="1" applyAlignment="1">
      <alignment horizontal="center" wrapText="1"/>
    </xf>
    <xf numFmtId="0" fontId="55" fillId="0" borderId="8" xfId="569" applyFont="1" applyBorder="1" applyAlignment="1">
      <alignment horizontal="center" wrapText="1"/>
    </xf>
    <xf numFmtId="0" fontId="55" fillId="0" borderId="0" xfId="569" applyFont="1" applyAlignment="1">
      <alignment horizontal="center" wrapText="1"/>
    </xf>
    <xf numFmtId="0" fontId="18" fillId="0" borderId="0" xfId="569"/>
    <xf numFmtId="0" fontId="24" fillId="0" borderId="0" xfId="569" applyFont="1" applyAlignment="1">
      <alignment horizontal="center" vertical="center"/>
    </xf>
    <xf numFmtId="0" fontId="25" fillId="0" borderId="0" xfId="569" applyFont="1"/>
    <xf numFmtId="0" fontId="18" fillId="0" borderId="1" xfId="569" applyBorder="1"/>
    <xf numFmtId="0" fontId="18" fillId="0" borderId="2" xfId="569" applyBorder="1"/>
    <xf numFmtId="0" fontId="18" fillId="0" borderId="8" xfId="569" applyBorder="1"/>
    <xf numFmtId="0" fontId="18" fillId="0" borderId="9" xfId="569" applyBorder="1"/>
    <xf numFmtId="0" fontId="18" fillId="0" borderId="6" xfId="569" applyBorder="1"/>
    <xf numFmtId="0" fontId="26" fillId="0" borderId="0" xfId="569" applyFont="1"/>
    <xf numFmtId="0" fontId="18" fillId="0" borderId="7" xfId="569" applyBorder="1"/>
    <xf numFmtId="0" fontId="18" fillId="0" borderId="12" xfId="569" applyBorder="1"/>
    <xf numFmtId="0" fontId="18" fillId="0" borderId="10" xfId="569" applyBorder="1"/>
    <xf numFmtId="0" fontId="26" fillId="0" borderId="0" xfId="569" applyFont="1" applyAlignment="1">
      <alignment vertical="top" wrapText="1"/>
    </xf>
    <xf numFmtId="0" fontId="18" fillId="0" borderId="0" xfId="569" applyAlignment="1">
      <alignment horizontal="right"/>
    </xf>
    <xf numFmtId="0" fontId="18" fillId="0" borderId="0" xfId="569" applyAlignment="1">
      <alignment wrapText="1"/>
    </xf>
    <xf numFmtId="0" fontId="18" fillId="0" borderId="0" xfId="569" applyAlignment="1">
      <alignment vertical="center"/>
    </xf>
    <xf numFmtId="0" fontId="42" fillId="0" borderId="0" xfId="569" applyFont="1" applyAlignment="1">
      <alignment vertical="center" wrapText="1"/>
    </xf>
    <xf numFmtId="0" fontId="36" fillId="0" borderId="0" xfId="569" applyFont="1" applyAlignment="1">
      <alignment vertical="top" wrapText="1"/>
    </xf>
    <xf numFmtId="0" fontId="25" fillId="0" borderId="0" xfId="569" applyFont="1" applyAlignment="1">
      <alignment vertical="top" wrapText="1"/>
    </xf>
    <xf numFmtId="0" fontId="26" fillId="0" borderId="0" xfId="569" applyFont="1" applyAlignment="1">
      <alignment horizontal="left" vertical="top" wrapText="1"/>
    </xf>
    <xf numFmtId="164" fontId="18" fillId="0" borderId="0" xfId="569" applyNumberFormat="1" applyAlignment="1">
      <alignment horizontal="right"/>
    </xf>
    <xf numFmtId="168" fontId="18" fillId="0" borderId="0" xfId="569" applyNumberFormat="1" applyAlignment="1">
      <alignment horizontal="right"/>
    </xf>
    <xf numFmtId="0" fontId="108" fillId="0" borderId="0" xfId="569" applyFont="1" applyAlignment="1">
      <alignment horizontal="left" vertical="top" wrapText="1"/>
    </xf>
    <xf numFmtId="168" fontId="18" fillId="0" borderId="0" xfId="569" applyNumberFormat="1" applyAlignment="1">
      <alignment wrapText="1"/>
    </xf>
    <xf numFmtId="0" fontId="23" fillId="0" borderId="11" xfId="253" applyFont="1" applyBorder="1" applyAlignment="1">
      <alignment horizontal="center" wrapText="1"/>
    </xf>
    <xf numFmtId="0" fontId="23" fillId="0" borderId="0" xfId="253" applyFont="1" applyAlignment="1">
      <alignment horizontal="center" wrapText="1"/>
    </xf>
    <xf numFmtId="3" fontId="23" fillId="0" borderId="11" xfId="271" applyNumberFormat="1" applyFont="1" applyBorder="1"/>
    <xf numFmtId="3" fontId="23" fillId="0" borderId="0" xfId="271" applyNumberFormat="1" applyFont="1"/>
    <xf numFmtId="0" fontId="66" fillId="0" borderId="0" xfId="271" applyFont="1" applyAlignment="1">
      <alignment horizontal="left"/>
    </xf>
    <xf numFmtId="0" fontId="66" fillId="0" borderId="0" xfId="271" applyFont="1" applyAlignment="1">
      <alignment horizontal="right"/>
    </xf>
    <xf numFmtId="168" fontId="23" fillId="0" borderId="11" xfId="271" applyNumberFormat="1" applyFont="1" applyBorder="1"/>
    <xf numFmtId="168" fontId="23" fillId="0" borderId="0" xfId="271" applyNumberFormat="1" applyFont="1"/>
    <xf numFmtId="0" fontId="54" fillId="0" borderId="0" xfId="569" applyFont="1" applyAlignment="1">
      <alignment horizontal="left"/>
    </xf>
    <xf numFmtId="0" fontId="18" fillId="0" borderId="3" xfId="569" applyBorder="1"/>
    <xf numFmtId="0" fontId="109" fillId="0" borderId="0" xfId="1834"/>
    <xf numFmtId="0" fontId="0" fillId="0" borderId="0" xfId="0" applyAlignment="1">
      <alignment horizontal="left" vertical="top"/>
    </xf>
    <xf numFmtId="0" fontId="108" fillId="0" borderId="0" xfId="0" applyFont="1" applyAlignment="1">
      <alignment vertical="top" wrapText="1"/>
    </xf>
    <xf numFmtId="0" fontId="54" fillId="0" borderId="0" xfId="271" applyFont="1" applyAlignment="1">
      <alignment vertical="top" wrapText="1"/>
    </xf>
    <xf numFmtId="4" fontId="18" fillId="0" borderId="0" xfId="1192" applyNumberFormat="1" applyAlignment="1">
      <alignment horizontal="left" vertical="top" wrapText="1"/>
    </xf>
    <xf numFmtId="0" fontId="18" fillId="0" borderId="0" xfId="0" applyFont="1" applyAlignment="1">
      <alignment horizontal="left" vertical="top" wrapText="1"/>
    </xf>
    <xf numFmtId="0" fontId="25" fillId="0" borderId="12" xfId="543" applyFont="1" applyBorder="1" applyAlignment="1">
      <alignment horizontal="right"/>
    </xf>
    <xf numFmtId="0" fontId="37" fillId="0" borderId="0" xfId="543" applyFont="1" applyAlignment="1">
      <alignment horizontal="center"/>
    </xf>
    <xf numFmtId="4" fontId="18" fillId="0" borderId="0" xfId="569" applyNumberFormat="1" applyAlignment="1">
      <alignment horizontal="left"/>
    </xf>
    <xf numFmtId="0" fontId="18" fillId="0" borderId="0" xfId="569" applyAlignment="1">
      <alignment horizontal="left" vertical="top" wrapText="1"/>
    </xf>
    <xf numFmtId="0" fontId="18" fillId="0" borderId="0" xfId="569" applyAlignment="1">
      <alignment horizontal="left"/>
    </xf>
    <xf numFmtId="0" fontId="18" fillId="0" borderId="0" xfId="1192" applyAlignment="1">
      <alignment horizontal="left"/>
    </xf>
    <xf numFmtId="0" fontId="25" fillId="0" borderId="0" xfId="569" applyFont="1" applyAlignment="1">
      <alignment horizontal="left"/>
    </xf>
    <xf numFmtId="0" fontId="47" fillId="0" borderId="0" xfId="1192" applyFont="1"/>
    <xf numFmtId="0" fontId="54" fillId="0" borderId="11" xfId="0" applyFont="1" applyBorder="1" applyAlignment="1">
      <alignment horizontal="right" vertical="center"/>
    </xf>
    <xf numFmtId="0" fontId="18" fillId="0" borderId="0" xfId="1192" applyAlignment="1">
      <alignment horizontal="left" vertical="top" wrapText="1"/>
    </xf>
    <xf numFmtId="0" fontId="47" fillId="0" borderId="0" xfId="0" applyFont="1" applyAlignment="1">
      <alignment vertical="top" wrapText="1"/>
    </xf>
    <xf numFmtId="0" fontId="47" fillId="0" borderId="0" xfId="0" applyFont="1" applyAlignment="1">
      <alignment horizontal="left" vertical="top" wrapText="1"/>
    </xf>
    <xf numFmtId="6" fontId="55" fillId="0" borderId="0" xfId="569" applyNumberFormat="1" applyFont="1" applyAlignment="1">
      <alignment horizontal="right" vertical="top"/>
    </xf>
    <xf numFmtId="0" fontId="18" fillId="0" borderId="0" xfId="0" applyFont="1" applyAlignment="1">
      <alignment vertical="top" wrapText="1"/>
    </xf>
    <xf numFmtId="168" fontId="27" fillId="0" borderId="0" xfId="0" applyNumberFormat="1" applyFont="1" applyAlignment="1">
      <alignment horizontal="right"/>
    </xf>
    <xf numFmtId="168" fontId="27" fillId="0" borderId="28" xfId="540" applyNumberFormat="1" applyBorder="1" applyAlignment="1" applyProtection="1">
      <alignment horizontal="center"/>
    </xf>
    <xf numFmtId="168" fontId="27" fillId="0" borderId="29" xfId="540" applyNumberFormat="1" applyBorder="1" applyAlignment="1" applyProtection="1">
      <alignment horizontal="center"/>
    </xf>
    <xf numFmtId="168" fontId="27" fillId="0" borderId="30" xfId="540" applyNumberFormat="1" applyBorder="1" applyAlignment="1" applyProtection="1">
      <alignment horizontal="center"/>
    </xf>
    <xf numFmtId="168" fontId="27" fillId="0" borderId="31" xfId="540" applyNumberFormat="1" applyBorder="1" applyAlignment="1" applyProtection="1">
      <alignment horizontal="center"/>
    </xf>
    <xf numFmtId="168" fontId="27" fillId="0" borderId="32" xfId="540" applyNumberFormat="1" applyBorder="1" applyAlignment="1" applyProtection="1">
      <alignment horizontal="center"/>
    </xf>
    <xf numFmtId="168" fontId="27" fillId="0" borderId="33" xfId="540" applyNumberFormat="1" applyBorder="1" applyAlignment="1" applyProtection="1">
      <alignment horizontal="center"/>
    </xf>
    <xf numFmtId="168" fontId="27" fillId="0" borderId="34" xfId="540" applyNumberFormat="1" applyBorder="1" applyAlignment="1" applyProtection="1">
      <alignment horizontal="center"/>
    </xf>
    <xf numFmtId="168" fontId="27" fillId="0" borderId="35" xfId="540" applyNumberFormat="1" applyBorder="1" applyAlignment="1" applyProtection="1">
      <alignment horizontal="center"/>
    </xf>
    <xf numFmtId="168" fontId="27" fillId="0" borderId="36" xfId="540" applyNumberFormat="1" applyBorder="1" applyAlignment="1" applyProtection="1">
      <alignment horizontal="center"/>
    </xf>
    <xf numFmtId="168" fontId="27" fillId="0" borderId="37" xfId="540" applyNumberFormat="1" applyBorder="1" applyAlignment="1" applyProtection="1">
      <alignment horizontal="center"/>
    </xf>
    <xf numFmtId="168" fontId="27" fillId="0" borderId="38" xfId="540" applyNumberFormat="1" applyBorder="1" applyAlignment="1" applyProtection="1">
      <alignment horizontal="center"/>
    </xf>
    <xf numFmtId="168" fontId="27" fillId="0" borderId="39" xfId="540" applyNumberFormat="1" applyBorder="1" applyAlignment="1" applyProtection="1">
      <alignment horizontal="center"/>
    </xf>
    <xf numFmtId="168" fontId="27" fillId="0" borderId="40" xfId="540" applyNumberFormat="1" applyBorder="1" applyAlignment="1" applyProtection="1">
      <alignment horizontal="center"/>
    </xf>
    <xf numFmtId="168" fontId="27" fillId="0" borderId="0" xfId="540" applyNumberFormat="1" applyAlignment="1" applyProtection="1">
      <alignment horizontal="center"/>
    </xf>
    <xf numFmtId="168" fontId="27" fillId="0" borderId="14" xfId="540" applyNumberFormat="1" applyBorder="1" applyAlignment="1" applyProtection="1">
      <alignment horizontal="center"/>
    </xf>
    <xf numFmtId="168" fontId="27" fillId="0" borderId="41" xfId="540" applyNumberFormat="1" applyBorder="1" applyAlignment="1" applyProtection="1">
      <alignment horizontal="center"/>
    </xf>
    <xf numFmtId="168" fontId="27" fillId="0" borderId="42" xfId="540" applyNumberFormat="1" applyBorder="1" applyAlignment="1" applyProtection="1">
      <alignment horizontal="center"/>
    </xf>
    <xf numFmtId="168" fontId="27" fillId="0" borderId="43" xfId="540" applyNumberFormat="1" applyBorder="1" applyAlignment="1" applyProtection="1">
      <alignment horizontal="center"/>
    </xf>
    <xf numFmtId="168" fontId="27" fillId="0" borderId="44" xfId="540" applyNumberFormat="1" applyBorder="1" applyAlignment="1" applyProtection="1">
      <alignment horizontal="center"/>
    </xf>
    <xf numFmtId="0" fontId="18" fillId="0" borderId="0" xfId="1192"/>
    <xf numFmtId="0" fontId="18" fillId="0" borderId="0" xfId="0" applyFont="1" applyAlignment="1">
      <alignment wrapText="1"/>
    </xf>
    <xf numFmtId="0" fontId="47" fillId="0" borderId="0" xfId="0" applyFont="1" applyAlignment="1">
      <alignment horizontal="left" vertical="top"/>
    </xf>
    <xf numFmtId="0" fontId="47" fillId="0" borderId="0" xfId="0" applyFont="1" applyAlignment="1">
      <alignment vertical="top"/>
    </xf>
    <xf numFmtId="0" fontId="18" fillId="0" borderId="0" xfId="569" applyAlignment="1">
      <alignment horizontal="center"/>
    </xf>
    <xf numFmtId="0" fontId="36" fillId="0" borderId="0" xfId="569" applyFont="1" applyAlignment="1">
      <alignment horizontal="left"/>
    </xf>
    <xf numFmtId="0" fontId="36" fillId="0" borderId="0" xfId="569" applyFont="1" applyAlignment="1">
      <alignment horizontal="center"/>
    </xf>
    <xf numFmtId="49" fontId="25" fillId="0" borderId="0" xfId="569" applyNumberFormat="1" applyFont="1" applyAlignment="1">
      <alignment horizontal="center"/>
    </xf>
    <xf numFmtId="0" fontId="52" fillId="0" borderId="0" xfId="569" applyFont="1" applyAlignment="1">
      <alignment horizontal="center"/>
    </xf>
    <xf numFmtId="0" fontId="18" fillId="5" borderId="6" xfId="569" applyFill="1" applyBorder="1" applyProtection="1">
      <protection locked="0"/>
    </xf>
    <xf numFmtId="0" fontId="19" fillId="0" borderId="0" xfId="244" applyAlignment="1" applyProtection="1">
      <alignment horizontal="center"/>
    </xf>
    <xf numFmtId="49" fontId="18" fillId="0" borderId="0" xfId="569" applyNumberFormat="1" applyAlignment="1">
      <alignment horizontal="center"/>
    </xf>
    <xf numFmtId="0" fontId="18" fillId="0" borderId="0" xfId="569" applyAlignment="1">
      <alignment horizontal="center" vertical="center"/>
    </xf>
    <xf numFmtId="0" fontId="18" fillId="0" borderId="0" xfId="1192" applyAlignment="1">
      <alignment horizontal="center"/>
    </xf>
    <xf numFmtId="0" fontId="25" fillId="0" borderId="0" xfId="569" applyFont="1" applyAlignment="1">
      <alignment horizontal="center"/>
    </xf>
    <xf numFmtId="0" fontId="18" fillId="0" borderId="0" xfId="569" applyAlignment="1">
      <alignment horizontal="left" indent="4"/>
    </xf>
    <xf numFmtId="0" fontId="18" fillId="0" borderId="0" xfId="569" quotePrefix="1" applyAlignment="1">
      <alignment horizontal="left"/>
    </xf>
    <xf numFmtId="0" fontId="36" fillId="0" borderId="0" xfId="569" applyFont="1"/>
    <xf numFmtId="0" fontId="18" fillId="0" borderId="0" xfId="1192" applyAlignment="1" applyProtection="1">
      <alignment horizontal="left"/>
      <protection locked="0"/>
    </xf>
    <xf numFmtId="0" fontId="18" fillId="0" borderId="0" xfId="569" applyAlignment="1" applyProtection="1">
      <alignment horizontal="left"/>
      <protection locked="0"/>
    </xf>
    <xf numFmtId="49" fontId="18" fillId="0" borderId="0" xfId="1192" applyNumberFormat="1" applyAlignment="1">
      <alignment horizontal="center"/>
    </xf>
    <xf numFmtId="0" fontId="52" fillId="0" borderId="0" xfId="1192" applyFont="1" applyAlignment="1">
      <alignment horizontal="center"/>
    </xf>
    <xf numFmtId="0" fontId="25" fillId="0" borderId="0" xfId="1192" applyFont="1" applyAlignment="1">
      <alignment horizontal="left"/>
    </xf>
    <xf numFmtId="4" fontId="18" fillId="0" borderId="0" xfId="1192" applyNumberFormat="1" applyAlignment="1">
      <alignment horizontal="left"/>
    </xf>
    <xf numFmtId="0" fontId="25" fillId="0" borderId="0" xfId="569" quotePrefix="1" applyFont="1" applyAlignment="1">
      <alignment horizontal="center"/>
    </xf>
    <xf numFmtId="49" fontId="18" fillId="0" borderId="0" xfId="569" applyNumberFormat="1"/>
    <xf numFmtId="0" fontId="50" fillId="0" borderId="0" xfId="569" applyFont="1" applyAlignment="1">
      <alignment horizontal="left"/>
    </xf>
    <xf numFmtId="4" fontId="52" fillId="0" borderId="0" xfId="569" applyNumberFormat="1" applyFont="1" applyAlignment="1">
      <alignment horizontal="center"/>
    </xf>
    <xf numFmtId="4" fontId="18" fillId="0" borderId="0" xfId="569" applyNumberFormat="1" applyAlignment="1">
      <alignment horizontal="center"/>
    </xf>
    <xf numFmtId="4" fontId="18" fillId="0" borderId="0" xfId="569" applyNumberFormat="1"/>
    <xf numFmtId="0" fontId="48" fillId="0" borderId="0" xfId="569" applyFont="1" applyAlignment="1">
      <alignment horizontal="left"/>
    </xf>
    <xf numFmtId="0" fontId="19" fillId="0" borderId="0" xfId="244" applyNumberFormat="1" applyFill="1" applyAlignment="1" applyProtection="1">
      <alignment horizontal="left"/>
      <protection locked="0"/>
    </xf>
    <xf numFmtId="0" fontId="54" fillId="0" borderId="11" xfId="0" applyFont="1" applyBorder="1" applyAlignment="1" applyProtection="1">
      <alignment horizontal="right" vertical="top" wrapText="1"/>
      <protection locked="0"/>
    </xf>
    <xf numFmtId="168" fontId="57" fillId="44" borderId="11" xfId="0" applyNumberFormat="1" applyFont="1" applyFill="1" applyBorder="1" applyAlignment="1">
      <alignment vertical="top" wrapText="1"/>
    </xf>
    <xf numFmtId="0" fontId="18" fillId="0" borderId="11" xfId="271" applyFont="1" applyBorder="1" applyAlignment="1">
      <alignment horizontal="right" vertical="top" wrapText="1"/>
    </xf>
    <xf numFmtId="0" fontId="26" fillId="0" borderId="0" xfId="569" applyFont="1" applyAlignment="1">
      <alignment horizontal="left"/>
    </xf>
    <xf numFmtId="0" fontId="106" fillId="0" borderId="0" xfId="0" applyFont="1"/>
    <xf numFmtId="0" fontId="117" fillId="0" borderId="0" xfId="0" applyFont="1" applyAlignment="1">
      <alignment horizontal="left" vertical="top"/>
    </xf>
    <xf numFmtId="0" fontId="118" fillId="0" borderId="0" xfId="0" applyFont="1" applyAlignment="1">
      <alignment horizontal="left" vertical="top"/>
    </xf>
    <xf numFmtId="168" fontId="26" fillId="0" borderId="0" xfId="0" applyNumberFormat="1" applyFont="1" applyAlignment="1">
      <alignment horizontal="left" vertical="top" wrapText="1"/>
    </xf>
    <xf numFmtId="168" fontId="54" fillId="5" borderId="11" xfId="0" applyNumberFormat="1" applyFont="1" applyFill="1" applyBorder="1" applyAlignment="1">
      <alignment vertical="top" wrapText="1"/>
    </xf>
    <xf numFmtId="0" fontId="18" fillId="0" borderId="0" xfId="271" applyFont="1" applyAlignment="1">
      <alignment horizontal="left" vertical="top"/>
    </xf>
    <xf numFmtId="0" fontId="54" fillId="0" borderId="0" xfId="569" applyFont="1"/>
    <xf numFmtId="0" fontId="18" fillId="0" borderId="0" xfId="0" applyFont="1" applyAlignment="1">
      <alignment horizontal="left" vertical="top"/>
    </xf>
    <xf numFmtId="4" fontId="18" fillId="0" borderId="0" xfId="1192" applyNumberFormat="1" applyAlignment="1">
      <alignment vertical="top" wrapText="1"/>
    </xf>
    <xf numFmtId="0" fontId="25" fillId="0" borderId="16" xfId="271" applyFont="1" applyBorder="1"/>
    <xf numFmtId="0" fontId="61" fillId="0" borderId="0" xfId="569" applyFont="1"/>
    <xf numFmtId="0" fontId="42" fillId="0" borderId="0" xfId="569" applyFont="1"/>
    <xf numFmtId="0" fontId="18" fillId="0" borderId="0" xfId="1192" applyAlignment="1">
      <alignment vertical="top" wrapText="1"/>
    </xf>
    <xf numFmtId="49" fontId="18" fillId="0" borderId="0" xfId="1192" applyNumberFormat="1" applyAlignment="1">
      <alignment vertical="top" wrapText="1"/>
    </xf>
    <xf numFmtId="0" fontId="56" fillId="0" borderId="9" xfId="543" applyFont="1" applyBorder="1" applyAlignment="1">
      <alignment vertical="top"/>
    </xf>
    <xf numFmtId="0" fontId="18" fillId="0" borderId="0" xfId="0" applyFont="1" applyAlignment="1">
      <alignment vertical="center"/>
    </xf>
    <xf numFmtId="0" fontId="119" fillId="0" borderId="0" xfId="0" applyFont="1"/>
    <xf numFmtId="3" fontId="106" fillId="0" borderId="0" xfId="0" applyNumberFormat="1" applyFont="1"/>
    <xf numFmtId="0" fontId="106" fillId="0" borderId="0" xfId="0" applyFont="1" applyAlignment="1">
      <alignment horizontal="left"/>
    </xf>
    <xf numFmtId="168" fontId="120" fillId="0" borderId="0" xfId="0" applyNumberFormat="1" applyFont="1" applyAlignment="1">
      <alignment horizontal="left" vertical="top"/>
    </xf>
    <xf numFmtId="0" fontId="106" fillId="0" borderId="0" xfId="0" applyFont="1" applyAlignment="1">
      <alignment horizontal="left" vertical="center"/>
    </xf>
    <xf numFmtId="0" fontId="122" fillId="0" borderId="0" xfId="0" applyFont="1"/>
    <xf numFmtId="172" fontId="18" fillId="0" borderId="8" xfId="543" applyNumberFormat="1" applyBorder="1"/>
    <xf numFmtId="0" fontId="18" fillId="0" borderId="8" xfId="4495" applyFont="1" applyBorder="1"/>
    <xf numFmtId="0" fontId="18" fillId="0" borderId="0" xfId="4495" applyFont="1"/>
    <xf numFmtId="0" fontId="24" fillId="0" borderId="0" xfId="4495" applyFont="1" applyAlignment="1">
      <alignment horizontal="center" vertical="center"/>
    </xf>
    <xf numFmtId="0" fontId="25" fillId="0" borderId="0" xfId="4495" applyFont="1" applyAlignment="1">
      <alignment horizontal="left"/>
    </xf>
    <xf numFmtId="0" fontId="25" fillId="0" borderId="0" xfId="4495" applyFont="1"/>
    <xf numFmtId="0" fontId="28" fillId="0" borderId="0" xfId="4495" applyFont="1" applyAlignment="1">
      <alignment horizontal="center" vertical="center"/>
    </xf>
    <xf numFmtId="0" fontId="28" fillId="0" borderId="27" xfId="4495" applyFont="1" applyBorder="1" applyAlignment="1">
      <alignment horizontal="center" vertical="center"/>
    </xf>
    <xf numFmtId="0" fontId="28" fillId="0" borderId="46" xfId="4495" applyFont="1" applyBorder="1" applyAlignment="1">
      <alignment horizontal="center" vertical="center"/>
    </xf>
    <xf numFmtId="0" fontId="25" fillId="0" borderId="0" xfId="4495" applyFont="1" applyAlignment="1">
      <alignment horizontal="right"/>
    </xf>
    <xf numFmtId="0" fontId="36" fillId="0" borderId="0" xfId="4495" applyFont="1" applyAlignment="1">
      <alignment horizontal="left" vertical="center"/>
    </xf>
    <xf numFmtId="0" fontId="18" fillId="0" borderId="0" xfId="1192" quotePrefix="1" applyAlignment="1">
      <alignment horizontal="center"/>
    </xf>
    <xf numFmtId="0" fontId="48" fillId="0" borderId="0" xfId="4495" applyFont="1" applyAlignment="1">
      <alignment horizontal="left" vertical="center"/>
    </xf>
    <xf numFmtId="49" fontId="26" fillId="0" borderId="0" xfId="4495" applyNumberFormat="1" applyFont="1" applyAlignment="1">
      <alignment horizontal="left" vertical="top"/>
    </xf>
    <xf numFmtId="0" fontId="18" fillId="0" borderId="47" xfId="4495" applyFont="1" applyBorder="1" applyAlignment="1">
      <alignment horizontal="left" vertical="center"/>
    </xf>
    <xf numFmtId="0" fontId="28" fillId="0" borderId="48" xfId="4495" applyFont="1" applyBorder="1" applyAlignment="1">
      <alignment horizontal="center" vertical="center"/>
    </xf>
    <xf numFmtId="0" fontId="26" fillId="0" borderId="0" xfId="4495" applyFont="1"/>
    <xf numFmtId="0" fontId="26" fillId="0" borderId="0" xfId="4495" applyFont="1" applyAlignment="1">
      <alignment horizontal="left" vertical="top"/>
    </xf>
    <xf numFmtId="0" fontId="124" fillId="0" borderId="53" xfId="4496" applyFont="1" applyBorder="1" applyAlignment="1">
      <alignment horizontal="left" vertical="top"/>
    </xf>
    <xf numFmtId="0" fontId="123" fillId="0" borderId="0" xfId="4496" applyFont="1" applyAlignment="1">
      <alignment horizontal="left" vertical="top" wrapText="1"/>
    </xf>
    <xf numFmtId="0" fontId="123" fillId="0" borderId="54" xfId="4496" applyFont="1" applyBorder="1" applyAlignment="1">
      <alignment horizontal="left" vertical="top" wrapText="1"/>
    </xf>
    <xf numFmtId="0" fontId="18" fillId="0" borderId="0" xfId="4495" applyFont="1" applyAlignment="1">
      <alignment horizontal="left" vertical="center"/>
    </xf>
    <xf numFmtId="0" fontId="125" fillId="0" borderId="0" xfId="4496" applyFont="1" applyAlignment="1">
      <alignment vertical="center"/>
    </xf>
    <xf numFmtId="0" fontId="123" fillId="0" borderId="0" xfId="4496" applyFont="1"/>
    <xf numFmtId="0" fontId="123" fillId="0" borderId="0" xfId="4496" applyFont="1" applyAlignment="1">
      <alignment vertical="center"/>
    </xf>
    <xf numFmtId="0" fontId="126" fillId="0" borderId="0" xfId="4496" applyFont="1" applyAlignment="1">
      <alignment vertical="center"/>
    </xf>
    <xf numFmtId="0" fontId="18" fillId="0" borderId="0" xfId="4496" applyFont="1" applyAlignment="1">
      <alignment vertical="center"/>
    </xf>
    <xf numFmtId="0" fontId="26" fillId="0" borderId="3" xfId="4495" applyFont="1" applyBorder="1" applyAlignment="1">
      <alignment vertical="top" wrapText="1"/>
    </xf>
    <xf numFmtId="0" fontId="26" fillId="0" borderId="4" xfId="4495" applyFont="1" applyBorder="1" applyAlignment="1">
      <alignment vertical="top" wrapText="1"/>
    </xf>
    <xf numFmtId="164" fontId="121" fillId="0" borderId="4" xfId="4495" applyNumberFormat="1" applyBorder="1" applyAlignment="1">
      <alignment horizontal="right"/>
    </xf>
    <xf numFmtId="0" fontId="26" fillId="0" borderId="4" xfId="4495" applyFont="1" applyBorder="1"/>
    <xf numFmtId="0" fontId="25" fillId="0" borderId="5" xfId="4495" applyFont="1" applyBorder="1" applyAlignment="1">
      <alignment horizontal="right"/>
    </xf>
    <xf numFmtId="0" fontId="18" fillId="0" borderId="16" xfId="4495" applyFont="1" applyBorder="1"/>
    <xf numFmtId="0" fontId="18" fillId="0" borderId="16" xfId="4495" applyFont="1" applyBorder="1" applyAlignment="1">
      <alignment horizontal="left" vertical="top"/>
    </xf>
    <xf numFmtId="0" fontId="26" fillId="0" borderId="16" xfId="4495" applyFont="1" applyBorder="1" applyAlignment="1">
      <alignment horizontal="left" vertical="top" wrapText="1"/>
    </xf>
    <xf numFmtId="0" fontId="26" fillId="0" borderId="45" xfId="4495" applyFont="1" applyBorder="1" applyAlignment="1">
      <alignment horizontal="left" vertical="top" wrapText="1"/>
    </xf>
    <xf numFmtId="0" fontId="121" fillId="0" borderId="0" xfId="4495"/>
    <xf numFmtId="0" fontId="19" fillId="0" borderId="0" xfId="244" applyFill="1" applyBorder="1" applyAlignment="1" applyProtection="1">
      <alignment horizontal="left" vertical="top"/>
    </xf>
    <xf numFmtId="0" fontId="19" fillId="0" borderId="0" xfId="244" applyFill="1" applyBorder="1" applyAlignment="1" applyProtection="1">
      <alignment horizontal="left" vertical="top" wrapText="1"/>
    </xf>
    <xf numFmtId="0" fontId="26" fillId="0" borderId="0" xfId="4495" applyFont="1" applyAlignment="1">
      <alignment horizontal="left" vertical="top" wrapText="1"/>
    </xf>
    <xf numFmtId="0" fontId="26" fillId="0" borderId="0" xfId="4495" applyFont="1" applyAlignment="1">
      <alignment horizontal="right" vertical="top"/>
    </xf>
    <xf numFmtId="0" fontId="18" fillId="0" borderId="0" xfId="4495" applyFont="1" applyAlignment="1">
      <alignment vertical="center" wrapText="1"/>
    </xf>
    <xf numFmtId="0" fontId="123" fillId="0" borderId="53" xfId="4496" applyFont="1" applyBorder="1" applyAlignment="1">
      <alignment vertical="top" wrapText="1"/>
    </xf>
    <xf numFmtId="0" fontId="123" fillId="0" borderId="0" xfId="4496" applyFont="1" applyAlignment="1">
      <alignment vertical="top" wrapText="1"/>
    </xf>
    <xf numFmtId="10" fontId="123" fillId="0" borderId="0" xfId="4496" applyNumberFormat="1" applyFont="1" applyAlignment="1">
      <alignment vertical="top" wrapText="1"/>
    </xf>
    <xf numFmtId="0" fontId="123" fillId="0" borderId="54" xfId="4496" applyFont="1" applyBorder="1" applyAlignment="1">
      <alignment vertical="top" wrapText="1"/>
    </xf>
    <xf numFmtId="0" fontId="123" fillId="0" borderId="0" xfId="4496" applyFont="1" applyAlignment="1">
      <alignment vertical="top"/>
    </xf>
    <xf numFmtId="165" fontId="123" fillId="0" borderId="0" xfId="4496" applyNumberFormat="1" applyFont="1" applyAlignment="1">
      <alignment vertical="top" wrapText="1"/>
    </xf>
    <xf numFmtId="0" fontId="25" fillId="0" borderId="57" xfId="4495" applyFont="1" applyBorder="1"/>
    <xf numFmtId="0" fontId="25" fillId="0" borderId="58" xfId="4495" applyFont="1" applyBorder="1"/>
    <xf numFmtId="0" fontId="25" fillId="0" borderId="58" xfId="4495" applyFont="1" applyBorder="1" applyAlignment="1">
      <alignment horizontal="right"/>
    </xf>
    <xf numFmtId="0" fontId="25" fillId="0" borderId="59" xfId="4495" applyFont="1" applyBorder="1" applyAlignment="1">
      <alignment horizontal="right"/>
    </xf>
    <xf numFmtId="0" fontId="123" fillId="0" borderId="53" xfId="4496" applyFont="1" applyBorder="1" applyAlignment="1">
      <alignment horizontal="left" vertical="top" wrapText="1"/>
    </xf>
    <xf numFmtId="0" fontId="123" fillId="0" borderId="0" xfId="4496" applyFont="1" applyAlignment="1">
      <alignment horizontal="left" vertical="top"/>
    </xf>
    <xf numFmtId="0" fontId="28" fillId="0" borderId="57" xfId="4495" applyFont="1" applyBorder="1" applyAlignment="1">
      <alignment horizontal="center" vertical="center"/>
    </xf>
    <xf numFmtId="0" fontId="28" fillId="0" borderId="58" xfId="4495" applyFont="1" applyBorder="1" applyAlignment="1">
      <alignment horizontal="center" vertical="center"/>
    </xf>
    <xf numFmtId="0" fontId="28" fillId="0" borderId="59" xfId="4495" applyFont="1" applyBorder="1" applyAlignment="1">
      <alignment horizontal="center" vertical="center"/>
    </xf>
    <xf numFmtId="0" fontId="25" fillId="0" borderId="0" xfId="4495" applyFont="1" applyAlignment="1">
      <alignment horizontal="center"/>
    </xf>
    <xf numFmtId="0" fontId="25" fillId="0" borderId="8" xfId="4495" applyFont="1" applyBorder="1"/>
    <xf numFmtId="0" fontId="26" fillId="0" borderId="0" xfId="4495" applyFont="1" applyAlignment="1">
      <alignment horizontal="left"/>
    </xf>
    <xf numFmtId="0" fontId="25" fillId="0" borderId="0" xfId="4495" applyFont="1" applyAlignment="1">
      <alignment horizontal="center" vertical="top"/>
    </xf>
    <xf numFmtId="0" fontId="18" fillId="0" borderId="0" xfId="4495" applyFont="1" applyAlignment="1">
      <alignment horizontal="center"/>
    </xf>
    <xf numFmtId="0" fontId="34" fillId="0" borderId="0" xfId="4495" applyFont="1"/>
    <xf numFmtId="0" fontId="26" fillId="0" borderId="8" xfId="4495" applyFont="1" applyBorder="1"/>
    <xf numFmtId="0" fontId="54" fillId="0" borderId="8" xfId="4495" applyFont="1" applyBorder="1"/>
    <xf numFmtId="1" fontId="18" fillId="0" borderId="0" xfId="1192" applyNumberFormat="1"/>
    <xf numFmtId="0" fontId="18" fillId="0" borderId="3" xfId="4495" applyFont="1" applyBorder="1"/>
    <xf numFmtId="0" fontId="18" fillId="0" borderId="4" xfId="4495" applyFont="1" applyBorder="1"/>
    <xf numFmtId="0" fontId="18" fillId="0" borderId="0" xfId="1192" applyAlignment="1">
      <alignment wrapText="1"/>
    </xf>
    <xf numFmtId="0" fontId="26" fillId="0" borderId="0" xfId="4495" applyFont="1" applyAlignment="1">
      <alignment vertical="top" wrapText="1"/>
    </xf>
    <xf numFmtId="0" fontId="26" fillId="0" borderId="0" xfId="1192" applyFont="1"/>
    <xf numFmtId="0" fontId="18" fillId="0" borderId="0" xfId="4495" applyFont="1" applyAlignment="1">
      <alignment horizontal="left"/>
    </xf>
    <xf numFmtId="0" fontId="26" fillId="0" borderId="3" xfId="4495" applyFont="1" applyBorder="1"/>
    <xf numFmtId="0" fontId="18" fillId="0" borderId="4" xfId="4495" applyFont="1" applyBorder="1" applyAlignment="1">
      <alignment horizontal="right"/>
    </xf>
    <xf numFmtId="1" fontId="18" fillId="0" borderId="0" xfId="4495" applyNumberFormat="1" applyFont="1" applyAlignment="1">
      <alignment horizontal="center"/>
    </xf>
    <xf numFmtId="0" fontId="54" fillId="0" borderId="0" xfId="4495" applyFont="1"/>
    <xf numFmtId="0" fontId="18" fillId="0" borderId="0" xfId="4495" applyFont="1" applyAlignment="1">
      <alignment horizontal="right"/>
    </xf>
    <xf numFmtId="0" fontId="26" fillId="0" borderId="0" xfId="4495" applyFont="1" applyAlignment="1">
      <alignment vertical="top"/>
    </xf>
    <xf numFmtId="0" fontId="26" fillId="0" borderId="27" xfId="4495" applyFont="1" applyBorder="1"/>
    <xf numFmtId="0" fontId="25" fillId="0" borderId="0" xfId="4495" applyFont="1" applyAlignment="1">
      <alignment vertical="top"/>
    </xf>
    <xf numFmtId="0" fontId="36" fillId="0" borderId="0" xfId="4495" applyFont="1" applyAlignment="1">
      <alignment vertical="top" wrapText="1"/>
    </xf>
    <xf numFmtId="0" fontId="25" fillId="0" borderId="0" xfId="4495" applyFont="1" applyAlignment="1">
      <alignment horizontal="left" vertical="top" wrapText="1"/>
    </xf>
    <xf numFmtId="0" fontId="18" fillId="0" borderId="0" xfId="4495" applyFont="1" applyAlignment="1">
      <alignment horizontal="left" vertical="top"/>
    </xf>
    <xf numFmtId="0" fontId="36" fillId="0" borderId="0" xfId="4495" applyFont="1" applyAlignment="1">
      <alignment vertical="top"/>
    </xf>
    <xf numFmtId="0" fontId="18" fillId="0" borderId="10" xfId="4495" applyFont="1" applyBorder="1" applyAlignment="1">
      <alignment horizontal="center"/>
    </xf>
    <xf numFmtId="0" fontId="18" fillId="0" borderId="16" xfId="4495" applyFont="1" applyBorder="1" applyAlignment="1">
      <alignment horizontal="center"/>
    </xf>
    <xf numFmtId="0" fontId="34" fillId="0" borderId="16" xfId="4495" applyFont="1" applyBorder="1"/>
    <xf numFmtId="0" fontId="26" fillId="0" borderId="16" xfId="4495" applyFont="1" applyBorder="1"/>
    <xf numFmtId="0" fontId="18" fillId="0" borderId="0" xfId="4496" applyFont="1" applyAlignment="1">
      <alignment vertical="top" wrapText="1"/>
    </xf>
    <xf numFmtId="0" fontId="25" fillId="0" borderId="0" xfId="1192" applyFont="1" applyAlignment="1">
      <alignment horizontal="right"/>
    </xf>
    <xf numFmtId="0" fontId="18" fillId="0" borderId="0" xfId="4496" applyFont="1"/>
    <xf numFmtId="0" fontId="18" fillId="0" borderId="0" xfId="4496" applyFont="1" applyAlignment="1">
      <alignment horizontal="left"/>
    </xf>
    <xf numFmtId="0" fontId="18" fillId="0" borderId="0" xfId="4496" applyFont="1" applyAlignment="1">
      <alignment horizontal="right"/>
    </xf>
    <xf numFmtId="0" fontId="26" fillId="0" borderId="0" xfId="4496" applyFont="1" applyAlignment="1">
      <alignment vertical="top" wrapText="1"/>
    </xf>
    <xf numFmtId="0" fontId="18" fillId="0" borderId="4" xfId="4496" applyFont="1" applyBorder="1"/>
    <xf numFmtId="0" fontId="25" fillId="0" borderId="4" xfId="4496" applyFont="1" applyBorder="1" applyAlignment="1">
      <alignment horizontal="right"/>
    </xf>
    <xf numFmtId="0" fontId="26" fillId="0" borderId="27" xfId="4495" applyFont="1" applyBorder="1" applyAlignment="1">
      <alignment horizontal="left" vertical="top"/>
    </xf>
    <xf numFmtId="0" fontId="18" fillId="0" borderId="27" xfId="4495" applyFont="1" applyBorder="1" applyAlignment="1">
      <alignment horizontal="left" vertical="top"/>
    </xf>
    <xf numFmtId="0" fontId="25" fillId="0" borderId="27" xfId="4495" applyFont="1" applyBorder="1" applyAlignment="1">
      <alignment horizontal="right"/>
    </xf>
    <xf numFmtId="0" fontId="18" fillId="0" borderId="27" xfId="4495" applyFont="1" applyBorder="1" applyAlignment="1">
      <alignment horizontal="center"/>
    </xf>
    <xf numFmtId="0" fontId="18" fillId="0" borderId="46" xfId="4495" applyFont="1" applyBorder="1" applyAlignment="1">
      <alignment horizontal="center"/>
    </xf>
    <xf numFmtId="164" fontId="26" fillId="0" borderId="0" xfId="4495" applyNumberFormat="1" applyFont="1" applyAlignment="1">
      <alignment horizontal="left" vertical="top" wrapText="1"/>
    </xf>
    <xf numFmtId="0" fontId="29" fillId="0" borderId="0" xfId="4495" applyFont="1"/>
    <xf numFmtId="0" fontId="26" fillId="0" borderId="0" xfId="4495" applyFont="1" applyAlignment="1">
      <alignment horizontal="right"/>
    </xf>
    <xf numFmtId="0" fontId="18" fillId="0" borderId="27" xfId="543" applyBorder="1"/>
    <xf numFmtId="0" fontId="18" fillId="0" borderId="46" xfId="543" applyBorder="1"/>
    <xf numFmtId="0" fontId="25" fillId="0" borderId="0" xfId="4495" applyFont="1" applyAlignment="1">
      <alignment horizontal="left" vertical="top"/>
    </xf>
    <xf numFmtId="1" fontId="121" fillId="0" borderId="0" xfId="4495" applyNumberFormat="1"/>
    <xf numFmtId="0" fontId="18" fillId="0" borderId="0" xfId="4495" applyFont="1" applyAlignment="1">
      <alignment vertical="top" wrapText="1"/>
    </xf>
    <xf numFmtId="0" fontId="18" fillId="0" borderId="0" xfId="4495" applyFont="1" applyAlignment="1">
      <alignment horizontal="left" vertical="top" wrapText="1"/>
    </xf>
    <xf numFmtId="0" fontId="18" fillId="0" borderId="50" xfId="4495" applyFont="1" applyBorder="1" applyAlignment="1">
      <alignment vertical="top"/>
    </xf>
    <xf numFmtId="0" fontId="18" fillId="0" borderId="51" xfId="4495" applyFont="1" applyBorder="1" applyAlignment="1">
      <alignment vertical="top"/>
    </xf>
    <xf numFmtId="0" fontId="18" fillId="0" borderId="52" xfId="4495" applyFont="1" applyBorder="1" applyAlignment="1">
      <alignment vertical="top"/>
    </xf>
    <xf numFmtId="1" fontId="26" fillId="0" borderId="8" xfId="4495" applyNumberFormat="1" applyFont="1" applyBorder="1"/>
    <xf numFmtId="0" fontId="18" fillId="0" borderId="0" xfId="543" applyAlignment="1">
      <alignment vertical="top"/>
    </xf>
    <xf numFmtId="0" fontId="26" fillId="0" borderId="51" xfId="4495" applyFont="1" applyBorder="1" applyAlignment="1">
      <alignment horizontal="left" vertical="top"/>
    </xf>
    <xf numFmtId="0" fontId="26" fillId="0" borderId="52" xfId="4495" applyFont="1" applyBorder="1" applyAlignment="1">
      <alignment horizontal="left" vertical="top"/>
    </xf>
    <xf numFmtId="0" fontId="121" fillId="0" borderId="0" xfId="4495" applyAlignment="1" applyProtection="1">
      <alignment horizontal="center"/>
      <protection locked="0"/>
    </xf>
    <xf numFmtId="0" fontId="18" fillId="0" borderId="53" xfId="4495" applyFont="1" applyBorder="1" applyAlignment="1">
      <alignment vertical="top"/>
    </xf>
    <xf numFmtId="0" fontId="18" fillId="0" borderId="54" xfId="4495" applyFont="1" applyBorder="1" applyAlignment="1">
      <alignment vertical="top" wrapText="1"/>
    </xf>
    <xf numFmtId="0" fontId="62" fillId="0" borderId="53" xfId="4495" applyFont="1" applyBorder="1"/>
    <xf numFmtId="0" fontId="26" fillId="0" borderId="54" xfId="4495" applyFont="1" applyBorder="1" applyAlignment="1">
      <alignment horizontal="left" vertical="top"/>
    </xf>
    <xf numFmtId="0" fontId="18" fillId="0" borderId="53" xfId="4495" applyFont="1" applyBorder="1" applyAlignment="1">
      <alignment vertical="center" wrapText="1"/>
    </xf>
    <xf numFmtId="0" fontId="62" fillId="0" borderId="57" xfId="4495" applyFont="1" applyBorder="1"/>
    <xf numFmtId="0" fontId="26" fillId="0" borderId="58" xfId="4495" applyFont="1" applyBorder="1" applyAlignment="1">
      <alignment horizontal="left" vertical="top"/>
    </xf>
    <xf numFmtId="0" fontId="26" fillId="0" borderId="12" xfId="4495" applyFont="1" applyBorder="1"/>
    <xf numFmtId="0" fontId="18" fillId="0" borderId="57" xfId="4495" applyFont="1" applyBorder="1" applyAlignment="1">
      <alignment vertical="center"/>
    </xf>
    <xf numFmtId="0" fontId="18" fillId="0" borderId="58" xfId="4495" applyFont="1" applyBorder="1" applyAlignment="1">
      <alignment vertical="top"/>
    </xf>
    <xf numFmtId="0" fontId="18" fillId="0" borderId="59" xfId="4495" applyFont="1" applyBorder="1" applyAlignment="1">
      <alignment vertical="top"/>
    </xf>
    <xf numFmtId="0" fontId="18" fillId="0" borderId="0" xfId="4495" applyFont="1" applyAlignment="1">
      <alignment vertical="top"/>
    </xf>
    <xf numFmtId="0" fontId="26" fillId="0" borderId="4" xfId="4495" applyFont="1" applyBorder="1" applyAlignment="1">
      <alignment horizontal="left" vertical="top"/>
    </xf>
    <xf numFmtId="0" fontId="18" fillId="0" borderId="4" xfId="4495" applyFont="1" applyBorder="1" applyAlignment="1">
      <alignment horizontal="left" vertical="top"/>
    </xf>
    <xf numFmtId="0" fontId="18" fillId="0" borderId="2" xfId="4495" applyFont="1" applyBorder="1"/>
    <xf numFmtId="0" fontId="26" fillId="0" borderId="2" xfId="4495" applyFont="1" applyBorder="1"/>
    <xf numFmtId="0" fontId="18" fillId="0" borderId="2" xfId="4495" applyFont="1" applyBorder="1" applyAlignment="1">
      <alignment horizontal="center"/>
    </xf>
    <xf numFmtId="0" fontId="26" fillId="0" borderId="7" xfId="4495" applyFont="1" applyBorder="1"/>
    <xf numFmtId="0" fontId="34" fillId="0" borderId="0" xfId="4495" applyFont="1" applyAlignment="1">
      <alignment horizontal="right"/>
    </xf>
    <xf numFmtId="0" fontId="127" fillId="0" borderId="0" xfId="4495" applyFont="1" applyAlignment="1">
      <alignment horizontal="left" vertical="top" wrapText="1"/>
    </xf>
    <xf numFmtId="0" fontId="34" fillId="0" borderId="0" xfId="4495" applyFont="1" applyAlignment="1">
      <alignment horizontal="left" vertical="top"/>
    </xf>
    <xf numFmtId="0" fontId="26" fillId="0" borderId="0" xfId="4495" quotePrefix="1" applyFont="1" applyAlignment="1">
      <alignment horizontal="right"/>
    </xf>
    <xf numFmtId="0" fontId="18" fillId="0" borderId="0" xfId="4497"/>
    <xf numFmtId="0" fontId="26" fillId="0" borderId="0" xfId="4495" applyFont="1" applyAlignment="1">
      <alignment horizontal="left" vertical="top" wrapText="1" shrinkToFit="1"/>
    </xf>
    <xf numFmtId="0" fontId="121" fillId="0" borderId="0" xfId="4495" applyAlignment="1">
      <alignment vertical="top" wrapText="1"/>
    </xf>
    <xf numFmtId="0" fontId="26" fillId="0" borderId="4" xfId="4495" applyFont="1" applyBorder="1" applyAlignment="1">
      <alignment horizontal="left" vertical="top" wrapText="1" shrinkToFit="1"/>
    </xf>
    <xf numFmtId="0" fontId="34" fillId="0" borderId="8" xfId="4495" applyFont="1" applyBorder="1"/>
    <xf numFmtId="0" fontId="26" fillId="0" borderId="0" xfId="4495" applyFont="1" applyAlignment="1">
      <alignment horizontal="center"/>
    </xf>
    <xf numFmtId="0" fontId="26" fillId="0" borderId="0" xfId="4495" quotePrefix="1" applyFont="1"/>
    <xf numFmtId="0" fontId="26" fillId="0" borderId="0" xfId="4495" applyFont="1" applyAlignment="1">
      <alignment horizontal="left" vertical="top" shrinkToFit="1"/>
    </xf>
    <xf numFmtId="0" fontId="48" fillId="0" borderId="0" xfId="4495" applyFont="1"/>
    <xf numFmtId="0" fontId="26" fillId="0" borderId="3" xfId="4495" applyFont="1" applyBorder="1" applyAlignment="1">
      <alignment horizontal="center"/>
    </xf>
    <xf numFmtId="0" fontId="121" fillId="0" borderId="8" xfId="4495" applyBorder="1"/>
    <xf numFmtId="0" fontId="25" fillId="0" borderId="8" xfId="4495" applyFont="1" applyBorder="1" applyAlignment="1">
      <alignment vertical="top"/>
    </xf>
    <xf numFmtId="0" fontId="121" fillId="0" borderId="0" xfId="4495" applyAlignment="1">
      <alignment vertical="top"/>
    </xf>
    <xf numFmtId="0" fontId="25" fillId="0" borderId="4" xfId="4495" applyFont="1" applyBorder="1" applyAlignment="1">
      <alignment horizontal="center" vertical="top"/>
    </xf>
    <xf numFmtId="0" fontId="127" fillId="0" borderId="0" xfId="4495" applyFont="1" applyAlignment="1">
      <alignment horizontal="left" vertical="top"/>
    </xf>
    <xf numFmtId="0" fontId="127" fillId="0" borderId="4" xfId="4495" applyFont="1" applyBorder="1" applyAlignment="1">
      <alignment horizontal="left" vertical="top"/>
    </xf>
    <xf numFmtId="168" fontId="18" fillId="0" borderId="0" xfId="4497" applyNumberFormat="1"/>
    <xf numFmtId="1" fontId="26" fillId="0" borderId="0" xfId="4495" applyNumberFormat="1" applyFont="1" applyAlignment="1">
      <alignment horizontal="center" vertical="top"/>
    </xf>
    <xf numFmtId="0" fontId="131" fillId="0" borderId="0" xfId="4495" applyFont="1" applyAlignment="1">
      <alignment vertical="top" wrapText="1"/>
    </xf>
    <xf numFmtId="0" fontId="131" fillId="0" borderId="0" xfId="4495" applyFont="1" applyAlignment="1">
      <alignment horizontal="left" vertical="top" wrapText="1"/>
    </xf>
    <xf numFmtId="0" fontId="26" fillId="0" borderId="6" xfId="4495" applyFont="1" applyBorder="1"/>
    <xf numFmtId="1" fontId="26" fillId="0" borderId="8" xfId="4495" applyNumberFormat="1" applyFont="1" applyBorder="1" applyAlignment="1">
      <alignment horizontal="center" vertical="top"/>
    </xf>
    <xf numFmtId="0" fontId="121" fillId="0" borderId="12" xfId="4495" applyBorder="1"/>
    <xf numFmtId="0" fontId="26" fillId="0" borderId="9" xfId="4495" applyFont="1" applyBorder="1"/>
    <xf numFmtId="0" fontId="121" fillId="0" borderId="10" xfId="4495" applyBorder="1"/>
    <xf numFmtId="0" fontId="34" fillId="0" borderId="3" xfId="4495" applyFont="1" applyBorder="1"/>
    <xf numFmtId="0" fontId="25" fillId="0" borderId="4" xfId="4495" applyFont="1" applyBorder="1"/>
    <xf numFmtId="0" fontId="121" fillId="0" borderId="12" xfId="4495" applyBorder="1" applyAlignment="1">
      <alignment vertical="top"/>
    </xf>
    <xf numFmtId="0" fontId="34" fillId="0" borderId="1" xfId="4495" applyFont="1" applyBorder="1"/>
    <xf numFmtId="0" fontId="131" fillId="0" borderId="2" xfId="4495" applyFont="1" applyBorder="1" applyAlignment="1">
      <alignment horizontal="left" wrapText="1"/>
    </xf>
    <xf numFmtId="0" fontId="131" fillId="0" borderId="2" xfId="4495" applyFont="1" applyBorder="1" applyAlignment="1">
      <alignment horizontal="left"/>
    </xf>
    <xf numFmtId="0" fontId="131" fillId="0" borderId="7" xfId="4495" applyFont="1" applyBorder="1" applyAlignment="1">
      <alignment horizontal="left" wrapText="1"/>
    </xf>
    <xf numFmtId="0" fontId="131" fillId="0" borderId="0" xfId="4495" applyFont="1" applyAlignment="1">
      <alignment horizontal="left" wrapText="1"/>
    </xf>
    <xf numFmtId="0" fontId="34" fillId="0" borderId="9" xfId="4495" applyFont="1" applyBorder="1"/>
    <xf numFmtId="0" fontId="26" fillId="0" borderId="10" xfId="4495" applyFont="1" applyBorder="1"/>
    <xf numFmtId="0" fontId="131" fillId="0" borderId="0" xfId="4495" applyFont="1" applyAlignment="1">
      <alignment wrapText="1"/>
    </xf>
    <xf numFmtId="0" fontId="34" fillId="0" borderId="9" xfId="4495" applyFont="1" applyBorder="1" applyAlignment="1">
      <alignment horizontal="center"/>
    </xf>
    <xf numFmtId="0" fontId="25" fillId="0" borderId="10" xfId="4495" applyFont="1" applyBorder="1"/>
    <xf numFmtId="0" fontId="36" fillId="0" borderId="0" xfId="4495" applyFont="1"/>
    <xf numFmtId="0" fontId="26" fillId="0" borderId="50" xfId="4495" applyFont="1" applyBorder="1"/>
    <xf numFmtId="0" fontId="26" fillId="0" borderId="51" xfId="4495" applyFont="1" applyBorder="1"/>
    <xf numFmtId="1" fontId="26" fillId="0" borderId="51" xfId="4495" quotePrefix="1" applyNumberFormat="1" applyFont="1" applyBorder="1" applyAlignment="1">
      <alignment horizontal="center" vertical="top"/>
    </xf>
    <xf numFmtId="0" fontId="25" fillId="0" borderId="51" xfId="4495" applyFont="1" applyBorder="1"/>
    <xf numFmtId="0" fontId="25" fillId="0" borderId="52" xfId="4495" applyFont="1" applyBorder="1" applyAlignment="1">
      <alignment horizontal="center"/>
    </xf>
    <xf numFmtId="0" fontId="18" fillId="0" borderId="53" xfId="4495" applyFont="1" applyBorder="1"/>
    <xf numFmtId="1" fontId="26" fillId="0" borderId="0" xfId="4495" quotePrefix="1" applyNumberFormat="1" applyFont="1" applyAlignment="1">
      <alignment horizontal="center" vertical="top"/>
    </xf>
    <xf numFmtId="0" fontId="25" fillId="0" borderId="54" xfId="4495" applyFont="1" applyBorder="1" applyAlignment="1">
      <alignment horizontal="center"/>
    </xf>
    <xf numFmtId="0" fontId="34" fillId="0" borderId="0" xfId="4495" applyFont="1" applyAlignment="1">
      <alignment vertical="top"/>
    </xf>
    <xf numFmtId="0" fontId="26" fillId="0" borderId="61" xfId="4495" applyFont="1" applyBorder="1"/>
    <xf numFmtId="0" fontId="121" fillId="0" borderId="58" xfId="4495" applyBorder="1" applyAlignment="1">
      <alignment horizontal="center"/>
    </xf>
    <xf numFmtId="1" fontId="26" fillId="0" borderId="58" xfId="4495" quotePrefix="1" applyNumberFormat="1" applyFont="1" applyBorder="1" applyAlignment="1">
      <alignment horizontal="center" vertical="top"/>
    </xf>
    <xf numFmtId="0" fontId="34" fillId="0" borderId="58" xfId="4495" applyFont="1" applyBorder="1" applyAlignment="1">
      <alignment vertical="top"/>
    </xf>
    <xf numFmtId="0" fontId="26" fillId="0" borderId="58" xfId="4495" applyFont="1" applyBorder="1" applyAlignment="1">
      <alignment vertical="top" wrapText="1"/>
    </xf>
    <xf numFmtId="0" fontId="26" fillId="0" borderId="58" xfId="4495" applyFont="1" applyBorder="1"/>
    <xf numFmtId="0" fontId="25" fillId="0" borderId="58" xfId="4495" applyFont="1" applyBorder="1" applyAlignment="1">
      <alignment horizontal="center"/>
    </xf>
    <xf numFmtId="0" fontId="121" fillId="0" borderId="61" xfId="4495" applyBorder="1"/>
    <xf numFmtId="0" fontId="121" fillId="0" borderId="0" xfId="4495" applyAlignment="1">
      <alignment horizontal="center"/>
    </xf>
    <xf numFmtId="0" fontId="18" fillId="0" borderId="53" xfId="543" applyBorder="1"/>
    <xf numFmtId="0" fontId="26" fillId="0" borderId="54" xfId="4495" applyFont="1" applyBorder="1"/>
    <xf numFmtId="0" fontId="18" fillId="0" borderId="58" xfId="543" applyBorder="1"/>
    <xf numFmtId="1" fontId="26" fillId="0" borderId="58" xfId="4495" applyNumberFormat="1" applyFont="1" applyBorder="1" applyAlignment="1">
      <alignment horizontal="center" vertical="top"/>
    </xf>
    <xf numFmtId="0" fontId="34" fillId="0" borderId="58" xfId="4495" applyFont="1" applyBorder="1" applyAlignment="1">
      <alignment vertical="center"/>
    </xf>
    <xf numFmtId="0" fontId="121" fillId="0" borderId="58" xfId="4495" applyBorder="1" applyAlignment="1">
      <alignment vertical="top" wrapText="1"/>
    </xf>
    <xf numFmtId="0" fontId="18" fillId="0" borderId="58" xfId="4495" applyFont="1" applyBorder="1"/>
    <xf numFmtId="0" fontId="34" fillId="0" borderId="0" xfId="4495" applyFont="1" applyAlignment="1">
      <alignment vertical="center"/>
    </xf>
    <xf numFmtId="0" fontId="26" fillId="0" borderId="53" xfId="4495" applyFont="1" applyBorder="1"/>
    <xf numFmtId="0" fontId="18" fillId="0" borderId="57" xfId="543" applyBorder="1"/>
    <xf numFmtId="0" fontId="26" fillId="0" borderId="58" xfId="4495" applyFont="1" applyBorder="1" applyAlignment="1">
      <alignment vertical="top"/>
    </xf>
    <xf numFmtId="0" fontId="26" fillId="0" borderId="59" xfId="4495" applyFont="1" applyBorder="1"/>
    <xf numFmtId="0" fontId="26" fillId="0" borderId="57" xfId="4495" applyFont="1" applyBorder="1"/>
    <xf numFmtId="0" fontId="18" fillId="0" borderId="51" xfId="4495" applyFont="1" applyBorder="1"/>
    <xf numFmtId="0" fontId="26" fillId="0" borderId="52" xfId="4495" applyFont="1" applyBorder="1"/>
    <xf numFmtId="0" fontId="18" fillId="0" borderId="50" xfId="543" applyBorder="1"/>
    <xf numFmtId="0" fontId="18" fillId="0" borderId="51" xfId="543" applyBorder="1"/>
    <xf numFmtId="0" fontId="18" fillId="0" borderId="52" xfId="543" applyBorder="1"/>
    <xf numFmtId="0" fontId="26" fillId="0" borderId="0" xfId="4495" applyFont="1" applyAlignment="1">
      <alignment wrapText="1"/>
    </xf>
    <xf numFmtId="0" fontId="25" fillId="0" borderId="54" xfId="4495" applyFont="1" applyBorder="1" applyAlignment="1">
      <alignment horizontal="center" vertical="top"/>
    </xf>
    <xf numFmtId="0" fontId="121" fillId="0" borderId="53" xfId="4495" applyBorder="1" applyAlignment="1">
      <alignment horizontal="center"/>
    </xf>
    <xf numFmtId="2" fontId="26" fillId="0" borderId="0" xfId="4495" applyNumberFormat="1" applyFont="1" applyAlignment="1">
      <alignment horizontal="right"/>
    </xf>
    <xf numFmtId="2" fontId="26" fillId="0" borderId="8" xfId="4495" applyNumberFormat="1" applyFont="1" applyBorder="1" applyAlignment="1">
      <alignment horizontal="left"/>
    </xf>
    <xf numFmtId="0" fontId="26" fillId="0" borderId="8" xfId="4495" applyFont="1" applyBorder="1" applyAlignment="1">
      <alignment horizontal="right"/>
    </xf>
    <xf numFmtId="0" fontId="130" fillId="0" borderId="0" xfId="4495" applyFont="1"/>
    <xf numFmtId="0" fontId="121" fillId="0" borderId="57" xfId="4495" applyBorder="1" applyAlignment="1">
      <alignment horizontal="center"/>
    </xf>
    <xf numFmtId="0" fontId="25" fillId="0" borderId="59" xfId="4495" applyFont="1" applyBorder="1" applyAlignment="1">
      <alignment horizontal="center"/>
    </xf>
    <xf numFmtId="9" fontId="26" fillId="0" borderId="0" xfId="4495" applyNumberFormat="1" applyFont="1" applyAlignment="1">
      <alignment horizontal="left"/>
    </xf>
    <xf numFmtId="0" fontId="18" fillId="0" borderId="17" xfId="543" applyBorder="1"/>
    <xf numFmtId="0" fontId="18" fillId="0" borderId="16" xfId="543" applyBorder="1"/>
    <xf numFmtId="0" fontId="18" fillId="0" borderId="51" xfId="4495" quotePrefix="1" applyFont="1" applyBorder="1" applyAlignment="1">
      <alignment horizontal="center" vertical="top"/>
    </xf>
    <xf numFmtId="0" fontId="26" fillId="0" borderId="53" xfId="4495" applyFont="1" applyBorder="1" applyAlignment="1">
      <alignment horizontal="left" vertical="top"/>
    </xf>
    <xf numFmtId="0" fontId="26" fillId="0" borderId="0" xfId="4495" applyFont="1" applyAlignment="1">
      <alignment horizontal="center" vertical="top"/>
    </xf>
    <xf numFmtId="0" fontId="26" fillId="0" borderId="57" xfId="4495" applyFont="1" applyBorder="1" applyAlignment="1">
      <alignment horizontal="left" vertical="top"/>
    </xf>
    <xf numFmtId="0" fontId="26" fillId="0" borderId="58" xfId="4495" applyFont="1" applyBorder="1" applyAlignment="1">
      <alignment horizontal="center" vertical="top"/>
    </xf>
    <xf numFmtId="0" fontId="121" fillId="0" borderId="58" xfId="4495" applyBorder="1"/>
    <xf numFmtId="0" fontId="25" fillId="0" borderId="58" xfId="4495" applyFont="1" applyBorder="1" applyAlignment="1">
      <alignment vertical="top"/>
    </xf>
    <xf numFmtId="0" fontId="25" fillId="0" borderId="58" xfId="4495" applyFont="1" applyBorder="1" applyAlignment="1">
      <alignment horizontal="left" vertical="top"/>
    </xf>
    <xf numFmtId="0" fontId="25" fillId="0" borderId="51" xfId="4495" applyFont="1" applyBorder="1" applyAlignment="1">
      <alignment horizontal="left" vertical="top"/>
    </xf>
    <xf numFmtId="0" fontId="25" fillId="0" borderId="53" xfId="4495" applyFont="1" applyBorder="1" applyAlignment="1">
      <alignment horizontal="left" vertical="top"/>
    </xf>
    <xf numFmtId="0" fontId="54" fillId="0" borderId="0" xfId="4495" applyFont="1" applyAlignment="1">
      <alignment horizontal="left" vertical="top"/>
    </xf>
    <xf numFmtId="0" fontId="26" fillId="0" borderId="0" xfId="4495" quotePrefix="1" applyFont="1" applyAlignment="1">
      <alignment horizontal="center" vertical="top"/>
    </xf>
    <xf numFmtId="0" fontId="55" fillId="0" borderId="0" xfId="4495" applyFont="1" applyAlignment="1">
      <alignment horizontal="center"/>
    </xf>
    <xf numFmtId="0" fontId="55" fillId="0" borderId="0" xfId="4495" applyFont="1" applyAlignment="1">
      <alignment vertical="top"/>
    </xf>
    <xf numFmtId="0" fontId="108" fillId="0" borderId="0" xfId="4495" applyFont="1"/>
    <xf numFmtId="0" fontId="54" fillId="0" borderId="0" xfId="4495" applyFont="1" applyAlignment="1">
      <alignment vertical="top"/>
    </xf>
    <xf numFmtId="0" fontId="34" fillId="0" borderId="53" xfId="4495" applyFont="1" applyBorder="1"/>
    <xf numFmtId="2" fontId="26" fillId="0" borderId="8" xfId="4495" applyNumberFormat="1" applyFont="1" applyBorder="1" applyAlignment="1">
      <alignment horizontal="right"/>
    </xf>
    <xf numFmtId="0" fontId="25" fillId="0" borderId="50" xfId="4495" applyFont="1" applyBorder="1" applyAlignment="1">
      <alignment horizontal="left" vertical="top"/>
    </xf>
    <xf numFmtId="0" fontId="54" fillId="0" borderId="51" xfId="4495" applyFont="1" applyBorder="1" applyAlignment="1">
      <alignment horizontal="left" vertical="top"/>
    </xf>
    <xf numFmtId="0" fontId="121" fillId="0" borderId="53" xfId="4495" applyBorder="1"/>
    <xf numFmtId="0" fontId="108" fillId="0" borderId="0" xfId="4495" applyFont="1" applyAlignment="1">
      <alignment horizontal="left" vertical="top"/>
    </xf>
    <xf numFmtId="1" fontId="25" fillId="0" borderId="58" xfId="4495" applyNumberFormat="1" applyFont="1" applyBorder="1" applyAlignment="1">
      <alignment vertical="top"/>
    </xf>
    <xf numFmtId="172" fontId="25" fillId="0" borderId="8" xfId="543" applyNumberFormat="1" applyFont="1" applyBorder="1"/>
    <xf numFmtId="172" fontId="25" fillId="0" borderId="0" xfId="543" applyNumberFormat="1" applyFont="1"/>
    <xf numFmtId="0" fontId="34" fillId="0" borderId="0" xfId="4495" applyFont="1" applyAlignment="1">
      <alignment wrapText="1"/>
    </xf>
    <xf numFmtId="0" fontId="34" fillId="0" borderId="0" xfId="4495" applyFont="1" applyAlignment="1">
      <alignment horizontal="center"/>
    </xf>
    <xf numFmtId="0" fontId="34" fillId="0" borderId="0" xfId="4495" applyFont="1" applyAlignment="1">
      <alignment vertical="center" wrapText="1"/>
    </xf>
    <xf numFmtId="180" fontId="26" fillId="0" borderId="0" xfId="4495" applyNumberFormat="1" applyFont="1" applyAlignment="1">
      <alignment horizontal="center"/>
    </xf>
    <xf numFmtId="1" fontId="26" fillId="0" borderId="0" xfId="4495" applyNumberFormat="1" applyFont="1" applyAlignment="1">
      <alignment horizontal="center"/>
    </xf>
    <xf numFmtId="0" fontId="25" fillId="0" borderId="51" xfId="4495" applyFont="1" applyBorder="1" applyAlignment="1">
      <alignment horizontal="center"/>
    </xf>
    <xf numFmtId="0" fontId="25" fillId="0" borderId="51" xfId="4495" applyFont="1" applyBorder="1" applyAlignment="1">
      <alignment vertical="top"/>
    </xf>
    <xf numFmtId="0" fontId="25" fillId="0" borderId="53" xfId="4495" applyFont="1" applyBorder="1"/>
    <xf numFmtId="0" fontId="18" fillId="0" borderId="54" xfId="543" applyBorder="1"/>
    <xf numFmtId="49" fontId="26" fillId="0" borderId="0" xfId="4495" applyNumberFormat="1" applyFont="1" applyAlignment="1">
      <alignment horizontal="left" vertical="center" wrapText="1"/>
    </xf>
    <xf numFmtId="0" fontId="18" fillId="0" borderId="57" xfId="4495" applyFont="1" applyBorder="1"/>
    <xf numFmtId="1" fontId="18" fillId="0" borderId="0" xfId="4495" applyNumberFormat="1" applyFont="1" applyAlignment="1">
      <alignment vertical="center"/>
    </xf>
    <xf numFmtId="0" fontId="36" fillId="0" borderId="50" xfId="4495" applyFont="1" applyBorder="1"/>
    <xf numFmtId="0" fontId="26" fillId="0" borderId="51" xfId="4495" applyFont="1" applyBorder="1" applyAlignment="1">
      <alignment horizontal="center" vertical="top"/>
    </xf>
    <xf numFmtId="0" fontId="26" fillId="0" borderId="51" xfId="4495" applyFont="1" applyBorder="1" applyAlignment="1">
      <alignment vertical="top" wrapText="1"/>
    </xf>
    <xf numFmtId="0" fontId="26" fillId="0" borderId="51" xfId="4495" applyFont="1" applyBorder="1" applyAlignment="1">
      <alignment horizontal="left" vertical="top" wrapText="1"/>
    </xf>
    <xf numFmtId="0" fontId="18" fillId="0" borderId="0" xfId="4495" quotePrefix="1" applyFont="1" applyAlignment="1">
      <alignment horizontal="center" vertical="top"/>
    </xf>
    <xf numFmtId="1" fontId="26" fillId="0" borderId="0" xfId="4495" quotePrefix="1" applyNumberFormat="1" applyFont="1" applyAlignment="1">
      <alignment wrapText="1"/>
    </xf>
    <xf numFmtId="0" fontId="26" fillId="0" borderId="6" xfId="4495" applyFont="1" applyBorder="1" applyAlignment="1">
      <alignment horizontal="right"/>
    </xf>
    <xf numFmtId="0" fontId="123" fillId="0" borderId="0" xfId="4496" applyFont="1" applyAlignment="1">
      <alignment wrapText="1"/>
    </xf>
    <xf numFmtId="0" fontId="18" fillId="0" borderId="0" xfId="4496" applyFont="1" applyAlignment="1">
      <alignment wrapText="1"/>
    </xf>
    <xf numFmtId="0" fontId="34" fillId="0" borderId="51" xfId="4495" applyFont="1" applyBorder="1" applyAlignment="1">
      <alignment vertical="top"/>
    </xf>
    <xf numFmtId="0" fontId="18" fillId="0" borderId="51" xfId="4496" applyFont="1" applyBorder="1" applyAlignment="1">
      <alignment wrapText="1"/>
    </xf>
    <xf numFmtId="0" fontId="25" fillId="0" borderId="51" xfId="4495" applyFont="1" applyBorder="1" applyAlignment="1">
      <alignment horizontal="right"/>
    </xf>
    <xf numFmtId="0" fontId="18" fillId="0" borderId="52" xfId="4495" applyFont="1" applyBorder="1" applyAlignment="1">
      <alignment horizontal="center"/>
    </xf>
    <xf numFmtId="0" fontId="18" fillId="0" borderId="53" xfId="4495" applyFont="1" applyBorder="1" applyAlignment="1">
      <alignment horizontal="left" vertical="top"/>
    </xf>
    <xf numFmtId="0" fontId="18" fillId="0" borderId="54" xfId="4495" applyFont="1" applyBorder="1" applyAlignment="1">
      <alignment horizontal="left" vertical="top"/>
    </xf>
    <xf numFmtId="0" fontId="18" fillId="0" borderId="54" xfId="4495" applyFont="1" applyBorder="1" applyAlignment="1">
      <alignment horizontal="center"/>
    </xf>
    <xf numFmtId="0" fontId="18" fillId="0" borderId="59" xfId="4495" applyFont="1" applyBorder="1" applyAlignment="1">
      <alignment horizontal="center"/>
    </xf>
    <xf numFmtId="9" fontId="18" fillId="0" borderId="0" xfId="4496" applyNumberFormat="1" applyFont="1" applyAlignment="1">
      <alignment horizontal="center"/>
    </xf>
    <xf numFmtId="1" fontId="18" fillId="0" borderId="0" xfId="543" applyNumberFormat="1"/>
    <xf numFmtId="0" fontId="26" fillId="0" borderId="1" xfId="4495" applyFont="1" applyBorder="1"/>
    <xf numFmtId="0" fontId="25" fillId="0" borderId="0" xfId="4495" applyFont="1" applyAlignment="1">
      <alignment horizontal="center" wrapText="1"/>
    </xf>
    <xf numFmtId="0" fontId="25" fillId="0" borderId="9" xfId="4495" applyFont="1" applyBorder="1" applyAlignment="1">
      <alignment horizontal="left"/>
    </xf>
    <xf numFmtId="0" fontId="25" fillId="0" borderId="3" xfId="4495" applyFont="1" applyBorder="1" applyAlignment="1">
      <alignment horizontal="left"/>
    </xf>
    <xf numFmtId="0" fontId="25" fillId="0" borderId="4" xfId="4495" applyFont="1" applyBorder="1" applyAlignment="1">
      <alignment horizontal="left"/>
    </xf>
    <xf numFmtId="0" fontId="18" fillId="0" borderId="2" xfId="4495" applyFont="1" applyBorder="1" applyAlignment="1">
      <alignment horizontal="left"/>
    </xf>
    <xf numFmtId="0" fontId="25" fillId="0" borderId="2" xfId="4495" applyFont="1" applyBorder="1" applyAlignment="1">
      <alignment horizontal="left"/>
    </xf>
    <xf numFmtId="0" fontId="25" fillId="0" borderId="5" xfId="4495" applyFont="1" applyBorder="1" applyAlignment="1">
      <alignment horizontal="left"/>
    </xf>
    <xf numFmtId="180" fontId="65" fillId="0" borderId="0" xfId="4495" applyNumberFormat="1" applyFont="1" applyAlignment="1">
      <alignment horizontal="center" vertical="center"/>
    </xf>
    <xf numFmtId="0" fontId="18" fillId="0" borderId="12" xfId="4495" applyFont="1" applyBorder="1" applyAlignment="1">
      <alignment vertical="top"/>
    </xf>
    <xf numFmtId="0" fontId="48" fillId="0" borderId="0" xfId="4495" applyFont="1" applyAlignment="1">
      <alignment vertical="top" wrapText="1"/>
    </xf>
    <xf numFmtId="0" fontId="18" fillId="0" borderId="51" xfId="4495" applyFont="1" applyBorder="1" applyAlignment="1">
      <alignment horizontal="left" vertical="top" wrapText="1"/>
    </xf>
    <xf numFmtId="0" fontId="18" fillId="0" borderId="51" xfId="4495" applyFont="1" applyBorder="1" applyAlignment="1">
      <alignment horizontal="right"/>
    </xf>
    <xf numFmtId="0" fontId="18" fillId="0" borderId="52" xfId="4495" applyFont="1" applyBorder="1" applyAlignment="1">
      <alignment horizontal="right"/>
    </xf>
    <xf numFmtId="0" fontId="18" fillId="0" borderId="54" xfId="4495" applyFont="1" applyBorder="1" applyAlignment="1">
      <alignment horizontal="right"/>
    </xf>
    <xf numFmtId="0" fontId="18" fillId="0" borderId="58" xfId="4495" applyFont="1" applyBorder="1" applyAlignment="1">
      <alignment horizontal="left" vertical="top" wrapText="1"/>
    </xf>
    <xf numFmtId="0" fontId="18" fillId="0" borderId="58" xfId="4495" applyFont="1" applyBorder="1" applyAlignment="1">
      <alignment horizontal="right"/>
    </xf>
    <xf numFmtId="0" fontId="18" fillId="0" borderId="59" xfId="4495" applyFont="1" applyBorder="1" applyAlignment="1">
      <alignment horizontal="right"/>
    </xf>
    <xf numFmtId="0" fontId="48" fillId="0" borderId="0" xfId="4495" applyFont="1" applyAlignment="1">
      <alignment horizontal="left" vertical="top" wrapText="1"/>
    </xf>
    <xf numFmtId="0" fontId="18" fillId="0" borderId="0" xfId="1192" applyAlignment="1">
      <alignment horizontal="left" vertical="top"/>
    </xf>
    <xf numFmtId="0" fontId="36" fillId="0" borderId="0" xfId="1192" applyFont="1" applyAlignment="1">
      <alignment horizontal="left" vertical="top"/>
    </xf>
    <xf numFmtId="0" fontId="18" fillId="0" borderId="0" xfId="1192" applyAlignment="1">
      <alignment vertical="top"/>
    </xf>
    <xf numFmtId="168" fontId="18" fillId="0" borderId="0" xfId="1192" applyNumberFormat="1"/>
    <xf numFmtId="165" fontId="18" fillId="0" borderId="0" xfId="1192" applyNumberFormat="1"/>
    <xf numFmtId="165" fontId="18" fillId="0" borderId="0" xfId="1192" applyNumberFormat="1" applyAlignment="1">
      <alignment horizontal="right"/>
    </xf>
    <xf numFmtId="2" fontId="18" fillId="0" borderId="0" xfId="1192" applyNumberFormat="1"/>
    <xf numFmtId="6" fontId="18" fillId="0" borderId="0" xfId="1192" applyNumberFormat="1"/>
    <xf numFmtId="0" fontId="25" fillId="0" borderId="0" xfId="1192" applyFont="1"/>
    <xf numFmtId="0" fontId="48" fillId="0" borderId="0" xfId="1192" applyFont="1"/>
    <xf numFmtId="168" fontId="18" fillId="0" borderId="0" xfId="4495" applyNumberFormat="1" applyFont="1"/>
    <xf numFmtId="0" fontId="25" fillId="0" borderId="0" xfId="1192" applyFont="1" applyAlignment="1">
      <alignment vertical="center"/>
    </xf>
    <xf numFmtId="0" fontId="119" fillId="0" borderId="0" xfId="1192" applyFont="1" applyAlignment="1">
      <alignment horizontal="left"/>
    </xf>
    <xf numFmtId="0" fontId="116" fillId="0" borderId="0" xfId="1192" applyFont="1" applyAlignment="1">
      <alignment horizontal="left"/>
    </xf>
    <xf numFmtId="0" fontId="116" fillId="0" borderId="0" xfId="1192" applyFont="1" applyAlignment="1">
      <alignment horizontal="center"/>
    </xf>
    <xf numFmtId="168" fontId="18" fillId="0" borderId="0" xfId="1192" applyNumberFormat="1" applyAlignment="1">
      <alignment horizontal="center"/>
    </xf>
    <xf numFmtId="9" fontId="18" fillId="0" borderId="0" xfId="1192" applyNumberFormat="1"/>
    <xf numFmtId="0" fontId="18" fillId="0" borderId="0" xfId="1192" applyAlignment="1">
      <alignment horizontal="right"/>
    </xf>
    <xf numFmtId="0" fontId="18" fillId="0" borderId="53" xfId="4495" applyFont="1" applyBorder="1" applyAlignment="1">
      <alignment horizontal="left"/>
    </xf>
    <xf numFmtId="6" fontId="25" fillId="0" borderId="0" xfId="1192" applyNumberFormat="1" applyFont="1" applyAlignment="1">
      <alignment horizontal="right"/>
    </xf>
    <xf numFmtId="165" fontId="18" fillId="0" borderId="0" xfId="4495" applyNumberFormat="1" applyFont="1"/>
    <xf numFmtId="0" fontId="55" fillId="0" borderId="4" xfId="4495" applyFont="1" applyBorder="1"/>
    <xf numFmtId="0" fontId="38" fillId="0" borderId="0" xfId="543" applyFont="1" applyAlignment="1">
      <alignment vertical="center" wrapText="1"/>
    </xf>
    <xf numFmtId="1" fontId="25" fillId="0" borderId="13" xfId="271" applyNumberFormat="1" applyFont="1" applyBorder="1"/>
    <xf numFmtId="1" fontId="27" fillId="0" borderId="13" xfId="271" applyNumberFormat="1" applyBorder="1"/>
    <xf numFmtId="0" fontId="18" fillId="0" borderId="11" xfId="0" applyFont="1" applyBorder="1"/>
    <xf numFmtId="9" fontId="18" fillId="0" borderId="0" xfId="4495" applyNumberFormat="1" applyFont="1"/>
    <xf numFmtId="165" fontId="123" fillId="0" borderId="0" xfId="4496" applyNumberFormat="1" applyFont="1" applyAlignment="1">
      <alignment horizontal="center" vertical="top" wrapText="1"/>
    </xf>
    <xf numFmtId="168" fontId="123" fillId="0" borderId="0" xfId="4496" applyNumberFormat="1" applyFont="1" applyAlignment="1">
      <alignment vertical="top" wrapText="1"/>
    </xf>
    <xf numFmtId="165" fontId="123" fillId="0" borderId="64" xfId="4496" applyNumberFormat="1" applyFont="1" applyBorder="1" applyAlignment="1">
      <alignment horizontal="center" vertical="top" wrapText="1"/>
    </xf>
    <xf numFmtId="165" fontId="123" fillId="0" borderId="53" xfId="4496" applyNumberFormat="1" applyFont="1" applyBorder="1" applyAlignment="1">
      <alignment horizontal="left" vertical="top"/>
    </xf>
    <xf numFmtId="165" fontId="123" fillId="0" borderId="53" xfId="4496" applyNumberFormat="1" applyFont="1" applyBorder="1" applyAlignment="1">
      <alignment horizontal="center" vertical="top" wrapText="1"/>
    </xf>
    <xf numFmtId="168" fontId="123" fillId="0" borderId="0" xfId="4496" applyNumberFormat="1" applyFont="1" applyAlignment="1">
      <alignment vertical="top"/>
    </xf>
    <xf numFmtId="1" fontId="123" fillId="0" borderId="0" xfId="4496" applyNumberFormat="1" applyFont="1" applyAlignment="1">
      <alignment vertical="top" wrapText="1"/>
    </xf>
    <xf numFmtId="164" fontId="26" fillId="0" borderId="0" xfId="4495" applyNumberFormat="1" applyFont="1"/>
    <xf numFmtId="0" fontId="25" fillId="0" borderId="8" xfId="0" applyFont="1" applyBorder="1" applyAlignment="1">
      <alignment horizontal="center" vertical="center" wrapText="1"/>
    </xf>
    <xf numFmtId="0" fontId="25"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2" fillId="0" borderId="50" xfId="1192" applyFont="1" applyBorder="1" applyAlignment="1">
      <alignment horizontal="left"/>
    </xf>
    <xf numFmtId="0" fontId="143" fillId="0" borderId="51" xfId="4495" applyFont="1" applyBorder="1" applyAlignment="1">
      <alignment vertical="top"/>
    </xf>
    <xf numFmtId="0" fontId="142" fillId="0" borderId="51" xfId="4495" applyFont="1" applyBorder="1" applyAlignment="1">
      <alignment vertical="top" wrapText="1"/>
    </xf>
    <xf numFmtId="0" fontId="143" fillId="0" borderId="51" xfId="4495" applyFont="1" applyBorder="1"/>
    <xf numFmtId="0" fontId="143" fillId="0" borderId="53" xfId="1192" applyFont="1" applyBorder="1" applyAlignment="1">
      <alignment horizontal="left"/>
    </xf>
    <xf numFmtId="0" fontId="143" fillId="0" borderId="0" xfId="4495" applyFont="1" applyAlignment="1">
      <alignment vertical="top"/>
    </xf>
    <xf numFmtId="0" fontId="142" fillId="0" borderId="0" xfId="4495" applyFont="1" applyAlignment="1">
      <alignment vertical="top" wrapText="1"/>
    </xf>
    <xf numFmtId="0" fontId="143" fillId="0" borderId="0" xfId="4495" applyFont="1"/>
    <xf numFmtId="0" fontId="142" fillId="0" borderId="53" xfId="1192" applyFont="1" applyBorder="1" applyAlignment="1">
      <alignment horizontal="left"/>
    </xf>
    <xf numFmtId="0" fontId="142" fillId="0" borderId="57" xfId="1192" applyFont="1" applyBorder="1" applyAlignment="1">
      <alignment horizontal="left"/>
    </xf>
    <xf numFmtId="0" fontId="143" fillId="0" borderId="58" xfId="4495" applyFont="1" applyBorder="1" applyAlignment="1">
      <alignment vertical="top"/>
    </xf>
    <xf numFmtId="0" fontId="142" fillId="0" borderId="58" xfId="4495" applyFont="1" applyBorder="1" applyAlignment="1">
      <alignment vertical="top" wrapText="1"/>
    </xf>
    <xf numFmtId="0" fontId="143" fillId="0" borderId="58" xfId="4495" applyFont="1" applyBorder="1"/>
    <xf numFmtId="0" fontId="27" fillId="0" borderId="3" xfId="0" applyFont="1" applyBorder="1" applyAlignment="1">
      <alignment horizontal="center"/>
    </xf>
    <xf numFmtId="0" fontId="27" fillId="0" borderId="4" xfId="0" applyFont="1" applyBorder="1" applyAlignment="1">
      <alignment horizontal="center"/>
    </xf>
    <xf numFmtId="0" fontId="27" fillId="0" borderId="5" xfId="0" applyFont="1" applyBorder="1" applyAlignment="1">
      <alignment horizontal="center"/>
    </xf>
    <xf numFmtId="0" fontId="25" fillId="0" borderId="7" xfId="0" applyFont="1" applyBorder="1" applyAlignment="1">
      <alignment horizontal="right"/>
    </xf>
    <xf numFmtId="0" fontId="0" fillId="0" borderId="0" xfId="0" applyAlignment="1" applyProtection="1">
      <alignment horizontal="left" vertical="top" wrapText="1"/>
      <protection locked="0"/>
    </xf>
    <xf numFmtId="0" fontId="18" fillId="0" borderId="9" xfId="0" applyFont="1" applyBorder="1" applyAlignment="1">
      <alignment horizontal="left"/>
    </xf>
    <xf numFmtId="0" fontId="18" fillId="0" borderId="6" xfId="0" applyFont="1" applyBorder="1"/>
    <xf numFmtId="0" fontId="18" fillId="0" borderId="9" xfId="0" applyFont="1" applyBorder="1"/>
    <xf numFmtId="0" fontId="51" fillId="0" borderId="0" xfId="0" applyFont="1" applyAlignment="1">
      <alignment horizontal="center"/>
    </xf>
    <xf numFmtId="0" fontId="24" fillId="0" borderId="0" xfId="0" applyFont="1" applyAlignment="1">
      <alignment horizontal="center" vertical="center" wrapText="1"/>
    </xf>
    <xf numFmtId="0" fontId="33" fillId="0" borderId="0" xfId="0" applyFont="1" applyAlignment="1">
      <alignment horizontal="center"/>
    </xf>
    <xf numFmtId="0" fontId="26" fillId="0" borderId="0" xfId="0" applyFont="1" applyAlignment="1">
      <alignment horizontal="center"/>
    </xf>
    <xf numFmtId="0" fontId="25" fillId="0" borderId="3" xfId="0" applyFont="1" applyBorder="1"/>
    <xf numFmtId="0" fontId="25" fillId="0" borderId="4" xfId="271" applyFont="1" applyBorder="1"/>
    <xf numFmtId="0" fontId="25" fillId="0" borderId="3" xfId="271" applyFont="1" applyBorder="1"/>
    <xf numFmtId="0" fontId="25" fillId="0" borderId="5" xfId="271" applyFont="1" applyBorder="1"/>
    <xf numFmtId="0" fontId="18" fillId="0" borderId="58" xfId="4495" applyFont="1" applyBorder="1" applyAlignment="1">
      <alignment vertical="center" wrapText="1"/>
    </xf>
    <xf numFmtId="0" fontId="18" fillId="0" borderId="59" xfId="4495" applyFont="1" applyBorder="1" applyAlignment="1">
      <alignment vertical="center" wrapText="1"/>
    </xf>
    <xf numFmtId="0" fontId="18" fillId="0" borderId="0" xfId="4495" applyFont="1" applyAlignment="1">
      <alignment horizontal="left" vertical="center" wrapText="1"/>
    </xf>
    <xf numFmtId="0" fontId="25" fillId="0" borderId="5" xfId="0" applyFont="1" applyBorder="1"/>
    <xf numFmtId="168" fontId="23" fillId="43" borderId="0" xfId="0" applyNumberFormat="1" applyFont="1" applyFill="1"/>
    <xf numFmtId="9" fontId="26" fillId="0" borderId="0" xfId="543" applyNumberFormat="1" applyFont="1" applyAlignment="1">
      <alignment horizontal="center"/>
    </xf>
    <xf numFmtId="171" fontId="18" fillId="0" borderId="0" xfId="543" applyNumberFormat="1"/>
    <xf numFmtId="171" fontId="18" fillId="0" borderId="11" xfId="543" applyNumberFormat="1" applyBorder="1"/>
    <xf numFmtId="1" fontId="18" fillId="0" borderId="11" xfId="543" applyNumberFormat="1" applyBorder="1" applyAlignment="1">
      <alignment horizontal="center"/>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45" fillId="0" borderId="8" xfId="543" applyFont="1" applyBorder="1" applyAlignment="1">
      <alignment vertical="center" wrapText="1"/>
    </xf>
    <xf numFmtId="0" fontId="45" fillId="0" borderId="0" xfId="543" applyFont="1" applyAlignment="1">
      <alignment vertical="center" wrapText="1"/>
    </xf>
    <xf numFmtId="0" fontId="45" fillId="0" borderId="12" xfId="543" applyFont="1" applyBorder="1" applyAlignment="1">
      <alignment vertical="center" wrapText="1"/>
    </xf>
    <xf numFmtId="0" fontId="45" fillId="0" borderId="9" xfId="543" applyFont="1" applyBorder="1" applyAlignment="1">
      <alignment vertical="center" wrapText="1"/>
    </xf>
    <xf numFmtId="0" fontId="45" fillId="0" borderId="6" xfId="543" applyFont="1" applyBorder="1" applyAlignment="1">
      <alignment vertical="center" wrapText="1"/>
    </xf>
    <xf numFmtId="0" fontId="45" fillId="0" borderId="10" xfId="543" applyFont="1" applyBorder="1" applyAlignment="1">
      <alignment vertical="center" wrapText="1"/>
    </xf>
    <xf numFmtId="0" fontId="38" fillId="0" borderId="12" xfId="543" applyFont="1" applyBorder="1" applyAlignment="1">
      <alignment horizontal="center" vertical="top"/>
    </xf>
    <xf numFmtId="0" fontId="39" fillId="0" borderId="7" xfId="543" applyFont="1" applyBorder="1"/>
    <xf numFmtId="0" fontId="18" fillId="0" borderId="12" xfId="543" quotePrefix="1" applyBorder="1"/>
    <xf numFmtId="0" fontId="54" fillId="0" borderId="2" xfId="569" applyFont="1" applyBorder="1" applyAlignment="1">
      <alignment vertical="top"/>
    </xf>
    <xf numFmtId="0" fontId="28" fillId="0" borderId="0" xfId="4495" applyFont="1"/>
    <xf numFmtId="0" fontId="18" fillId="0" borderId="0" xfId="4495" applyFont="1" applyAlignment="1">
      <alignment vertical="top" wrapText="1" shrinkToFit="1"/>
    </xf>
    <xf numFmtId="0" fontId="147" fillId="0" borderId="0" xfId="4495" applyFont="1"/>
    <xf numFmtId="164" fontId="18" fillId="0" borderId="0" xfId="1192" applyNumberFormat="1" applyAlignment="1">
      <alignment horizontal="right"/>
    </xf>
    <xf numFmtId="164" fontId="18" fillId="0" borderId="0" xfId="4495" applyNumberFormat="1" applyFont="1" applyAlignment="1">
      <alignment horizontal="right"/>
    </xf>
    <xf numFmtId="0" fontId="18" fillId="0" borderId="0" xfId="4495" applyFont="1" applyAlignment="1">
      <alignment horizontal="left" vertical="top" wrapText="1" shrinkToFit="1"/>
    </xf>
    <xf numFmtId="0" fontId="18" fillId="0" borderId="6" xfId="4495" applyFont="1" applyBorder="1" applyAlignment="1">
      <alignment vertical="top" wrapText="1"/>
    </xf>
    <xf numFmtId="0" fontId="147" fillId="0" borderId="4" xfId="4495" applyFont="1" applyBorder="1"/>
    <xf numFmtId="0" fontId="18" fillId="0" borderId="4" xfId="4495" applyFont="1" applyBorder="1" applyAlignment="1">
      <alignment horizontal="left" vertical="top" wrapText="1" shrinkToFit="1"/>
    </xf>
    <xf numFmtId="0" fontId="28" fillId="0" borderId="0" xfId="4495" applyFont="1" applyAlignment="1">
      <alignment horizontal="left" vertical="top"/>
    </xf>
    <xf numFmtId="0" fontId="18" fillId="0" borderId="0" xfId="4495" applyFont="1" applyAlignment="1">
      <alignment vertical="center" wrapText="1" shrinkToFit="1"/>
    </xf>
    <xf numFmtId="0" fontId="18" fillId="0" borderId="0" xfId="4495" applyFont="1" applyAlignment="1">
      <alignment horizontal="left" vertical="top" shrinkToFit="1"/>
    </xf>
    <xf numFmtId="0" fontId="18" fillId="0" borderId="0" xfId="4495" applyFont="1" applyAlignment="1">
      <alignment horizontal="left" vertical="center" shrinkToFit="1"/>
    </xf>
    <xf numFmtId="0" fontId="28" fillId="0" borderId="4" xfId="4495" applyFont="1" applyBorder="1"/>
    <xf numFmtId="0" fontId="18" fillId="0" borderId="4" xfId="4495" applyFont="1" applyBorder="1" applyAlignment="1">
      <alignment horizontal="left" vertical="top" shrinkToFit="1"/>
    </xf>
    <xf numFmtId="0" fontId="18" fillId="0" borderId="0" xfId="4495" applyFont="1" applyAlignment="1">
      <alignment vertical="center"/>
    </xf>
    <xf numFmtId="0" fontId="24" fillId="0" borderId="0" xfId="4495" applyFont="1"/>
    <xf numFmtId="0" fontId="28" fillId="0" borderId="0" xfId="4495" applyFont="1" applyAlignment="1">
      <alignment horizontal="center"/>
    </xf>
    <xf numFmtId="0" fontId="18" fillId="0" borderId="4" xfId="4495" applyFont="1" applyBorder="1" applyAlignment="1">
      <alignment horizontal="left" vertical="top" wrapText="1"/>
    </xf>
    <xf numFmtId="44" fontId="18" fillId="0" borderId="0" xfId="707" applyFont="1" applyFill="1" applyBorder="1" applyAlignment="1" applyProtection="1">
      <alignment horizontal="left" vertical="top" wrapText="1"/>
    </xf>
    <xf numFmtId="44" fontId="18" fillId="0" borderId="4" xfId="707" applyFont="1" applyFill="1" applyBorder="1" applyAlignment="1" applyProtection="1">
      <alignment horizontal="left" vertical="top" wrapText="1"/>
    </xf>
    <xf numFmtId="164" fontId="36" fillId="0" borderId="0" xfId="4495" applyNumberFormat="1" applyFont="1" applyAlignment="1">
      <alignment horizontal="left"/>
    </xf>
    <xf numFmtId="0" fontId="28" fillId="0" borderId="0" xfId="4495" applyFont="1" applyAlignment="1">
      <alignment horizontal="left"/>
    </xf>
    <xf numFmtId="0" fontId="18" fillId="0" borderId="4" xfId="4495" applyFont="1" applyBorder="1" applyAlignment="1">
      <alignment vertical="top" wrapText="1"/>
    </xf>
    <xf numFmtId="0" fontId="28" fillId="0" borderId="4" xfId="4495" applyFont="1" applyBorder="1" applyAlignment="1">
      <alignment horizontal="left" vertical="top"/>
    </xf>
    <xf numFmtId="0" fontId="18" fillId="0" borderId="0" xfId="4495" applyFont="1" applyAlignment="1">
      <alignment horizontal="left" vertical="center" wrapText="1" shrinkToFit="1"/>
    </xf>
    <xf numFmtId="0" fontId="18" fillId="0" borderId="6" xfId="4495" applyFont="1" applyBorder="1" applyAlignment="1">
      <alignment horizontal="left" vertical="top" wrapText="1"/>
    </xf>
    <xf numFmtId="2" fontId="119" fillId="0" borderId="0" xfId="0" applyNumberFormat="1" applyFont="1" applyAlignment="1">
      <alignment horizontal="center"/>
    </xf>
    <xf numFmtId="9" fontId="18" fillId="0" borderId="0" xfId="4494" applyFont="1" applyAlignment="1">
      <alignment horizontal="center"/>
    </xf>
    <xf numFmtId="3" fontId="18" fillId="0" borderId="0" xfId="0" applyNumberFormat="1" applyFont="1"/>
    <xf numFmtId="10" fontId="18" fillId="0" borderId="0" xfId="0" applyNumberFormat="1" applyFont="1" applyAlignment="1">
      <alignment horizontal="center"/>
    </xf>
    <xf numFmtId="168" fontId="18" fillId="0" borderId="0" xfId="0" applyNumberFormat="1" applyFont="1"/>
    <xf numFmtId="172" fontId="18" fillId="0" borderId="11" xfId="0" applyNumberFormat="1" applyFont="1" applyBorder="1" applyAlignment="1">
      <alignment horizontal="center"/>
    </xf>
    <xf numFmtId="168" fontId="18" fillId="5" borderId="0" xfId="0" applyNumberFormat="1" applyFont="1" applyFill="1"/>
    <xf numFmtId="3" fontId="18" fillId="5" borderId="0" xfId="0" applyNumberFormat="1" applyFont="1" applyFill="1"/>
    <xf numFmtId="0" fontId="18" fillId="5" borderId="0" xfId="0" applyFont="1" applyFill="1"/>
    <xf numFmtId="3" fontId="18" fillId="5" borderId="6" xfId="0" applyNumberFormat="1" applyFont="1" applyFill="1" applyBorder="1"/>
    <xf numFmtId="3" fontId="18" fillId="0" borderId="6" xfId="0" applyNumberFormat="1" applyFont="1" applyBorder="1"/>
    <xf numFmtId="168" fontId="18" fillId="0" borderId="0" xfId="0" applyNumberFormat="1" applyFont="1" applyAlignment="1">
      <alignment horizontal="center"/>
    </xf>
    <xf numFmtId="3" fontId="18" fillId="0" borderId="0" xfId="0" applyNumberFormat="1" applyFont="1" applyAlignment="1">
      <alignment horizontal="center"/>
    </xf>
    <xf numFmtId="0" fontId="18" fillId="0" borderId="50" xfId="4495" applyFont="1" applyBorder="1" applyAlignment="1">
      <alignment vertical="center"/>
    </xf>
    <xf numFmtId="0" fontId="18" fillId="0" borderId="51" xfId="4495" applyFont="1" applyBorder="1" applyAlignment="1">
      <alignment vertical="center"/>
    </xf>
    <xf numFmtId="0" fontId="18" fillId="0" borderId="52" xfId="4495" applyFont="1" applyBorder="1" applyAlignment="1">
      <alignment vertical="center"/>
    </xf>
    <xf numFmtId="0" fontId="18" fillId="0" borderId="54" xfId="4495" applyFont="1" applyBorder="1" applyAlignment="1">
      <alignment vertical="center" wrapText="1"/>
    </xf>
    <xf numFmtId="0" fontId="18" fillId="0" borderId="53" xfId="4495" applyFont="1" applyBorder="1" applyAlignment="1">
      <alignment vertical="top" wrapText="1"/>
    </xf>
    <xf numFmtId="0" fontId="18" fillId="0" borderId="58" xfId="0" applyFont="1" applyBorder="1" applyAlignment="1">
      <alignment horizontal="left"/>
    </xf>
    <xf numFmtId="9" fontId="18" fillId="0" borderId="0" xfId="543" applyNumberFormat="1" applyAlignment="1">
      <alignment horizontal="center"/>
    </xf>
    <xf numFmtId="0" fontId="50" fillId="0" borderId="0" xfId="4496" applyFont="1"/>
    <xf numFmtId="168" fontId="54" fillId="5" borderId="11" xfId="0" applyNumberFormat="1" applyFont="1" applyFill="1" applyBorder="1" applyAlignment="1" applyProtection="1">
      <alignment vertical="top" wrapText="1"/>
      <protection locked="0"/>
    </xf>
    <xf numFmtId="0" fontId="18" fillId="0" borderId="0" xfId="0" applyFont="1" applyAlignment="1">
      <alignment horizontal="left" wrapText="1"/>
    </xf>
    <xf numFmtId="4" fontId="36" fillId="0" borderId="0" xfId="0" applyNumberFormat="1" applyFont="1" applyAlignment="1">
      <alignment horizontal="left"/>
    </xf>
    <xf numFmtId="4" fontId="18" fillId="0" borderId="0" xfId="0" applyNumberFormat="1" applyFont="1" applyAlignment="1">
      <alignment horizontal="left" vertical="top" wrapText="1"/>
    </xf>
    <xf numFmtId="0" fontId="25" fillId="0" borderId="4" xfId="0" applyFont="1" applyBorder="1" applyAlignment="1">
      <alignment horizontal="left"/>
    </xf>
    <xf numFmtId="4" fontId="18" fillId="0" borderId="0" xfId="0" applyNumberFormat="1" applyFont="1" applyAlignment="1">
      <alignment horizontal="left"/>
    </xf>
    <xf numFmtId="43" fontId="52" fillId="0" borderId="0" xfId="4503" applyFont="1" applyAlignment="1" applyProtection="1">
      <alignment horizontal="center"/>
    </xf>
    <xf numFmtId="43" fontId="18" fillId="0" borderId="0" xfId="4503" applyFont="1" applyAlignment="1" applyProtection="1">
      <alignment horizontal="center"/>
    </xf>
    <xf numFmtId="43" fontId="18" fillId="0" borderId="0" xfId="4503" applyFont="1" applyProtection="1"/>
    <xf numFmtId="49" fontId="18" fillId="0" borderId="0" xfId="0" applyNumberFormat="1" applyFont="1"/>
    <xf numFmtId="49" fontId="18" fillId="0" borderId="0" xfId="0" applyNumberFormat="1" applyFont="1" applyAlignment="1">
      <alignment horizontal="center"/>
    </xf>
    <xf numFmtId="4" fontId="18" fillId="0" borderId="0" xfId="0" applyNumberFormat="1" applyFont="1" applyAlignment="1">
      <alignment vertical="top" wrapText="1"/>
    </xf>
    <xf numFmtId="0" fontId="18" fillId="0" borderId="0" xfId="0" quotePrefix="1" applyFont="1"/>
    <xf numFmtId="0" fontId="48" fillId="0" borderId="0" xfId="0" applyFont="1" applyAlignment="1">
      <alignment horizontal="left"/>
    </xf>
    <xf numFmtId="0" fontId="18" fillId="0" borderId="4" xfId="0" applyFont="1" applyBorder="1" applyAlignment="1">
      <alignment horizontal="left"/>
    </xf>
    <xf numFmtId="0" fontId="18" fillId="0" borderId="0" xfId="0" quotePrefix="1" applyFont="1" applyAlignment="1">
      <alignment horizontal="left"/>
    </xf>
    <xf numFmtId="0" fontId="18" fillId="0" borderId="0" xfId="0" quotePrefix="1" applyFont="1" applyAlignment="1">
      <alignment horizontal="left" vertical="top"/>
    </xf>
    <xf numFmtId="0" fontId="48" fillId="0" borderId="0" xfId="1192" applyFont="1" applyAlignment="1">
      <alignment horizontal="left"/>
    </xf>
    <xf numFmtId="0" fontId="52" fillId="0" borderId="0" xfId="0" applyFont="1" applyAlignment="1">
      <alignment horizontal="center" vertical="center"/>
    </xf>
    <xf numFmtId="49" fontId="25" fillId="0" borderId="0" xfId="0" applyNumberFormat="1" applyFont="1" applyAlignment="1">
      <alignment horizontal="center" vertical="center"/>
    </xf>
    <xf numFmtId="49" fontId="18" fillId="0" borderId="0" xfId="0" applyNumberFormat="1" applyFont="1" applyAlignment="1">
      <alignment vertical="center"/>
    </xf>
    <xf numFmtId="4" fontId="18" fillId="0" borderId="0" xfId="0" applyNumberFormat="1" applyFont="1" applyAlignment="1">
      <alignment horizontal="center"/>
    </xf>
    <xf numFmtId="4" fontId="18" fillId="0" borderId="0" xfId="0" applyNumberFormat="1" applyFont="1"/>
    <xf numFmtId="10" fontId="18" fillId="0" borderId="0" xfId="4495" applyNumberFormat="1" applyFont="1"/>
    <xf numFmtId="10" fontId="123" fillId="0" borderId="0" xfId="4496" applyNumberFormat="1" applyFont="1" applyAlignment="1">
      <alignment horizontal="center" vertical="top" wrapText="1"/>
    </xf>
    <xf numFmtId="10" fontId="123" fillId="0" borderId="64" xfId="4496" applyNumberFormat="1" applyFont="1" applyBorder="1" applyAlignment="1">
      <alignment horizontal="center" vertical="top" wrapText="1"/>
    </xf>
    <xf numFmtId="10" fontId="123"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8" fillId="0" borderId="0" xfId="1192" quotePrefix="1" applyNumberFormat="1" applyAlignment="1">
      <alignment horizontal="center"/>
    </xf>
    <xf numFmtId="0" fontId="123" fillId="0" borderId="0" xfId="4495" applyFont="1"/>
    <xf numFmtId="10" fontId="123" fillId="0" borderId="0" xfId="4495" applyNumberFormat="1" applyFont="1"/>
    <xf numFmtId="172" fontId="18" fillId="0" borderId="0" xfId="4495" applyNumberFormat="1" applyFont="1"/>
    <xf numFmtId="0" fontId="41" fillId="0" borderId="0" xfId="0" applyFont="1" applyAlignment="1">
      <alignment horizontal="center"/>
    </xf>
    <xf numFmtId="0" fontId="37" fillId="0" borderId="0" xfId="0" applyFont="1" applyAlignment="1">
      <alignment horizontal="left"/>
    </xf>
    <xf numFmtId="0" fontId="0" fillId="0" borderId="10" xfId="0" applyBorder="1" applyAlignment="1">
      <alignment horizontal="left"/>
    </xf>
    <xf numFmtId="1" fontId="18" fillId="0" borderId="0" xfId="1192" applyNumberFormat="1" applyAlignment="1">
      <alignment horizontal="center"/>
    </xf>
    <xf numFmtId="0" fontId="121" fillId="0" borderId="63" xfId="4495" applyBorder="1"/>
    <xf numFmtId="0" fontId="54" fillId="0" borderId="0" xfId="271" applyFont="1" applyAlignment="1">
      <alignment vertical="top"/>
    </xf>
    <xf numFmtId="0" fontId="25" fillId="0" borderId="11" xfId="0" applyFont="1" applyBorder="1" applyAlignment="1">
      <alignment horizontal="right" vertical="top" wrapText="1"/>
    </xf>
    <xf numFmtId="0" fontId="27" fillId="0" borderId="11" xfId="271" applyBorder="1" applyAlignment="1" applyProtection="1">
      <alignment horizontal="right" vertical="top" wrapText="1"/>
      <protection locked="0"/>
    </xf>
    <xf numFmtId="0" fontId="18" fillId="0" borderId="54" xfId="4495" applyFont="1" applyBorder="1" applyAlignment="1">
      <alignment vertical="top"/>
    </xf>
    <xf numFmtId="9" fontId="27" fillId="0" borderId="0" xfId="0" applyNumberFormat="1" applyFont="1"/>
    <xf numFmtId="0" fontId="18" fillId="0" borderId="16" xfId="569" applyBorder="1" applyAlignment="1">
      <alignment horizontal="center"/>
    </xf>
    <xf numFmtId="164" fontId="18" fillId="0" borderId="57" xfId="4495" applyNumberFormat="1" applyFont="1" applyBorder="1" applyAlignment="1">
      <alignment vertical="top" wrapText="1"/>
    </xf>
    <xf numFmtId="164" fontId="18" fillId="0" borderId="58" xfId="4495" applyNumberFormat="1" applyFont="1" applyBorder="1" applyAlignment="1">
      <alignment vertical="top" wrapText="1"/>
    </xf>
    <xf numFmtId="164" fontId="18" fillId="0" borderId="59" xfId="4495" applyNumberFormat="1" applyFont="1" applyBorder="1" applyAlignment="1">
      <alignment vertical="top" wrapText="1"/>
    </xf>
    <xf numFmtId="0" fontId="25" fillId="0" borderId="0" xfId="1192" applyFont="1" applyAlignment="1">
      <alignment horizontal="left" vertical="top" wrapText="1"/>
    </xf>
    <xf numFmtId="0" fontId="18" fillId="0" borderId="16" xfId="569" applyBorder="1"/>
    <xf numFmtId="0" fontId="18" fillId="0" borderId="4" xfId="569" applyBorder="1"/>
    <xf numFmtId="0" fontId="25" fillId="0" borderId="4" xfId="569" applyFont="1" applyBorder="1"/>
    <xf numFmtId="49" fontId="18" fillId="0" borderId="4" xfId="569" applyNumberFormat="1" applyBorder="1"/>
    <xf numFmtId="0" fontId="150" fillId="0" borderId="0" xfId="0" applyFont="1"/>
    <xf numFmtId="0" fontId="18" fillId="0" borderId="0" xfId="0" applyFont="1" applyAlignment="1">
      <alignment horizontal="right"/>
    </xf>
    <xf numFmtId="1" fontId="18" fillId="0" borderId="0" xfId="0" applyNumberFormat="1" applyFont="1" applyAlignment="1">
      <alignment horizontal="center"/>
    </xf>
    <xf numFmtId="0" fontId="25" fillId="0" borderId="0" xfId="0" applyFont="1" applyAlignment="1">
      <alignment horizontal="left" vertical="center"/>
    </xf>
    <xf numFmtId="0" fontId="18" fillId="0" borderId="0" xfId="0" applyFont="1" applyAlignment="1">
      <alignment horizontal="left" vertical="center"/>
    </xf>
    <xf numFmtId="0" fontId="25" fillId="0" borderId="0" xfId="569" applyFont="1" applyAlignment="1">
      <alignment vertical="top"/>
    </xf>
    <xf numFmtId="0" fontId="19" fillId="0" borderId="0" xfId="244" applyAlignment="1"/>
    <xf numFmtId="0" fontId="25" fillId="0" borderId="0" xfId="0" applyFont="1" applyAlignment="1">
      <alignment vertical="top" wrapText="1"/>
    </xf>
    <xf numFmtId="49" fontId="25" fillId="0" borderId="0" xfId="0" applyNumberFormat="1" applyFont="1"/>
    <xf numFmtId="49" fontId="25" fillId="0" borderId="0" xfId="0" applyNumberFormat="1" applyFont="1" applyAlignment="1">
      <alignment vertical="top"/>
    </xf>
    <xf numFmtId="0" fontId="41" fillId="0" borderId="11" xfId="0" applyFont="1" applyBorder="1"/>
    <xf numFmtId="175" fontId="18" fillId="0" borderId="0" xfId="543" applyNumberFormat="1" applyAlignment="1">
      <alignment vertical="center"/>
    </xf>
    <xf numFmtId="0" fontId="99" fillId="43" borderId="6" xfId="4496" applyFont="1" applyFill="1" applyBorder="1" applyAlignment="1" applyProtection="1">
      <alignment horizontal="center"/>
      <protection locked="0"/>
    </xf>
    <xf numFmtId="0" fontId="99" fillId="0" borderId="0" xfId="4496" applyFont="1"/>
    <xf numFmtId="0" fontId="99" fillId="0" borderId="0" xfId="4496" applyFont="1" applyAlignment="1">
      <alignment wrapText="1"/>
    </xf>
    <xf numFmtId="0" fontId="138" fillId="0" borderId="0" xfId="4496" applyFont="1"/>
    <xf numFmtId="181" fontId="139" fillId="0" borderId="0" xfId="4498" applyNumberFormat="1" applyFont="1" applyBorder="1" applyProtection="1"/>
    <xf numFmtId="0" fontId="140" fillId="0" borderId="0" xfId="4496" applyFont="1" applyAlignment="1">
      <alignment vertical="center" wrapText="1"/>
    </xf>
    <xf numFmtId="49" fontId="99" fillId="0" borderId="0" xfId="4496" applyNumberFormat="1" applyFont="1" applyAlignment="1">
      <alignment horizontal="center"/>
    </xf>
    <xf numFmtId="182" fontId="99" fillId="0" borderId="6" xfId="4496" applyNumberFormat="1" applyFont="1" applyBorder="1"/>
    <xf numFmtId="0" fontId="99" fillId="0" borderId="0" xfId="4496" applyFont="1" applyAlignment="1">
      <alignment vertical="center"/>
    </xf>
    <xf numFmtId="182" fontId="99" fillId="0" borderId="0" xfId="4496" applyNumberFormat="1" applyFont="1" applyAlignment="1">
      <alignment vertical="center"/>
    </xf>
    <xf numFmtId="175" fontId="99" fillId="0" borderId="0" xfId="4499" applyNumberFormat="1" applyFont="1" applyFill="1" applyBorder="1" applyAlignment="1" applyProtection="1">
      <alignment horizontal="left" vertical="center"/>
    </xf>
    <xf numFmtId="9" fontId="99" fillId="0" borderId="0" xfId="4499" applyFont="1" applyFill="1" applyBorder="1" applyAlignment="1" applyProtection="1">
      <alignment vertical="center"/>
    </xf>
    <xf numFmtId="183" fontId="99" fillId="0" borderId="0" xfId="4496" applyNumberFormat="1" applyFont="1" applyAlignment="1">
      <alignment vertical="center" wrapText="1"/>
    </xf>
    <xf numFmtId="9" fontId="99" fillId="0" borderId="0" xfId="4499" applyFont="1" applyBorder="1" applyAlignment="1" applyProtection="1">
      <alignment vertical="center"/>
    </xf>
    <xf numFmtId="164" fontId="99" fillId="0" borderId="0" xfId="4496" applyNumberFormat="1" applyFont="1" applyAlignment="1">
      <alignment vertical="center" wrapText="1"/>
    </xf>
    <xf numFmtId="0" fontId="99" fillId="0" borderId="0" xfId="4496" applyFont="1" applyAlignment="1">
      <alignment horizontal="center" vertical="center"/>
    </xf>
    <xf numFmtId="182" fontId="99" fillId="0" borderId="11" xfId="8721" applyNumberFormat="1" applyFont="1" applyBorder="1" applyProtection="1"/>
    <xf numFmtId="182" fontId="99" fillId="0" borderId="11" xfId="4496" applyNumberFormat="1" applyFont="1" applyBorder="1"/>
    <xf numFmtId="164" fontId="99" fillId="0" borderId="0" xfId="4496" applyNumberFormat="1" applyFont="1" applyAlignment="1">
      <alignment wrapText="1"/>
    </xf>
    <xf numFmtId="49" fontId="99" fillId="0" borderId="0" xfId="4496" applyNumberFormat="1" applyFont="1" applyAlignment="1">
      <alignment horizontal="left"/>
    </xf>
    <xf numFmtId="0" fontId="141" fillId="0" borderId="0" xfId="4496" applyFont="1"/>
    <xf numFmtId="9" fontId="99" fillId="0" borderId="11" xfId="4494" applyFont="1" applyFill="1" applyBorder="1" applyAlignment="1" applyProtection="1">
      <alignment horizontal="right"/>
    </xf>
    <xf numFmtId="1" fontId="99" fillId="0" borderId="0" xfId="4496" applyNumberFormat="1" applyFont="1"/>
    <xf numFmtId="0" fontId="138" fillId="45" borderId="3" xfId="4496" applyFont="1" applyFill="1" applyBorder="1" applyAlignment="1">
      <alignment horizontal="left" indent="1"/>
    </xf>
    <xf numFmtId="0" fontId="99" fillId="45" borderId="4" xfId="4496" applyFont="1" applyFill="1" applyBorder="1"/>
    <xf numFmtId="2" fontId="99" fillId="45" borderId="5" xfId="4496" applyNumberFormat="1" applyFont="1" applyFill="1" applyBorder="1"/>
    <xf numFmtId="181" fontId="99" fillId="0" borderId="0" xfId="4496" applyNumberFormat="1" applyFont="1"/>
    <xf numFmtId="165" fontId="139" fillId="0" borderId="0" xfId="4499" applyNumberFormat="1" applyFont="1" applyFill="1" applyBorder="1" applyProtection="1"/>
    <xf numFmtId="9" fontId="99" fillId="0" borderId="0" xfId="4494" applyFont="1" applyFill="1" applyProtection="1"/>
    <xf numFmtId="0" fontId="99" fillId="0" borderId="11" xfId="4496" applyFont="1" applyBorder="1" applyAlignment="1">
      <alignment horizontal="center"/>
    </xf>
    <xf numFmtId="2" fontId="99" fillId="0" borderId="11" xfId="4496" applyNumberFormat="1" applyFont="1" applyBorder="1" applyAlignment="1">
      <alignment horizontal="center"/>
    </xf>
    <xf numFmtId="0" fontId="99" fillId="0" borderId="0" xfId="4496" applyFont="1" applyAlignment="1">
      <alignment vertical="top" wrapText="1"/>
    </xf>
    <xf numFmtId="0" fontId="99" fillId="0" borderId="11" xfId="4496" applyFont="1" applyBorder="1" applyAlignment="1">
      <alignment horizontal="center" vertical="top" wrapText="1"/>
    </xf>
    <xf numFmtId="182" fontId="99" fillId="0" borderId="0" xfId="8721" applyNumberFormat="1" applyFont="1" applyBorder="1" applyProtection="1"/>
    <xf numFmtId="0" fontId="99" fillId="0" borderId="0" xfId="4496" applyFont="1" applyAlignment="1">
      <alignment horizontal="left" indent="1"/>
    </xf>
    <xf numFmtId="182" fontId="99" fillId="0" borderId="0" xfId="4496" applyNumberFormat="1" applyFont="1"/>
    <xf numFmtId="184" fontId="99" fillId="0" borderId="0" xfId="4496" applyNumberFormat="1" applyFont="1"/>
    <xf numFmtId="0" fontId="99" fillId="0" borderId="0" xfId="4496" applyFont="1" applyAlignment="1">
      <alignment horizontal="left"/>
    </xf>
    <xf numFmtId="0" fontId="99" fillId="0" borderId="0" xfId="4496" applyFont="1" applyAlignment="1">
      <alignment horizontal="center"/>
    </xf>
    <xf numFmtId="3" fontId="23" fillId="0" borderId="11" xfId="271" applyNumberFormat="1" applyFont="1" applyBorder="1" applyAlignment="1">
      <alignment horizontal="center"/>
    </xf>
    <xf numFmtId="3" fontId="23" fillId="43" borderId="11" xfId="271" applyNumberFormat="1" applyFont="1" applyFill="1" applyBorder="1" applyProtection="1">
      <protection locked="0"/>
    </xf>
    <xf numFmtId="0" fontId="99" fillId="0" borderId="0" xfId="4496" applyFont="1" applyAlignment="1">
      <alignment horizontal="right"/>
    </xf>
    <xf numFmtId="168" fontId="27" fillId="0" borderId="0" xfId="0" applyNumberFormat="1" applyFont="1"/>
    <xf numFmtId="0" fontId="99" fillId="0" borderId="15" xfId="4496" applyFont="1" applyBorder="1" applyAlignment="1">
      <alignment horizontal="center" vertical="top" wrapText="1"/>
    </xf>
    <xf numFmtId="2" fontId="99" fillId="0" borderId="15" xfId="4496" applyNumberFormat="1" applyFont="1" applyBorder="1" applyAlignment="1">
      <alignment horizontal="center"/>
    </xf>
    <xf numFmtId="0" fontId="99" fillId="0" borderId="15" xfId="4496" applyFont="1" applyBorder="1" applyAlignment="1">
      <alignment horizontal="center"/>
    </xf>
    <xf numFmtId="0" fontId="138" fillId="0" borderId="68" xfId="4496" applyFont="1" applyBorder="1" applyAlignment="1">
      <alignment horizontal="center" vertical="top" wrapText="1"/>
    </xf>
    <xf numFmtId="0" fontId="138" fillId="0" borderId="68" xfId="4496" applyFont="1" applyBorder="1" applyAlignment="1">
      <alignment horizontal="center"/>
    </xf>
    <xf numFmtId="0" fontId="152" fillId="0" borderId="0" xfId="4496" applyFont="1" applyAlignment="1">
      <alignment horizontal="right" vertical="center"/>
    </xf>
    <xf numFmtId="175" fontId="99" fillId="0" borderId="0" xfId="4499" applyNumberFormat="1" applyFont="1" applyFill="1" applyBorder="1" applyAlignment="1" applyProtection="1">
      <alignment horizontal="right" vertical="center"/>
    </xf>
    <xf numFmtId="5" fontId="99" fillId="0" borderId="6" xfId="4496" applyNumberFormat="1" applyFont="1" applyBorder="1" applyAlignment="1">
      <alignment vertical="center"/>
    </xf>
    <xf numFmtId="0" fontId="99" fillId="0" borderId="66" xfId="4496" applyFont="1" applyBorder="1" applyAlignment="1">
      <alignment vertical="center"/>
    </xf>
    <xf numFmtId="0" fontId="99" fillId="0" borderId="41" xfId="4496" applyFont="1" applyBorder="1" applyAlignment="1">
      <alignment vertical="center"/>
    </xf>
    <xf numFmtId="182" fontId="99" fillId="0" borderId="73" xfId="4496" applyNumberFormat="1" applyFont="1" applyBorder="1" applyAlignment="1">
      <alignment vertical="center"/>
    </xf>
    <xf numFmtId="175" fontId="99" fillId="0" borderId="42" xfId="4499" applyNumberFormat="1" applyFont="1" applyFill="1" applyBorder="1" applyAlignment="1" applyProtection="1">
      <alignment horizontal="left" vertical="center"/>
    </xf>
    <xf numFmtId="0" fontId="99" fillId="0" borderId="42" xfId="4496" applyFont="1" applyBorder="1" applyAlignment="1">
      <alignment vertical="center"/>
    </xf>
    <xf numFmtId="0" fontId="99" fillId="0" borderId="44" xfId="4496" applyFont="1" applyBorder="1" applyAlignment="1">
      <alignment vertical="center"/>
    </xf>
    <xf numFmtId="49" fontId="99" fillId="0" borderId="0" xfId="4496" applyNumberFormat="1" applyFont="1" applyAlignment="1">
      <alignment horizontal="center" vertical="center"/>
    </xf>
    <xf numFmtId="0" fontId="99" fillId="0" borderId="65" xfId="4496" applyFont="1" applyBorder="1" applyAlignment="1">
      <alignment vertical="center"/>
    </xf>
    <xf numFmtId="0" fontId="99" fillId="0" borderId="29" xfId="4496" applyFont="1" applyBorder="1" applyAlignment="1">
      <alignment vertical="center"/>
    </xf>
    <xf numFmtId="0" fontId="99" fillId="0" borderId="29" xfId="4496" applyFont="1" applyBorder="1" applyAlignment="1">
      <alignment horizontal="right" vertical="center"/>
    </xf>
    <xf numFmtId="5" fontId="99" fillId="0" borderId="29" xfId="4496" applyNumberFormat="1" applyFont="1" applyBorder="1" applyAlignment="1">
      <alignment vertical="center"/>
    </xf>
    <xf numFmtId="0" fontId="99" fillId="0" borderId="31" xfId="4496" applyFont="1" applyBorder="1" applyAlignment="1">
      <alignment vertical="center"/>
    </xf>
    <xf numFmtId="175" fontId="138" fillId="0" borderId="42" xfId="4494" applyNumberFormat="1" applyFont="1" applyFill="1" applyBorder="1" applyAlignment="1" applyProtection="1">
      <alignment horizontal="center" vertical="center"/>
    </xf>
    <xf numFmtId="0" fontId="138" fillId="0" borderId="29" xfId="4496" applyFont="1" applyBorder="1" applyAlignment="1">
      <alignment vertical="center"/>
    </xf>
    <xf numFmtId="0" fontId="138" fillId="0" borderId="0" xfId="4496" applyFont="1" applyAlignment="1">
      <alignment vertical="center"/>
    </xf>
    <xf numFmtId="0" fontId="138" fillId="0" borderId="42" xfId="4496" applyFont="1" applyBorder="1" applyAlignment="1">
      <alignment vertical="center"/>
    </xf>
    <xf numFmtId="9" fontId="138" fillId="0" borderId="42" xfId="4499" applyFont="1" applyFill="1" applyBorder="1" applyAlignment="1" applyProtection="1">
      <alignment vertical="center"/>
    </xf>
    <xf numFmtId="182" fontId="138" fillId="0" borderId="68" xfId="8721" applyNumberFormat="1" applyFont="1" applyBorder="1" applyProtection="1"/>
    <xf numFmtId="182" fontId="138" fillId="0" borderId="68" xfId="4496" applyNumberFormat="1" applyFont="1" applyBorder="1"/>
    <xf numFmtId="0" fontId="152" fillId="0" borderId="0" xfId="4496" applyFont="1" applyAlignment="1">
      <alignment horizontal="right"/>
    </xf>
    <xf numFmtId="0" fontId="99" fillId="0" borderId="0" xfId="4496" applyFont="1" applyAlignment="1">
      <alignment horizontal="right" vertical="top" wrapText="1" indent="1"/>
    </xf>
    <xf numFmtId="182" fontId="99" fillId="0" borderId="6" xfId="8721" applyNumberFormat="1" applyFont="1" applyBorder="1" applyAlignment="1" applyProtection="1">
      <alignment horizontal="center"/>
    </xf>
    <xf numFmtId="0" fontId="99" fillId="0" borderId="0" xfId="4496" applyFont="1" applyAlignment="1">
      <alignment horizontal="right" indent="1"/>
    </xf>
    <xf numFmtId="0" fontId="99" fillId="0" borderId="0" xfId="4496" applyFont="1" applyAlignment="1">
      <alignment horizontal="right" vertical="top"/>
    </xf>
    <xf numFmtId="0" fontId="138" fillId="0" borderId="0" xfId="4496" applyFont="1" applyAlignment="1">
      <alignment horizontal="right"/>
    </xf>
    <xf numFmtId="182" fontId="138" fillId="0" borderId="0" xfId="8721" applyNumberFormat="1" applyFont="1" applyBorder="1" applyAlignment="1" applyProtection="1">
      <alignment horizontal="center"/>
    </xf>
    <xf numFmtId="10" fontId="99" fillId="0" borderId="0" xfId="4494" applyNumberFormat="1" applyFont="1" applyBorder="1" applyAlignment="1" applyProtection="1">
      <alignment horizontal="center"/>
    </xf>
    <xf numFmtId="184" fontId="99" fillId="0" borderId="6" xfId="4496" applyNumberFormat="1" applyFont="1" applyBorder="1"/>
    <xf numFmtId="0" fontId="138" fillId="0" borderId="0" xfId="4496" applyFont="1" applyAlignment="1">
      <alignment horizontal="right" vertical="top"/>
    </xf>
    <xf numFmtId="182" fontId="138" fillId="0" borderId="0" xfId="4496" applyNumberFormat="1" applyFont="1"/>
    <xf numFmtId="182" fontId="99" fillId="0" borderId="6" xfId="8721" applyNumberFormat="1" applyFont="1" applyBorder="1" applyProtection="1"/>
    <xf numFmtId="184" fontId="99" fillId="0" borderId="0" xfId="4496" applyNumberFormat="1" applyFont="1" applyAlignment="1">
      <alignment horizontal="center"/>
    </xf>
    <xf numFmtId="0" fontId="99" fillId="0" borderId="6" xfId="4496" applyFont="1" applyBorder="1" applyAlignment="1">
      <alignment horizontal="right" vertical="top" wrapText="1" indent="1"/>
    </xf>
    <xf numFmtId="0" fontId="99" fillId="0" borderId="67" xfId="4496" applyFont="1" applyBorder="1" applyAlignment="1">
      <alignment horizontal="right" indent="1"/>
    </xf>
    <xf numFmtId="0" fontId="99" fillId="0" borderId="72" xfId="4496" applyFont="1" applyBorder="1" applyAlignment="1">
      <alignment horizontal="right" indent="1"/>
    </xf>
    <xf numFmtId="0" fontId="99" fillId="0" borderId="72" xfId="4496" quotePrefix="1" applyFont="1" applyBorder="1" applyAlignment="1">
      <alignment horizontal="right" indent="1"/>
    </xf>
    <xf numFmtId="0" fontId="99" fillId="0" borderId="69" xfId="4496" applyFont="1" applyBorder="1" applyAlignment="1">
      <alignment horizontal="right" indent="1"/>
    </xf>
    <xf numFmtId="182" fontId="99" fillId="0" borderId="71" xfId="4496" applyNumberFormat="1" applyFont="1" applyBorder="1"/>
    <xf numFmtId="182" fontId="99" fillId="0" borderId="76" xfId="4496" applyNumberFormat="1" applyFont="1" applyBorder="1"/>
    <xf numFmtId="182" fontId="99" fillId="0" borderId="77" xfId="4496" applyNumberFormat="1" applyFont="1" applyBorder="1"/>
    <xf numFmtId="175" fontId="25" fillId="0" borderId="0" xfId="543" applyNumberFormat="1" applyFont="1" applyAlignment="1">
      <alignment vertical="center"/>
    </xf>
    <xf numFmtId="10" fontId="138" fillId="0" borderId="0" xfId="4494" applyNumberFormat="1" applyFont="1" applyProtection="1"/>
    <xf numFmtId="0" fontId="25" fillId="0" borderId="0" xfId="1192" applyFont="1" applyAlignment="1">
      <alignment horizontal="left" indent="1"/>
    </xf>
    <xf numFmtId="168" fontId="99" fillId="0" borderId="11" xfId="4499" applyNumberFormat="1" applyFont="1" applyFill="1" applyBorder="1" applyAlignment="1" applyProtection="1">
      <alignment horizontal="left" vertical="center" indent="1"/>
    </xf>
    <xf numFmtId="168" fontId="138" fillId="0" borderId="68" xfId="4499" applyNumberFormat="1" applyFont="1" applyFill="1" applyBorder="1" applyAlignment="1" applyProtection="1">
      <alignment horizontal="left" vertical="center" indent="1"/>
    </xf>
    <xf numFmtId="182" fontId="99" fillId="0" borderId="13" xfId="4496" applyNumberFormat="1" applyFont="1" applyBorder="1"/>
    <xf numFmtId="182" fontId="99" fillId="0" borderId="70" xfId="4496" applyNumberFormat="1" applyFont="1" applyBorder="1"/>
    <xf numFmtId="0" fontId="36" fillId="0" borderId="0" xfId="4495" applyFont="1" applyAlignment="1">
      <alignment vertical="center"/>
    </xf>
    <xf numFmtId="0" fontId="123" fillId="0" borderId="0" xfId="4496" applyFont="1" applyAlignment="1">
      <alignment vertical="center" wrapText="1"/>
    </xf>
    <xf numFmtId="0" fontId="23" fillId="43" borderId="0" xfId="1192" applyFont="1" applyFill="1"/>
    <xf numFmtId="3" fontId="69" fillId="43" borderId="6" xfId="1192" applyNumberFormat="1" applyFont="1" applyFill="1" applyBorder="1"/>
    <xf numFmtId="0" fontId="154" fillId="0" borderId="0" xfId="0" applyFont="1"/>
    <xf numFmtId="0" fontId="23" fillId="0" borderId="11" xfId="253" applyFont="1" applyBorder="1" applyAlignment="1" applyProtection="1">
      <alignment horizontal="center" wrapText="1"/>
      <protection locked="0"/>
    </xf>
    <xf numFmtId="0" fontId="155" fillId="0" borderId="0" xfId="0" applyFont="1"/>
    <xf numFmtId="0" fontId="156" fillId="0" borderId="0" xfId="0" applyFont="1" applyAlignment="1">
      <alignment horizontal="center"/>
    </xf>
    <xf numFmtId="0" fontId="54" fillId="5" borderId="11" xfId="0" applyFont="1" applyFill="1" applyBorder="1" applyAlignment="1" applyProtection="1">
      <alignment horizontal="right" vertical="top" wrapText="1"/>
      <protection locked="0"/>
    </xf>
    <xf numFmtId="0" fontId="18" fillId="43" borderId="3" xfId="569" applyFill="1" applyBorder="1"/>
    <xf numFmtId="0" fontId="159" fillId="0" borderId="0" xfId="0" applyFont="1" applyAlignment="1">
      <alignment horizontal="right"/>
    </xf>
    <xf numFmtId="1" fontId="26" fillId="0" borderId="0" xfId="4495" applyNumberFormat="1" applyFont="1"/>
    <xf numFmtId="0" fontId="25" fillId="0" borderId="4" xfId="569" applyFont="1" applyBorder="1" applyAlignment="1">
      <alignment horizontal="center"/>
    </xf>
    <xf numFmtId="43" fontId="25" fillId="0" borderId="0" xfId="4503" applyFont="1" applyAlignment="1" applyProtection="1">
      <alignment horizontal="center"/>
    </xf>
    <xf numFmtId="0" fontId="25" fillId="0" borderId="0" xfId="569" applyFont="1" applyAlignment="1">
      <alignment horizontal="center" vertical="center"/>
    </xf>
    <xf numFmtId="0" fontId="25" fillId="0" borderId="16" xfId="569" applyFont="1" applyBorder="1" applyAlignment="1">
      <alignment horizontal="center"/>
    </xf>
    <xf numFmtId="49" fontId="25" fillId="0" borderId="4" xfId="569" applyNumberFormat="1" applyFont="1" applyBorder="1" applyAlignment="1">
      <alignment horizontal="center"/>
    </xf>
    <xf numFmtId="4" fontId="25" fillId="0" borderId="0" xfId="569" applyNumberFormat="1" applyFont="1" applyAlignment="1">
      <alignment horizontal="center"/>
    </xf>
    <xf numFmtId="0" fontId="18" fillId="0" borderId="0" xfId="569" applyAlignment="1">
      <alignment horizontal="center" wrapText="1"/>
    </xf>
    <xf numFmtId="0" fontId="99" fillId="0" borderId="6" xfId="4496" applyFont="1" applyBorder="1" applyAlignment="1">
      <alignment horizontal="left" vertical="top"/>
    </xf>
    <xf numFmtId="0" fontId="18" fillId="0" borderId="0" xfId="0" applyFont="1" applyAlignment="1">
      <alignment vertical="center" wrapText="1"/>
    </xf>
    <xf numFmtId="3" fontId="23" fillId="43" borderId="11" xfId="271" applyNumberFormat="1" applyFont="1" applyFill="1" applyBorder="1" applyAlignment="1" applyProtection="1">
      <alignment horizontal="left"/>
      <protection locked="0"/>
    </xf>
    <xf numFmtId="0" fontId="99" fillId="43" borderId="6" xfId="4496" applyFont="1" applyFill="1" applyBorder="1" applyProtection="1">
      <protection locked="0"/>
    </xf>
    <xf numFmtId="1" fontId="99" fillId="0" borderId="0" xfId="4496" applyNumberFormat="1" applyFont="1" applyProtection="1">
      <protection locked="0"/>
    </xf>
    <xf numFmtId="182" fontId="164" fillId="0" borderId="11" xfId="4496" applyNumberFormat="1" applyFont="1" applyBorder="1"/>
    <xf numFmtId="44" fontId="99" fillId="0" borderId="0" xfId="4496" applyNumberFormat="1" applyFont="1"/>
    <xf numFmtId="182" fontId="23" fillId="0" borderId="11" xfId="4496" applyNumberFormat="1" applyFont="1" applyBorder="1"/>
    <xf numFmtId="9" fontId="99" fillId="0" borderId="0" xfId="4494" applyFont="1"/>
    <xf numFmtId="182" fontId="99" fillId="43" borderId="6" xfId="8721" applyNumberFormat="1" applyFont="1" applyFill="1" applyBorder="1" applyProtection="1">
      <protection locked="0"/>
    </xf>
    <xf numFmtId="0" fontId="18" fillId="0" borderId="0" xfId="4495" applyFont="1" applyAlignment="1">
      <alignment wrapText="1"/>
    </xf>
    <xf numFmtId="168" fontId="176" fillId="48" borderId="79" xfId="700" applyNumberFormat="1" applyFont="1" applyFill="1" applyBorder="1" applyAlignment="1" applyProtection="1">
      <protection locked="0"/>
    </xf>
    <xf numFmtId="3" fontId="46" fillId="10" borderId="0" xfId="543" applyNumberFormat="1" applyFont="1" applyFill="1" applyAlignment="1">
      <alignment vertical="center" wrapText="1"/>
    </xf>
    <xf numFmtId="0" fontId="183" fillId="0" borderId="0" xfId="543" applyFont="1" applyAlignment="1">
      <alignment horizontal="left" vertical="center"/>
    </xf>
    <xf numFmtId="0" fontId="184" fillId="0" borderId="0" xfId="543" applyFont="1" applyAlignment="1">
      <alignment horizontal="right" vertical="top" wrapText="1"/>
    </xf>
    <xf numFmtId="168" fontId="184" fillId="0" borderId="0" xfId="543" applyNumberFormat="1" applyFont="1" applyAlignment="1">
      <alignment horizontal="center" vertical="center"/>
    </xf>
    <xf numFmtId="0" fontId="185" fillId="0" borderId="0" xfId="543" applyFont="1" applyAlignment="1">
      <alignment horizontal="left" vertical="center"/>
    </xf>
    <xf numFmtId="0" fontId="185" fillId="0" borderId="0" xfId="543" applyFont="1" applyAlignment="1">
      <alignment horizontal="right" vertical="top" wrapText="1"/>
    </xf>
    <xf numFmtId="168" fontId="184" fillId="0" borderId="104" xfId="543" applyNumberFormat="1" applyFont="1" applyBorder="1" applyAlignment="1">
      <alignment horizontal="center" vertical="center"/>
    </xf>
    <xf numFmtId="0" fontId="185" fillId="0" borderId="106" xfId="543" applyFont="1" applyBorder="1" applyAlignment="1">
      <alignment horizontal="right" vertical="top" wrapText="1"/>
    </xf>
    <xf numFmtId="0" fontId="25" fillId="0" borderId="0" xfId="4495" applyFont="1" applyAlignment="1">
      <alignment wrapText="1"/>
    </xf>
    <xf numFmtId="182" fontId="18" fillId="0" borderId="0" xfId="700" applyNumberFormat="1" applyFont="1"/>
    <xf numFmtId="9" fontId="18" fillId="0" borderId="0" xfId="1022" applyFont="1"/>
    <xf numFmtId="168" fontId="18"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3" fillId="0" borderId="0" xfId="8733"/>
    <xf numFmtId="0" fontId="104" fillId="0" borderId="0" xfId="8733" applyFont="1"/>
    <xf numFmtId="0" fontId="3" fillId="47" borderId="66" xfId="8733" applyFill="1" applyBorder="1"/>
    <xf numFmtId="0" fontId="3" fillId="47" borderId="0" xfId="8733" applyFill="1"/>
    <xf numFmtId="0" fontId="103" fillId="47" borderId="41" xfId="8733" applyFont="1" applyFill="1" applyBorder="1" applyAlignment="1">
      <alignment horizontal="center"/>
    </xf>
    <xf numFmtId="0" fontId="103" fillId="47" borderId="0" xfId="8733" applyFont="1" applyFill="1"/>
    <xf numFmtId="182" fontId="175" fillId="47" borderId="0" xfId="8734" applyNumberFormat="1" applyFont="1" applyFill="1" applyBorder="1" applyAlignment="1"/>
    <xf numFmtId="0" fontId="3" fillId="47" borderId="41" xfId="8733" applyFill="1" applyBorder="1"/>
    <xf numFmtId="0" fontId="104" fillId="47" borderId="0" xfId="8733" applyFont="1" applyFill="1"/>
    <xf numFmtId="0" fontId="179" fillId="47" borderId="0" xfId="8733" applyFont="1" applyFill="1"/>
    <xf numFmtId="0" fontId="103" fillId="47" borderId="41" xfId="8733" applyFont="1" applyFill="1" applyBorder="1"/>
    <xf numFmtId="0" fontId="103" fillId="0" borderId="0" xfId="8733" applyFont="1"/>
    <xf numFmtId="0" fontId="103" fillId="54" borderId="100" xfId="8733" applyFont="1" applyFill="1" applyBorder="1"/>
    <xf numFmtId="0" fontId="3" fillId="53" borderId="99" xfId="8733" applyFill="1" applyBorder="1"/>
    <xf numFmtId="0" fontId="3" fillId="52" borderId="99" xfId="8733" applyFill="1" applyBorder="1"/>
    <xf numFmtId="0" fontId="103" fillId="45" borderId="65" xfId="8733" applyFont="1" applyFill="1" applyBorder="1"/>
    <xf numFmtId="0" fontId="3" fillId="45" borderId="80" xfId="8733" applyFill="1" applyBorder="1"/>
    <xf numFmtId="0" fontId="3" fillId="45" borderId="79" xfId="8733" applyFill="1" applyBorder="1"/>
    <xf numFmtId="0" fontId="3" fillId="45" borderId="78" xfId="8733" applyFill="1" applyBorder="1"/>
    <xf numFmtId="0" fontId="103" fillId="45" borderId="0" xfId="8733" applyFont="1" applyFill="1"/>
    <xf numFmtId="0" fontId="103" fillId="45" borderId="12" xfId="8733" applyFont="1" applyFill="1" applyBorder="1"/>
    <xf numFmtId="0" fontId="103" fillId="45" borderId="29" xfId="8733" applyFont="1" applyFill="1" applyBorder="1"/>
    <xf numFmtId="0" fontId="103" fillId="45" borderId="80" xfId="8733" applyFont="1" applyFill="1" applyBorder="1"/>
    <xf numFmtId="0" fontId="103" fillId="45" borderId="79" xfId="8733" applyFont="1" applyFill="1" applyBorder="1"/>
    <xf numFmtId="0" fontId="103" fillId="45" borderId="78" xfId="8733" applyFont="1" applyFill="1" applyBorder="1"/>
    <xf numFmtId="0" fontId="103" fillId="45" borderId="93" xfId="8733" applyFont="1" applyFill="1" applyBorder="1"/>
    <xf numFmtId="0" fontId="103" fillId="45" borderId="6" xfId="8733" applyFont="1" applyFill="1" applyBorder="1"/>
    <xf numFmtId="0" fontId="103" fillId="45" borderId="10" xfId="8733" applyFont="1" applyFill="1" applyBorder="1"/>
    <xf numFmtId="0" fontId="3" fillId="45" borderId="29" xfId="8733" applyFill="1" applyBorder="1"/>
    <xf numFmtId="0" fontId="3" fillId="45" borderId="31" xfId="8733" applyFill="1" applyBorder="1"/>
    <xf numFmtId="0" fontId="103" fillId="45" borderId="92" xfId="8733" applyFont="1" applyFill="1" applyBorder="1"/>
    <xf numFmtId="0" fontId="103" fillId="45" borderId="74" xfId="8733" applyFont="1" applyFill="1" applyBorder="1"/>
    <xf numFmtId="0" fontId="174" fillId="45" borderId="87" xfId="8733" applyFont="1" applyFill="1" applyBorder="1"/>
    <xf numFmtId="0" fontId="3" fillId="45" borderId="87" xfId="8733" applyFill="1" applyBorder="1"/>
    <xf numFmtId="0" fontId="3" fillId="45" borderId="86" xfId="8733" applyFill="1" applyBorder="1"/>
    <xf numFmtId="0" fontId="3" fillId="45" borderId="95" xfId="8733" applyFill="1" applyBorder="1"/>
    <xf numFmtId="0" fontId="181" fillId="47" borderId="0" xfId="8733" applyFont="1" applyFill="1"/>
    <xf numFmtId="0" fontId="103" fillId="45" borderId="31" xfId="8733" applyFont="1" applyFill="1" applyBorder="1"/>
    <xf numFmtId="0" fontId="3" fillId="47" borderId="0" xfId="8733" applyFill="1" applyAlignment="1">
      <alignment horizontal="left"/>
    </xf>
    <xf numFmtId="0" fontId="173" fillId="51" borderId="11" xfId="8733" applyFont="1" applyFill="1" applyBorder="1"/>
    <xf numFmtId="0" fontId="173" fillId="51" borderId="76" xfId="8733" applyFont="1" applyFill="1" applyBorder="1"/>
    <xf numFmtId="0" fontId="174" fillId="51" borderId="11" xfId="8733" applyFont="1" applyFill="1" applyBorder="1" applyAlignment="1">
      <alignment horizontal="center"/>
    </xf>
    <xf numFmtId="0" fontId="174" fillId="51" borderId="76" xfId="8733" applyFont="1" applyFill="1" applyBorder="1" applyAlignment="1">
      <alignment horizontal="center"/>
    </xf>
    <xf numFmtId="0" fontId="3" fillId="48" borderId="66" xfId="8733" applyFill="1" applyBorder="1"/>
    <xf numFmtId="0" fontId="3" fillId="48" borderId="0" xfId="8733" applyFill="1"/>
    <xf numFmtId="0" fontId="3" fillId="48" borderId="78" xfId="8733" applyFill="1" applyBorder="1"/>
    <xf numFmtId="0" fontId="103" fillId="47" borderId="66" xfId="8733" applyFont="1" applyFill="1" applyBorder="1"/>
    <xf numFmtId="49" fontId="103" fillId="47" borderId="66" xfId="8733" applyNumberFormat="1" applyFont="1" applyFill="1" applyBorder="1" applyAlignment="1">
      <alignment horizontal="right" vertical="top"/>
    </xf>
    <xf numFmtId="0" fontId="3" fillId="47" borderId="73" xfId="8733" applyFill="1" applyBorder="1"/>
    <xf numFmtId="0" fontId="3" fillId="47" borderId="42" xfId="8733" applyFill="1" applyBorder="1"/>
    <xf numFmtId="0" fontId="3" fillId="47" borderId="44" xfId="8733" applyFill="1" applyBorder="1"/>
    <xf numFmtId="0" fontId="3" fillId="44" borderId="66" xfId="8733" applyFill="1" applyBorder="1"/>
    <xf numFmtId="0" fontId="3" fillId="44" borderId="0" xfId="8733" applyFill="1"/>
    <xf numFmtId="0" fontId="3" fillId="44" borderId="41" xfId="8733" applyFill="1" applyBorder="1"/>
    <xf numFmtId="0" fontId="3" fillId="44" borderId="0" xfId="8733" applyFill="1" applyAlignment="1">
      <alignment horizontal="left"/>
    </xf>
    <xf numFmtId="0" fontId="3" fillId="44" borderId="73" xfId="8733" applyFill="1" applyBorder="1"/>
    <xf numFmtId="0" fontId="3" fillId="44" borderId="42" xfId="8733" applyFill="1" applyBorder="1"/>
    <xf numFmtId="0" fontId="3" fillId="44" borderId="44" xfId="8733" applyFill="1" applyBorder="1"/>
    <xf numFmtId="0" fontId="165" fillId="0" borderId="0" xfId="8733" applyFont="1"/>
    <xf numFmtId="168" fontId="0" fillId="0" borderId="0" xfId="0" applyNumberFormat="1"/>
    <xf numFmtId="0" fontId="123" fillId="52" borderId="113" xfId="0" applyFont="1" applyFill="1" applyBorder="1"/>
    <xf numFmtId="0" fontId="123" fillId="53" borderId="113" xfId="0" applyFont="1" applyFill="1" applyBorder="1"/>
    <xf numFmtId="1" fontId="0" fillId="0" borderId="0" xfId="0" applyNumberFormat="1"/>
    <xf numFmtId="0" fontId="19"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9" fillId="0" borderId="0" xfId="244" applyAlignment="1">
      <alignment horizontal="left" vertical="top"/>
    </xf>
    <xf numFmtId="9" fontId="18" fillId="0" borderId="0" xfId="0" applyNumberFormat="1" applyFont="1"/>
    <xf numFmtId="0" fontId="170" fillId="0" borderId="0" xfId="8733" applyFont="1"/>
    <xf numFmtId="0" fontId="167" fillId="0" borderId="0" xfId="8733" applyFont="1"/>
    <xf numFmtId="185" fontId="170" fillId="0" borderId="0" xfId="698" applyNumberFormat="1" applyFont="1"/>
    <xf numFmtId="10" fontId="170" fillId="0" borderId="0" xfId="1022" applyNumberFormat="1" applyFont="1"/>
    <xf numFmtId="9" fontId="18" fillId="5" borderId="0" xfId="4494" applyFont="1" applyFill="1"/>
    <xf numFmtId="9" fontId="18" fillId="0" borderId="11" xfId="4494" applyFont="1" applyBorder="1" applyAlignment="1">
      <alignment horizontal="center"/>
    </xf>
    <xf numFmtId="0" fontId="24" fillId="3" borderId="0" xfId="0" applyFont="1" applyFill="1" applyAlignment="1">
      <alignment horizontal="center" vertical="center" wrapText="1"/>
    </xf>
    <xf numFmtId="0" fontId="24" fillId="3" borderId="16" xfId="0" applyFont="1" applyFill="1" applyBorder="1" applyAlignment="1">
      <alignment horizontal="center" vertical="center" wrapText="1"/>
    </xf>
    <xf numFmtId="0" fontId="18" fillId="0" borderId="0" xfId="0" applyFont="1" applyAlignment="1">
      <alignment horizontal="left" vertical="top" wrapText="1"/>
    </xf>
    <xf numFmtId="0" fontId="106" fillId="0" borderId="0" xfId="0" applyFont="1" applyAlignment="1">
      <alignment horizontal="left" vertical="top" wrapText="1"/>
    </xf>
    <xf numFmtId="0" fontId="19" fillId="0" borderId="0" xfId="244" applyAlignment="1">
      <alignment horizontal="left" vertical="top"/>
    </xf>
    <xf numFmtId="0" fontId="47" fillId="0" borderId="0" xfId="0" applyFont="1" applyAlignment="1">
      <alignment horizontal="left" vertical="top" wrapText="1"/>
    </xf>
    <xf numFmtId="0" fontId="114" fillId="0" borderId="0" xfId="0" applyFont="1" applyAlignment="1">
      <alignment horizontal="left" wrapText="1"/>
    </xf>
    <xf numFmtId="0" fontId="18" fillId="0" borderId="0" xfId="0" applyFont="1" applyAlignment="1">
      <alignment horizontal="left" wrapText="1"/>
    </xf>
    <xf numFmtId="0" fontId="27" fillId="0" borderId="0" xfId="0" applyFont="1" applyAlignment="1">
      <alignment horizontal="left" wrapText="1"/>
    </xf>
    <xf numFmtId="0" fontId="19" fillId="0" borderId="0" xfId="244" applyAlignment="1" applyProtection="1">
      <alignment horizontal="left"/>
    </xf>
    <xf numFmtId="0" fontId="19" fillId="0" borderId="0" xfId="244"/>
    <xf numFmtId="0" fontId="0" fillId="0" borderId="0" xfId="0"/>
    <xf numFmtId="0" fontId="18" fillId="0" borderId="0" xfId="1192" applyAlignment="1">
      <alignment horizontal="left" vertical="top" wrapText="1"/>
    </xf>
    <xf numFmtId="0" fontId="25" fillId="0" borderId="0" xfId="0" applyFont="1" applyAlignment="1">
      <alignment horizontal="left" vertical="top" wrapText="1"/>
    </xf>
    <xf numFmtId="0" fontId="115" fillId="0" borderId="0" xfId="569" applyFont="1" applyAlignment="1">
      <alignment horizontal="center"/>
    </xf>
    <xf numFmtId="0" fontId="116" fillId="0" borderId="0" xfId="569" applyFont="1"/>
    <xf numFmtId="0" fontId="18" fillId="0" borderId="0" xfId="569" applyAlignment="1">
      <alignment wrapText="1"/>
    </xf>
    <xf numFmtId="0" fontId="25" fillId="0" borderId="0" xfId="569" applyFont="1" applyAlignment="1">
      <alignment wrapText="1"/>
    </xf>
    <xf numFmtId="0" fontId="33" fillId="0" borderId="0" xfId="569" applyFont="1" applyAlignment="1">
      <alignment horizontal="center"/>
    </xf>
    <xf numFmtId="0" fontId="18" fillId="0" borderId="0" xfId="569"/>
    <xf numFmtId="0" fontId="18" fillId="0" borderId="0" xfId="1192" applyAlignment="1">
      <alignment vertical="top" wrapText="1"/>
    </xf>
    <xf numFmtId="4" fontId="18" fillId="0" borderId="0" xfId="569" applyNumberFormat="1" applyAlignment="1">
      <alignment horizontal="left"/>
    </xf>
    <xf numFmtId="0" fontId="36" fillId="0" borderId="0" xfId="569" applyFont="1" applyAlignment="1">
      <alignment horizontal="left" vertical="top"/>
    </xf>
    <xf numFmtId="4" fontId="36" fillId="0" borderId="0" xfId="0" applyNumberFormat="1" applyFont="1" applyAlignment="1">
      <alignment horizontal="left"/>
    </xf>
    <xf numFmtId="4" fontId="18" fillId="0" borderId="0" xfId="0" applyNumberFormat="1" applyFont="1" applyAlignment="1">
      <alignment horizontal="left"/>
    </xf>
    <xf numFmtId="0" fontId="25" fillId="0" borderId="4" xfId="0" applyFont="1" applyBorder="1" applyAlignment="1">
      <alignment horizontal="left"/>
    </xf>
    <xf numFmtId="0" fontId="36"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xf>
    <xf numFmtId="49" fontId="18" fillId="0" borderId="0" xfId="0" applyNumberFormat="1" applyFont="1" applyAlignment="1">
      <alignment horizontal="left" vertical="top" wrapText="1"/>
    </xf>
    <xf numFmtId="0" fontId="18" fillId="0" borderId="0" xfId="0" applyFont="1" applyAlignment="1">
      <alignment horizontal="left" vertical="center" wrapText="1"/>
    </xf>
    <xf numFmtId="0" fontId="18" fillId="0" borderId="0" xfId="569" applyAlignment="1">
      <alignment horizontal="left" wrapText="1"/>
    </xf>
    <xf numFmtId="0" fontId="18" fillId="0" borderId="0" xfId="0" applyFont="1" applyAlignment="1">
      <alignment vertical="top" wrapText="1"/>
    </xf>
    <xf numFmtId="0" fontId="19" fillId="0" borderId="0" xfId="244" applyFill="1" applyBorder="1" applyAlignment="1">
      <alignment horizontal="left" vertical="top" wrapText="1"/>
    </xf>
    <xf numFmtId="4" fontId="18" fillId="0" borderId="0" xfId="0" applyNumberFormat="1" applyFont="1" applyAlignment="1">
      <alignment horizontal="left" vertical="top" wrapText="1"/>
    </xf>
    <xf numFmtId="0" fontId="36" fillId="0" borderId="0" xfId="0" applyFont="1" applyAlignment="1">
      <alignment horizontal="left"/>
    </xf>
    <xf numFmtId="0" fontId="25" fillId="0" borderId="0" xfId="0" applyFont="1" applyAlignment="1">
      <alignment vertical="top" wrapText="1"/>
    </xf>
    <xf numFmtId="0" fontId="25" fillId="0" borderId="0" xfId="1192" applyFont="1" applyAlignment="1">
      <alignment horizontal="left" vertical="top" wrapText="1"/>
    </xf>
    <xf numFmtId="4" fontId="36" fillId="0" borderId="0" xfId="569" applyNumberFormat="1" applyFont="1" applyAlignment="1">
      <alignment horizontal="left" vertical="top" wrapText="1"/>
    </xf>
    <xf numFmtId="0" fontId="18" fillId="0" borderId="0" xfId="569" applyAlignment="1">
      <alignment horizontal="left"/>
    </xf>
    <xf numFmtId="0" fontId="25" fillId="0" borderId="4" xfId="569" applyFont="1" applyBorder="1" applyAlignment="1">
      <alignment horizontal="left" vertical="top"/>
    </xf>
    <xf numFmtId="0" fontId="18" fillId="0" borderId="0" xfId="569" applyAlignment="1">
      <alignment horizontal="left" vertical="top" wrapText="1"/>
    </xf>
    <xf numFmtId="0" fontId="19" fillId="0" borderId="0" xfId="244" quotePrefix="1" applyAlignment="1" applyProtection="1">
      <alignment horizontal="left"/>
    </xf>
    <xf numFmtId="0" fontId="18" fillId="0" borderId="0" xfId="569" applyAlignment="1">
      <alignment horizontal="left" vertical="top"/>
    </xf>
    <xf numFmtId="0" fontId="18" fillId="0" borderId="0" xfId="0" quotePrefix="1" applyFont="1" applyAlignment="1">
      <alignment horizontal="left" vertical="top"/>
    </xf>
    <xf numFmtId="0" fontId="36" fillId="0" borderId="0" xfId="0" applyFont="1" applyAlignment="1">
      <alignment horizontal="left" vertical="top" wrapText="1"/>
    </xf>
    <xf numFmtId="0" fontId="18" fillId="0" borderId="0" xfId="0" quotePrefix="1" applyFont="1" applyAlignment="1">
      <alignment horizontal="left" vertical="top" wrapText="1"/>
    </xf>
    <xf numFmtId="4" fontId="18" fillId="0" borderId="0" xfId="569" applyNumberFormat="1" applyAlignment="1">
      <alignment horizontal="left" vertical="top" wrapText="1"/>
    </xf>
    <xf numFmtId="0" fontId="25" fillId="0" borderId="4" xfId="569" applyFont="1" applyBorder="1" applyAlignment="1">
      <alignment horizontal="left"/>
    </xf>
    <xf numFmtId="0" fontId="36" fillId="0" borderId="0" xfId="569" applyFont="1" applyAlignment="1">
      <alignment horizontal="left"/>
    </xf>
    <xf numFmtId="0" fontId="18" fillId="0" borderId="0" xfId="1192" applyAlignment="1" applyProtection="1">
      <alignment horizontal="left" vertical="top" wrapText="1"/>
      <protection locked="0"/>
    </xf>
    <xf numFmtId="0" fontId="0" fillId="0" borderId="0" xfId="0" applyAlignment="1">
      <alignment horizontal="left" vertical="top" wrapText="1"/>
    </xf>
    <xf numFmtId="0" fontId="36" fillId="0" borderId="0" xfId="1192" applyFont="1" applyAlignment="1">
      <alignment horizontal="left" vertical="top" wrapText="1"/>
    </xf>
    <xf numFmtId="4" fontId="18" fillId="0" borderId="0" xfId="1192" applyNumberFormat="1" applyAlignment="1">
      <alignment horizontal="left" vertical="top" wrapText="1"/>
    </xf>
    <xf numFmtId="0" fontId="18" fillId="0" borderId="0" xfId="569" applyAlignment="1">
      <alignment vertical="top" wrapText="1"/>
    </xf>
    <xf numFmtId="4" fontId="36" fillId="0" borderId="0" xfId="0" applyNumberFormat="1" applyFont="1" applyAlignment="1">
      <alignment horizontal="left" vertical="top" wrapText="1"/>
    </xf>
    <xf numFmtId="0" fontId="25" fillId="0" borderId="4" xfId="0" applyFont="1" applyBorder="1" applyAlignment="1">
      <alignment horizontal="left" vertical="top"/>
    </xf>
    <xf numFmtId="0" fontId="36" fillId="0" borderId="0" xfId="569" applyFont="1" applyAlignment="1">
      <alignment horizontal="left" vertical="top" wrapText="1"/>
    </xf>
    <xf numFmtId="0" fontId="18" fillId="0" borderId="0" xfId="1192" applyAlignment="1">
      <alignment horizontal="left"/>
    </xf>
    <xf numFmtId="0" fontId="25" fillId="0" borderId="0" xfId="569" applyFont="1" applyAlignment="1">
      <alignment horizontal="center"/>
    </xf>
    <xf numFmtId="0" fontId="19" fillId="0" borderId="0" xfId="244" applyNumberFormat="1" applyFill="1" applyAlignment="1" applyProtection="1">
      <alignment horizontal="left"/>
    </xf>
    <xf numFmtId="0" fontId="36" fillId="0" borderId="0" xfId="569" applyFont="1" applyAlignment="1">
      <alignment horizontal="left" wrapText="1"/>
    </xf>
    <xf numFmtId="0" fontId="36" fillId="0" borderId="0" xfId="569" applyFont="1" applyAlignment="1">
      <alignment horizontal="center" wrapText="1"/>
    </xf>
    <xf numFmtId="49" fontId="18" fillId="0" borderId="0" xfId="1192" applyNumberFormat="1" applyAlignment="1">
      <alignment horizontal="left" vertical="top" wrapText="1"/>
    </xf>
    <xf numFmtId="0" fontId="18" fillId="0" borderId="0" xfId="569" applyAlignment="1">
      <alignment horizontal="left" vertical="center" wrapText="1"/>
    </xf>
    <xf numFmtId="0" fontId="25" fillId="0" borderId="0" xfId="0" applyFont="1" applyAlignment="1">
      <alignment horizontal="left" vertical="top"/>
    </xf>
    <xf numFmtId="0" fontId="25" fillId="0" borderId="0" xfId="569" applyFont="1" applyAlignment="1">
      <alignment horizontal="left"/>
    </xf>
    <xf numFmtId="0" fontId="36" fillId="0" borderId="0" xfId="1192" applyFont="1" applyAlignment="1">
      <alignment horizontal="left"/>
    </xf>
    <xf numFmtId="0" fontId="18" fillId="0" borderId="27" xfId="569" applyBorder="1" applyAlignment="1">
      <alignment horizontal="left"/>
    </xf>
    <xf numFmtId="0" fontId="25" fillId="0" borderId="16" xfId="569" applyFont="1" applyBorder="1" applyAlignment="1">
      <alignment horizontal="left"/>
    </xf>
    <xf numFmtId="0" fontId="19" fillId="0" borderId="0" xfId="244" applyAlignment="1" applyProtection="1">
      <alignment horizontal="left" vertical="top" wrapText="1"/>
    </xf>
    <xf numFmtId="0" fontId="36" fillId="0" borderId="0" xfId="569" applyFont="1" applyAlignment="1">
      <alignment horizontal="center"/>
    </xf>
    <xf numFmtId="0" fontId="0" fillId="0" borderId="0" xfId="0" applyAlignment="1">
      <alignment horizontal="center"/>
    </xf>
    <xf numFmtId="0" fontId="25" fillId="0" borderId="0" xfId="0" applyFont="1" applyAlignment="1">
      <alignment horizontal="center"/>
    </xf>
    <xf numFmtId="0" fontId="160" fillId="0" borderId="8" xfId="543" applyFont="1" applyBorder="1" applyAlignment="1">
      <alignment horizontal="center" wrapText="1"/>
    </xf>
    <xf numFmtId="0" fontId="160" fillId="0" borderId="0" xfId="543" applyFont="1" applyAlignment="1">
      <alignment horizontal="center" wrapText="1"/>
    </xf>
    <xf numFmtId="0" fontId="160" fillId="0" borderId="12" xfId="543" applyFont="1" applyBorder="1" applyAlignment="1">
      <alignment horizontal="center" wrapText="1"/>
    </xf>
    <xf numFmtId="0" fontId="160" fillId="0" borderId="9" xfId="543" applyFont="1" applyBorder="1" applyAlignment="1">
      <alignment horizontal="center" wrapText="1"/>
    </xf>
    <xf numFmtId="0" fontId="160" fillId="0" borderId="6" xfId="543" applyFont="1" applyBorder="1" applyAlignment="1">
      <alignment horizontal="center" wrapText="1"/>
    </xf>
    <xf numFmtId="0" fontId="160" fillId="0" borderId="10" xfId="543" applyFont="1" applyBorder="1" applyAlignment="1">
      <alignment horizontal="center" wrapText="1"/>
    </xf>
    <xf numFmtId="0" fontId="160" fillId="0" borderId="8" xfId="543" applyFont="1" applyBorder="1" applyAlignment="1">
      <alignment horizontal="center" vertical="top" wrapText="1"/>
    </xf>
    <xf numFmtId="0" fontId="160" fillId="0" borderId="0" xfId="543" applyFont="1" applyAlignment="1">
      <alignment horizontal="center" vertical="top" wrapText="1"/>
    </xf>
    <xf numFmtId="0" fontId="160" fillId="0" borderId="12" xfId="543" applyFont="1" applyBorder="1" applyAlignment="1">
      <alignment horizontal="center" vertical="top" wrapText="1"/>
    </xf>
    <xf numFmtId="0" fontId="160" fillId="0" borderId="9" xfId="543" applyFont="1" applyBorder="1" applyAlignment="1">
      <alignment horizontal="center" vertical="top" wrapText="1"/>
    </xf>
    <xf numFmtId="0" fontId="160" fillId="0" borderId="6" xfId="543" applyFont="1" applyBorder="1" applyAlignment="1">
      <alignment horizontal="center" vertical="top" wrapText="1"/>
    </xf>
    <xf numFmtId="0" fontId="160" fillId="0" borderId="10" xfId="543" applyFont="1" applyBorder="1" applyAlignment="1">
      <alignment horizontal="center" vertical="top" wrapText="1"/>
    </xf>
    <xf numFmtId="1" fontId="27" fillId="5" borderId="3" xfId="0" applyNumberFormat="1" applyFont="1" applyFill="1" applyBorder="1" applyAlignment="1" applyProtection="1">
      <alignment horizontal="center"/>
      <protection locked="0"/>
    </xf>
    <xf numFmtId="1" fontId="27" fillId="5" borderId="4" xfId="0" applyNumberFormat="1" applyFont="1" applyFill="1" applyBorder="1" applyAlignment="1" applyProtection="1">
      <alignment horizontal="center"/>
      <protection locked="0"/>
    </xf>
    <xf numFmtId="1" fontId="27"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7" fillId="0" borderId="0" xfId="543" applyFont="1" applyAlignment="1">
      <alignment horizontal="center"/>
    </xf>
    <xf numFmtId="0" fontId="18" fillId="0" borderId="0" xfId="0" applyFont="1" applyAlignment="1">
      <alignment vertical="center" wrapText="1"/>
    </xf>
    <xf numFmtId="0" fontId="18" fillId="0" borderId="0" xfId="543" applyAlignment="1">
      <alignment wrapText="1"/>
    </xf>
    <xf numFmtId="168" fontId="27" fillId="0" borderId="3" xfId="0" applyNumberFormat="1" applyFont="1" applyBorder="1" applyAlignment="1">
      <alignment horizontal="center"/>
    </xf>
    <xf numFmtId="168" fontId="27" fillId="0" borderId="4" xfId="0" applyNumberFormat="1" applyFont="1" applyBorder="1" applyAlignment="1">
      <alignment horizontal="center"/>
    </xf>
    <xf numFmtId="168" fontId="27" fillId="0" borderId="5" xfId="0" applyNumberFormat="1" applyFont="1" applyBorder="1" applyAlignment="1">
      <alignment horizontal="center"/>
    </xf>
    <xf numFmtId="168" fontId="27" fillId="5" borderId="3" xfId="0" applyNumberFormat="1" applyFont="1" applyFill="1" applyBorder="1" applyAlignment="1" applyProtection="1">
      <alignment horizontal="center"/>
      <protection locked="0"/>
    </xf>
    <xf numFmtId="168" fontId="27" fillId="5" borderId="4" xfId="0" applyNumberFormat="1" applyFont="1" applyFill="1" applyBorder="1" applyAlignment="1" applyProtection="1">
      <alignment horizontal="center"/>
      <protection locked="0"/>
    </xf>
    <xf numFmtId="168" fontId="27" fillId="5" borderId="5" xfId="0" applyNumberFormat="1" applyFont="1" applyFill="1" applyBorder="1" applyAlignment="1" applyProtection="1">
      <alignment horizontal="center"/>
      <protection locked="0"/>
    </xf>
    <xf numFmtId="165" fontId="27" fillId="0" borderId="1" xfId="0" applyNumberFormat="1" applyFont="1" applyBorder="1" applyAlignment="1">
      <alignment horizontal="right"/>
    </xf>
    <xf numFmtId="165" fontId="27" fillId="0" borderId="2" xfId="0" applyNumberFormat="1" applyFont="1" applyBorder="1" applyAlignment="1">
      <alignment horizontal="right"/>
    </xf>
    <xf numFmtId="165" fontId="27" fillId="0" borderId="7" xfId="0" applyNumberFormat="1" applyFont="1" applyBorder="1" applyAlignment="1">
      <alignment horizontal="right"/>
    </xf>
    <xf numFmtId="0" fontId="27" fillId="5" borderId="3" xfId="0" applyFont="1" applyFill="1" applyBorder="1" applyAlignment="1" applyProtection="1">
      <alignment horizontal="center"/>
      <protection locked="0"/>
    </xf>
    <xf numFmtId="0" fontId="27" fillId="5" borderId="4" xfId="0" applyFont="1" applyFill="1" applyBorder="1" applyAlignment="1" applyProtection="1">
      <alignment horizontal="center"/>
      <protection locked="0"/>
    </xf>
    <xf numFmtId="0" fontId="27" fillId="5" borderId="5" xfId="0" applyFont="1" applyFill="1" applyBorder="1" applyAlignment="1" applyProtection="1">
      <alignment horizontal="center"/>
      <protection locked="0"/>
    </xf>
    <xf numFmtId="168" fontId="18" fillId="0" borderId="1" xfId="543" applyNumberFormat="1" applyBorder="1" applyAlignment="1">
      <alignment horizontal="center" vertical="center"/>
    </xf>
    <xf numFmtId="168" fontId="18" fillId="0" borderId="2" xfId="543" applyNumberFormat="1" applyBorder="1" applyAlignment="1">
      <alignment horizontal="center" vertical="center"/>
    </xf>
    <xf numFmtId="168" fontId="18" fillId="0" borderId="7" xfId="543" applyNumberFormat="1" applyBorder="1" applyAlignment="1">
      <alignment horizontal="center" vertical="center"/>
    </xf>
    <xf numFmtId="168" fontId="18" fillId="0" borderId="8" xfId="543" applyNumberFormat="1" applyBorder="1" applyAlignment="1">
      <alignment horizontal="center" vertical="center"/>
    </xf>
    <xf numFmtId="168" fontId="18" fillId="0" borderId="0" xfId="543" applyNumberFormat="1" applyAlignment="1">
      <alignment horizontal="center" vertical="center"/>
    </xf>
    <xf numFmtId="168" fontId="18" fillId="0" borderId="12" xfId="543" applyNumberFormat="1" applyBorder="1" applyAlignment="1">
      <alignment horizontal="center" vertical="center"/>
    </xf>
    <xf numFmtId="168" fontId="18" fillId="0" borderId="9" xfId="543" applyNumberFormat="1" applyBorder="1" applyAlignment="1">
      <alignment horizontal="center" vertical="center"/>
    </xf>
    <xf numFmtId="168" fontId="18" fillId="0" borderId="6" xfId="543" applyNumberFormat="1" applyBorder="1" applyAlignment="1">
      <alignment horizontal="center" vertical="center"/>
    </xf>
    <xf numFmtId="168" fontId="18" fillId="0" borderId="10" xfId="543" applyNumberFormat="1" applyBorder="1" applyAlignment="1">
      <alignment horizontal="center" vertical="center"/>
    </xf>
    <xf numFmtId="168" fontId="18" fillId="10" borderId="3" xfId="543" applyNumberFormat="1" applyFill="1" applyBorder="1" applyAlignment="1">
      <alignment horizontal="center"/>
    </xf>
    <xf numFmtId="168" fontId="18" fillId="10" borderId="4" xfId="543" applyNumberFormat="1" applyFill="1" applyBorder="1" applyAlignment="1">
      <alignment horizontal="center"/>
    </xf>
    <xf numFmtId="168" fontId="18" fillId="10" borderId="5" xfId="543" applyNumberFormat="1" applyFill="1" applyBorder="1" applyAlignment="1">
      <alignment horizontal="center"/>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5" fillId="0" borderId="8" xfId="0" applyFont="1" applyBorder="1" applyAlignment="1">
      <alignment horizontal="center" wrapText="1"/>
    </xf>
    <xf numFmtId="0" fontId="25" fillId="0" borderId="0" xfId="0" applyFont="1" applyAlignment="1">
      <alignment horizontal="center" wrapText="1"/>
    </xf>
    <xf numFmtId="0" fontId="25" fillId="0" borderId="12" xfId="0" applyFont="1" applyBorder="1" applyAlignment="1">
      <alignment horizontal="center" wrapText="1"/>
    </xf>
    <xf numFmtId="0" fontId="25" fillId="0" borderId="9" xfId="0" applyFont="1" applyBorder="1" applyAlignment="1">
      <alignment horizontal="center" wrapText="1"/>
    </xf>
    <xf numFmtId="0" fontId="25" fillId="0" borderId="6" xfId="0" applyFont="1" applyBorder="1" applyAlignment="1">
      <alignment horizontal="center" wrapText="1"/>
    </xf>
    <xf numFmtId="0" fontId="25"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 fontId="18" fillId="0" borderId="3" xfId="543" applyNumberFormat="1" applyBorder="1" applyAlignment="1">
      <alignment horizontal="center"/>
    </xf>
    <xf numFmtId="1" fontId="18" fillId="0" borderId="4" xfId="543" applyNumberFormat="1" applyBorder="1" applyAlignment="1">
      <alignment horizontal="center"/>
    </xf>
    <xf numFmtId="1" fontId="18" fillId="0" borderId="5" xfId="543" applyNumberFormat="1" applyBorder="1" applyAlignment="1">
      <alignment horizontal="center"/>
    </xf>
    <xf numFmtId="0" fontId="25" fillId="0" borderId="1" xfId="543" applyFont="1" applyBorder="1" applyAlignment="1">
      <alignment horizontal="left" vertical="top" wrapText="1"/>
    </xf>
    <xf numFmtId="0" fontId="25" fillId="0" borderId="2" xfId="543" applyFont="1" applyBorder="1" applyAlignment="1">
      <alignment horizontal="left" vertical="top" wrapText="1"/>
    </xf>
    <xf numFmtId="0" fontId="25" fillId="0" borderId="7" xfId="543" applyFont="1" applyBorder="1" applyAlignment="1">
      <alignment horizontal="left" vertical="top" wrapText="1"/>
    </xf>
    <xf numFmtId="0" fontId="25" fillId="0" borderId="8" xfId="543" applyFont="1" applyBorder="1" applyAlignment="1">
      <alignment horizontal="left" vertical="top" wrapText="1"/>
    </xf>
    <xf numFmtId="0" fontId="25" fillId="0" borderId="0" xfId="543" applyFont="1" applyAlignment="1">
      <alignment horizontal="left" vertical="top" wrapText="1"/>
    </xf>
    <xf numFmtId="0" fontId="25" fillId="0" borderId="12" xfId="543" applyFont="1" applyBorder="1" applyAlignment="1">
      <alignment horizontal="left" vertical="top" wrapText="1"/>
    </xf>
    <xf numFmtId="168" fontId="18" fillId="5" borderId="3" xfId="0" applyNumberFormat="1" applyFont="1" applyFill="1" applyBorder="1" applyAlignment="1" applyProtection="1">
      <alignment horizontal="right"/>
      <protection locked="0"/>
    </xf>
    <xf numFmtId="168" fontId="18" fillId="5" borderId="4" xfId="0" applyNumberFormat="1" applyFont="1" applyFill="1" applyBorder="1" applyAlignment="1" applyProtection="1">
      <alignment horizontal="right"/>
      <protection locked="0"/>
    </xf>
    <xf numFmtId="168" fontId="18"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7" fillId="5" borderId="3" xfId="0" applyNumberFormat="1" applyFont="1" applyFill="1" applyBorder="1" applyAlignment="1" applyProtection="1">
      <alignment horizontal="left"/>
      <protection locked="0"/>
    </xf>
    <xf numFmtId="164" fontId="37" fillId="5" borderId="4" xfId="0" applyNumberFormat="1" applyFont="1" applyFill="1" applyBorder="1" applyAlignment="1" applyProtection="1">
      <alignment horizontal="left"/>
      <protection locked="0"/>
    </xf>
    <xf numFmtId="164" fontId="37" fillId="5" borderId="5" xfId="0" applyNumberFormat="1" applyFont="1" applyFill="1" applyBorder="1" applyAlignment="1" applyProtection="1">
      <alignment horizontal="left"/>
      <protection locked="0"/>
    </xf>
    <xf numFmtId="0" fontId="18" fillId="0" borderId="8" xfId="543" applyBorder="1" applyAlignment="1">
      <alignment horizontal="left" vertical="center" wrapText="1"/>
    </xf>
    <xf numFmtId="0" fontId="18" fillId="0" borderId="0" xfId="543" applyAlignment="1">
      <alignment horizontal="left" vertical="center" wrapText="1"/>
    </xf>
    <xf numFmtId="0" fontId="18" fillId="0" borderId="12" xfId="543" applyBorder="1" applyAlignment="1">
      <alignment horizontal="left" vertical="center" wrapText="1"/>
    </xf>
    <xf numFmtId="0" fontId="18" fillId="0" borderId="9" xfId="543" applyBorder="1" applyAlignment="1">
      <alignment horizontal="left" vertical="center" wrapText="1"/>
    </xf>
    <xf numFmtId="0" fontId="18" fillId="0" borderId="6" xfId="543" applyBorder="1" applyAlignment="1">
      <alignment horizontal="left" vertical="center" wrapText="1"/>
    </xf>
    <xf numFmtId="0" fontId="18" fillId="0" borderId="10" xfId="543" applyBorder="1" applyAlignment="1">
      <alignment horizontal="left" vertical="center" wrapText="1"/>
    </xf>
    <xf numFmtId="0" fontId="18" fillId="5" borderId="3" xfId="0" applyFont="1" applyFill="1" applyBorder="1" applyAlignment="1" applyProtection="1">
      <alignment horizontal="left"/>
      <protection locked="0"/>
    </xf>
    <xf numFmtId="0" fontId="18" fillId="5" borderId="4" xfId="0" applyFont="1" applyFill="1" applyBorder="1" applyAlignment="1" applyProtection="1">
      <alignment horizontal="left"/>
      <protection locked="0"/>
    </xf>
    <xf numFmtId="0" fontId="18" fillId="5" borderId="5" xfId="0" applyFon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7" fillId="0" borderId="0" xfId="0" applyFont="1" applyAlignment="1">
      <alignment horizontal="left" vertical="top" wrapText="1"/>
    </xf>
    <xf numFmtId="0" fontId="18" fillId="0" borderId="0" xfId="0" applyFont="1" applyAlignment="1">
      <alignment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57" fillId="0" borderId="0" xfId="0" applyFont="1" applyAlignment="1">
      <alignment horizontal="center" vertical="center" wrapText="1"/>
    </xf>
    <xf numFmtId="9" fontId="27" fillId="5" borderId="3" xfId="0" applyNumberFormat="1" applyFont="1" applyFill="1" applyBorder="1" applyAlignment="1" applyProtection="1">
      <alignment horizontal="center"/>
      <protection locked="0"/>
    </xf>
    <xf numFmtId="9" fontId="27" fillId="5" borderId="4" xfId="0" applyNumberFormat="1" applyFont="1" applyFill="1" applyBorder="1" applyAlignment="1" applyProtection="1">
      <alignment horizontal="center"/>
      <protection locked="0"/>
    </xf>
    <xf numFmtId="9" fontId="27" fillId="5" borderId="5" xfId="0" applyNumberFormat="1" applyFont="1" applyFill="1" applyBorder="1" applyAlignment="1" applyProtection="1">
      <alignment horizontal="center"/>
      <protection locked="0"/>
    </xf>
    <xf numFmtId="0" fontId="27" fillId="5" borderId="6" xfId="0" applyFont="1" applyFill="1" applyBorder="1" applyAlignment="1" applyProtection="1">
      <alignment horizontal="left"/>
      <protection locked="0"/>
    </xf>
    <xf numFmtId="0" fontId="25"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0" xfId="0" applyFont="1" applyAlignment="1">
      <alignment horizontal="center" vertical="center" wrapText="1"/>
    </xf>
    <xf numFmtId="0" fontId="25" fillId="0" borderId="1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0" xfId="0" applyFont="1" applyBorder="1" applyAlignment="1">
      <alignment horizontal="center" vertical="center" wrapText="1"/>
    </xf>
    <xf numFmtId="0" fontId="27" fillId="5" borderId="4" xfId="0" applyFont="1" applyFill="1" applyBorder="1" applyAlignment="1" applyProtection="1">
      <alignment horizontal="left"/>
      <protection locked="0"/>
    </xf>
    <xf numFmtId="175" fontId="18" fillId="43" borderId="3" xfId="0" applyNumberFormat="1" applyFont="1" applyFill="1" applyBorder="1" applyAlignment="1" applyProtection="1">
      <alignment horizontal="center"/>
      <protection locked="0"/>
    </xf>
    <xf numFmtId="175" fontId="18" fillId="43" borderId="4" xfId="0" applyNumberFormat="1" applyFont="1" applyFill="1" applyBorder="1" applyAlignment="1" applyProtection="1">
      <alignment horizontal="center"/>
      <protection locked="0"/>
    </xf>
    <xf numFmtId="175" fontId="18" fillId="43" borderId="5" xfId="0" applyNumberFormat="1" applyFon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0" fontId="27" fillId="0" borderId="1" xfId="0" applyFont="1" applyBorder="1" applyAlignment="1">
      <alignment horizontal="center" vertical="top" wrapText="1"/>
    </xf>
    <xf numFmtId="0" fontId="27" fillId="0" borderId="2" xfId="0" applyFont="1" applyBorder="1" applyAlignment="1">
      <alignment horizontal="center" vertical="top" wrapText="1"/>
    </xf>
    <xf numFmtId="0" fontId="27" fillId="0" borderId="7" xfId="0" applyFont="1" applyBorder="1" applyAlignment="1">
      <alignment horizontal="center" vertical="top" wrapText="1"/>
    </xf>
    <xf numFmtId="0" fontId="27" fillId="0" borderId="8" xfId="0" applyFont="1" applyBorder="1" applyAlignment="1">
      <alignment horizontal="center" vertical="top" wrapText="1"/>
    </xf>
    <xf numFmtId="0" fontId="27" fillId="0" borderId="0" xfId="0" applyFont="1" applyAlignment="1">
      <alignment horizontal="center" vertical="top" wrapText="1"/>
    </xf>
    <xf numFmtId="0" fontId="27" fillId="0" borderId="12" xfId="0" applyFont="1" applyBorder="1" applyAlignment="1">
      <alignment horizontal="center" vertical="top" wrapText="1"/>
    </xf>
    <xf numFmtId="0" fontId="27" fillId="0" borderId="9" xfId="0" applyFont="1" applyBorder="1" applyAlignment="1">
      <alignment horizontal="center" vertical="top" wrapText="1"/>
    </xf>
    <xf numFmtId="0" fontId="27" fillId="0" borderId="6" xfId="0" applyFont="1" applyBorder="1" applyAlignment="1">
      <alignment horizontal="center" vertical="top" wrapText="1"/>
    </xf>
    <xf numFmtId="0" fontId="27" fillId="0" borderId="10" xfId="0" applyFont="1" applyBorder="1" applyAlignment="1">
      <alignment horizontal="center" vertical="top" wrapText="1"/>
    </xf>
    <xf numFmtId="0" fontId="51" fillId="0" borderId="0" xfId="0" applyFont="1" applyAlignment="1">
      <alignment horizontal="center"/>
    </xf>
    <xf numFmtId="0" fontId="18" fillId="0" borderId="0" xfId="0" applyFont="1" applyAlignment="1">
      <alignment horizontal="center"/>
    </xf>
    <xf numFmtId="0" fontId="33" fillId="0" borderId="0" xfId="0" applyFont="1" applyAlignment="1">
      <alignment horizontal="center"/>
    </xf>
    <xf numFmtId="0" fontId="18" fillId="0" borderId="0" xfId="0" applyFont="1" applyAlignment="1">
      <alignment horizontal="center" vertical="top"/>
    </xf>
    <xf numFmtId="0" fontId="18" fillId="5" borderId="6" xfId="0" applyFont="1" applyFill="1" applyBorder="1" applyAlignment="1" applyProtection="1">
      <alignment horizontal="left"/>
      <protection locked="0"/>
    </xf>
    <xf numFmtId="168" fontId="27" fillId="0" borderId="6" xfId="0" applyNumberFormat="1" applyFont="1" applyBorder="1" applyAlignment="1">
      <alignment horizontal="center"/>
    </xf>
    <xf numFmtId="0" fontId="18" fillId="5" borderId="6" xfId="0" applyFont="1" applyFill="1" applyBorder="1" applyAlignment="1" applyProtection="1">
      <alignment horizontal="left" wrapText="1"/>
      <protection locked="0"/>
    </xf>
    <xf numFmtId="0" fontId="27" fillId="5" borderId="6" xfId="0" applyFont="1" applyFill="1" applyBorder="1" applyAlignment="1" applyProtection="1">
      <alignment horizontal="left" wrapText="1"/>
      <protection locked="0"/>
    </xf>
    <xf numFmtId="0" fontId="26" fillId="0" borderId="0" xfId="0" applyFont="1" applyAlignment="1">
      <alignment horizontal="center"/>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5" fillId="0" borderId="11" xfId="0" applyFont="1" applyBorder="1" applyAlignment="1">
      <alignment horizontal="center" vertical="center" wrapText="1"/>
    </xf>
    <xf numFmtId="0" fontId="18" fillId="5" borderId="4" xfId="0" applyFont="1" applyFill="1" applyBorder="1" applyAlignment="1" applyProtection="1">
      <alignment wrapText="1"/>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0" fillId="0" borderId="6" xfId="0" applyBorder="1" applyAlignment="1">
      <alignment horizontal="lef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6" fontId="18" fillId="5" borderId="4" xfId="0" applyNumberFormat="1" applyFont="1" applyFill="1" applyBorder="1" applyAlignment="1" applyProtection="1">
      <alignment horizontal="left"/>
      <protection locked="0"/>
    </xf>
    <xf numFmtId="166" fontId="27" fillId="5" borderId="4" xfId="0" applyNumberFormat="1"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18" fillId="5" borderId="11" xfId="0" applyFont="1" applyFill="1" applyBorder="1" applyAlignment="1" applyProtection="1">
      <alignment horizontal="left" vertical="center" wrapText="1"/>
      <protection locked="0"/>
    </xf>
    <xf numFmtId="180" fontId="26" fillId="43" borderId="3" xfId="0" applyNumberFormat="1" applyFont="1" applyFill="1" applyBorder="1" applyAlignment="1" applyProtection="1">
      <alignment horizontal="center" vertical="center"/>
      <protection locked="0"/>
    </xf>
    <xf numFmtId="180" fontId="26" fillId="43" borderId="4" xfId="0" applyNumberFormat="1" applyFont="1" applyFill="1" applyBorder="1" applyAlignment="1" applyProtection="1">
      <alignment horizontal="center" vertical="center"/>
      <protection locked="0"/>
    </xf>
    <xf numFmtId="180" fontId="26"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4" fillId="3" borderId="0" xfId="0" applyFont="1" applyFill="1" applyAlignment="1">
      <alignment horizontal="center" vertical="center"/>
    </xf>
    <xf numFmtId="166" fontId="18" fillId="5" borderId="6" xfId="0" applyNumberFormat="1" applyFont="1" applyFill="1" applyBorder="1" applyAlignment="1" applyProtection="1">
      <alignment horizontal="left"/>
      <protection locked="0"/>
    </xf>
    <xf numFmtId="166" fontId="27" fillId="5" borderId="6" xfId="0" applyNumberFormat="1" applyFont="1" applyFill="1" applyBorder="1" applyAlignment="1" applyProtection="1">
      <alignment horizontal="left"/>
      <protection locked="0"/>
    </xf>
    <xf numFmtId="0" fontId="27" fillId="5" borderId="4" xfId="0" applyFont="1" applyFill="1" applyBorder="1" applyAlignment="1" applyProtection="1">
      <alignment wrapText="1"/>
      <protection locked="0"/>
    </xf>
    <xf numFmtId="0" fontId="27" fillId="2" borderId="11" xfId="0" applyFont="1" applyFill="1" applyBorder="1" applyAlignment="1">
      <alignment horizontal="center"/>
    </xf>
    <xf numFmtId="1" fontId="27" fillId="5" borderId="3" xfId="0" applyNumberFormat="1" applyFont="1" applyFill="1" applyBorder="1" applyAlignment="1" applyProtection="1">
      <alignment horizontal="right" vertical="top"/>
      <protection locked="0"/>
    </xf>
    <xf numFmtId="1" fontId="27" fillId="5" borderId="4" xfId="0" applyNumberFormat="1" applyFont="1" applyFill="1" applyBorder="1" applyAlignment="1" applyProtection="1">
      <alignment horizontal="right" vertical="top"/>
      <protection locked="0"/>
    </xf>
    <xf numFmtId="1" fontId="27" fillId="5" borderId="5" xfId="0" applyNumberFormat="1" applyFont="1" applyFill="1" applyBorder="1" applyAlignment="1" applyProtection="1">
      <alignment horizontal="right" vertical="top"/>
      <protection locked="0"/>
    </xf>
    <xf numFmtId="0" fontId="0" fillId="0" borderId="11" xfId="0" applyBorder="1" applyAlignment="1">
      <alignment horizontal="center"/>
    </xf>
    <xf numFmtId="0" fontId="27" fillId="45" borderId="11" xfId="0" applyFont="1" applyFill="1" applyBorder="1" applyAlignment="1">
      <alignment horizontal="center"/>
    </xf>
    <xf numFmtId="0" fontId="25" fillId="0" borderId="3" xfId="0" applyFont="1" applyBorder="1" applyAlignment="1">
      <alignment horizontal="right"/>
    </xf>
    <xf numFmtId="0" fontId="25" fillId="0" borderId="4" xfId="0" applyFont="1" applyBorder="1" applyAlignment="1">
      <alignment horizontal="right"/>
    </xf>
    <xf numFmtId="0" fontId="25" fillId="0" borderId="5" xfId="0" applyFont="1" applyBorder="1" applyAlignment="1">
      <alignment horizontal="right"/>
    </xf>
    <xf numFmtId="180" fontId="0" fillId="0" borderId="6" xfId="0" applyNumberFormat="1" applyBorder="1" applyAlignment="1">
      <alignment horizontal="center"/>
    </xf>
    <xf numFmtId="0" fontId="18" fillId="0" borderId="11" xfId="543" applyBorder="1" applyAlignment="1">
      <alignment horizontal="center"/>
    </xf>
    <xf numFmtId="0" fontId="27" fillId="45" borderId="3" xfId="0" applyFont="1" applyFill="1" applyBorder="1" applyAlignment="1">
      <alignment horizontal="center"/>
    </xf>
    <xf numFmtId="0" fontId="27" fillId="45" borderId="4" xfId="0" applyFont="1" applyFill="1" applyBorder="1" applyAlignment="1">
      <alignment horizontal="center"/>
    </xf>
    <xf numFmtId="0" fontId="27" fillId="45" borderId="5" xfId="0" applyFont="1" applyFill="1" applyBorder="1" applyAlignment="1">
      <alignment horizontal="center"/>
    </xf>
    <xf numFmtId="0" fontId="18" fillId="0" borderId="3" xfId="0" applyFont="1" applyBorder="1" applyAlignment="1">
      <alignment horizontal="center"/>
    </xf>
    <xf numFmtId="0" fontId="18" fillId="0" borderId="5" xfId="0" applyFont="1" applyBorder="1" applyAlignment="1">
      <alignment horizontal="center"/>
    </xf>
    <xf numFmtId="0" fontId="27" fillId="0" borderId="3" xfId="0" applyFont="1" applyBorder="1" applyAlignment="1">
      <alignment horizontal="center"/>
    </xf>
    <xf numFmtId="0" fontId="27" fillId="0" borderId="5" xfId="0" applyFont="1" applyBorder="1" applyAlignment="1">
      <alignment horizontal="center"/>
    </xf>
    <xf numFmtId="0" fontId="18" fillId="0" borderId="11" xfId="0" applyFont="1" applyBorder="1" applyAlignment="1">
      <alignment horizontal="center"/>
    </xf>
    <xf numFmtId="10" fontId="0" fillId="5" borderId="4" xfId="0" applyNumberFormat="1" applyFill="1" applyBorder="1" applyAlignment="1" applyProtection="1">
      <alignment horizontal="center"/>
      <protection locked="0"/>
    </xf>
    <xf numFmtId="0" fontId="18" fillId="0" borderId="4" xfId="0" applyFont="1" applyBorder="1" applyAlignment="1">
      <alignment horizontal="center"/>
    </xf>
    <xf numFmtId="0" fontId="27" fillId="0" borderId="4" xfId="0" applyFont="1" applyBorder="1" applyAlignment="1">
      <alignment horizontal="center"/>
    </xf>
    <xf numFmtId="0" fontId="41" fillId="0" borderId="3" xfId="0" applyFont="1" applyBorder="1" applyAlignment="1">
      <alignment horizontal="center"/>
    </xf>
    <xf numFmtId="0" fontId="41" fillId="0" borderId="4" xfId="0" applyFont="1" applyBorder="1" applyAlignment="1">
      <alignment horizontal="center"/>
    </xf>
    <xf numFmtId="0" fontId="41" fillId="0" borderId="5" xfId="0" applyFont="1" applyBorder="1" applyAlignment="1">
      <alignment horizontal="center"/>
    </xf>
    <xf numFmtId="0" fontId="18" fillId="2" borderId="3" xfId="543" applyFill="1" applyBorder="1" applyAlignment="1">
      <alignment horizontal="center"/>
    </xf>
    <xf numFmtId="0" fontId="18" fillId="2" borderId="4" xfId="543" applyFill="1" applyBorder="1" applyAlignment="1">
      <alignment horizontal="center"/>
    </xf>
    <xf numFmtId="0" fontId="18" fillId="2" borderId="5" xfId="543" applyFill="1" applyBorder="1" applyAlignment="1">
      <alignment horizontal="center"/>
    </xf>
    <xf numFmtId="0" fontId="25" fillId="0" borderId="8" xfId="543" applyFont="1" applyBorder="1" applyAlignment="1">
      <alignment horizontal="left" vertical="center" wrapText="1"/>
    </xf>
    <xf numFmtId="0" fontId="25" fillId="0" borderId="0" xfId="543" applyFont="1" applyAlignment="1">
      <alignment horizontal="left" vertical="center" wrapText="1"/>
    </xf>
    <xf numFmtId="0" fontId="25" fillId="0" borderId="12" xfId="543" applyFont="1" applyBorder="1" applyAlignment="1">
      <alignment horizontal="left" vertical="center" wrapText="1"/>
    </xf>
    <xf numFmtId="0" fontId="25" fillId="10" borderId="3" xfId="543" applyFont="1" applyFill="1" applyBorder="1" applyAlignment="1">
      <alignment horizontal="center"/>
    </xf>
    <xf numFmtId="0" fontId="25" fillId="10" borderId="4" xfId="543" applyFont="1" applyFill="1" applyBorder="1" applyAlignment="1">
      <alignment horizontal="center"/>
    </xf>
    <xf numFmtId="0" fontId="25" fillId="10" borderId="5" xfId="543" applyFont="1" applyFill="1" applyBorder="1" applyAlignment="1">
      <alignment horizontal="center"/>
    </xf>
    <xf numFmtId="0" fontId="37" fillId="5" borderId="3" xfId="543" applyFont="1" applyFill="1" applyBorder="1" applyAlignment="1" applyProtection="1">
      <alignment horizontal="center" vertical="top"/>
      <protection locked="0"/>
    </xf>
    <xf numFmtId="0" fontId="37" fillId="5" borderId="5" xfId="543" applyFont="1" applyFill="1" applyBorder="1" applyAlignment="1" applyProtection="1">
      <alignment horizontal="center" vertical="top"/>
      <protection locked="0"/>
    </xf>
    <xf numFmtId="0" fontId="37" fillId="5" borderId="3" xfId="543" applyFont="1" applyFill="1" applyBorder="1" applyAlignment="1" applyProtection="1">
      <alignment horizontal="center"/>
      <protection locked="0"/>
    </xf>
    <xf numFmtId="0" fontId="37" fillId="5" borderId="5" xfId="543" applyFont="1" applyFill="1" applyBorder="1" applyAlignment="1" applyProtection="1">
      <alignment horizontal="center"/>
      <protection locked="0"/>
    </xf>
    <xf numFmtId="0" fontId="54" fillId="5" borderId="3" xfId="0" applyFont="1" applyFill="1" applyBorder="1" applyAlignment="1" applyProtection="1">
      <alignment horizontal="right"/>
      <protection locked="0"/>
    </xf>
    <xf numFmtId="0" fontId="54" fillId="5" borderId="4" xfId="0" applyFont="1" applyFill="1" applyBorder="1" applyAlignment="1" applyProtection="1">
      <alignment horizontal="right"/>
      <protection locked="0"/>
    </xf>
    <xf numFmtId="0" fontId="54" fillId="5" borderId="5" xfId="0" applyFon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18" fillId="5" borderId="3" xfId="0" applyNumberFormat="1" applyFont="1" applyFill="1" applyBorder="1" applyAlignment="1" applyProtection="1">
      <alignment horizontal="right"/>
      <protection locked="0"/>
    </xf>
    <xf numFmtId="0" fontId="18" fillId="0" borderId="3" xfId="543" applyBorder="1" applyAlignment="1">
      <alignment horizontal="center"/>
    </xf>
    <xf numFmtId="0" fontId="18" fillId="0" borderId="4" xfId="543" applyBorder="1" applyAlignment="1">
      <alignment horizontal="center"/>
    </xf>
    <xf numFmtId="0" fontId="18" fillId="0" borderId="5" xfId="543" applyBorder="1" applyAlignment="1">
      <alignment horizontal="center"/>
    </xf>
    <xf numFmtId="168" fontId="18"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 fontId="27" fillId="5" borderId="11" xfId="0" applyNumberFormat="1" applyFont="1" applyFill="1" applyBorder="1" applyAlignment="1" applyProtection="1">
      <alignment horizontal="center"/>
      <protection locked="0"/>
    </xf>
    <xf numFmtId="168" fontId="25" fillId="0" borderId="3" xfId="543" applyNumberFormat="1" applyFont="1" applyBorder="1" applyAlignment="1">
      <alignment horizontal="center" vertical="center"/>
    </xf>
    <xf numFmtId="168" fontId="25" fillId="0" borderId="4" xfId="543" applyNumberFormat="1" applyFont="1" applyBorder="1" applyAlignment="1">
      <alignment horizontal="center" vertical="center"/>
    </xf>
    <xf numFmtId="168" fontId="25" fillId="0" borderId="5" xfId="543" applyNumberFormat="1" applyFont="1" applyBorder="1" applyAlignment="1">
      <alignment horizontal="center" vertical="center"/>
    </xf>
    <xf numFmtId="0" fontId="18" fillId="0" borderId="8" xfId="0" applyFont="1" applyBorder="1" applyAlignment="1">
      <alignment horizontal="left" wrapText="1"/>
    </xf>
    <xf numFmtId="0" fontId="18" fillId="0" borderId="12" xfId="0" applyFont="1" applyBorder="1" applyAlignment="1">
      <alignment horizontal="left" wrapText="1"/>
    </xf>
    <xf numFmtId="0" fontId="18" fillId="0" borderId="9" xfId="0" applyFont="1" applyBorder="1" applyAlignment="1">
      <alignment horizontal="left" wrapText="1"/>
    </xf>
    <xf numFmtId="0" fontId="18" fillId="0" borderId="6" xfId="0" applyFont="1" applyBorder="1" applyAlignment="1">
      <alignment horizontal="left" wrapText="1"/>
    </xf>
    <xf numFmtId="0" fontId="18" fillId="0" borderId="10" xfId="0" applyFont="1" applyBorder="1" applyAlignment="1">
      <alignment horizontal="left" wrapText="1"/>
    </xf>
    <xf numFmtId="0" fontId="18" fillId="0" borderId="8" xfId="543" applyBorder="1" applyAlignment="1">
      <alignment horizontal="left" vertical="top" wrapText="1"/>
    </xf>
    <xf numFmtId="0" fontId="18" fillId="0" borderId="0" xfId="543" applyAlignment="1">
      <alignment horizontal="left" vertical="top" wrapText="1"/>
    </xf>
    <xf numFmtId="0" fontId="18" fillId="0" borderId="12" xfId="543" applyBorder="1" applyAlignment="1">
      <alignment horizontal="left" vertical="top" wrapText="1"/>
    </xf>
    <xf numFmtId="0" fontId="18" fillId="0" borderId="9" xfId="543" applyBorder="1" applyAlignment="1">
      <alignment horizontal="left" vertical="top" wrapText="1"/>
    </xf>
    <xf numFmtId="0" fontId="18" fillId="0" borderId="6" xfId="543" applyBorder="1" applyAlignment="1">
      <alignment horizontal="left" vertical="top" wrapText="1"/>
    </xf>
    <xf numFmtId="0" fontId="18" fillId="0" borderId="10" xfId="543" applyBorder="1" applyAlignment="1">
      <alignment horizontal="left" vertical="top" wrapText="1"/>
    </xf>
    <xf numFmtId="0" fontId="0" fillId="0" borderId="9" xfId="0" applyBorder="1" applyAlignment="1">
      <alignment horizontal="left"/>
    </xf>
    <xf numFmtId="0" fontId="39" fillId="0" borderId="3" xfId="543" applyFont="1" applyBorder="1" applyAlignment="1">
      <alignment horizontal="center"/>
    </xf>
    <xf numFmtId="0" fontId="39" fillId="0" borderId="4" xfId="543" applyFont="1" applyBorder="1" applyAlignment="1">
      <alignment horizontal="center"/>
    </xf>
    <xf numFmtId="0" fontId="39" fillId="0" borderId="5" xfId="543" applyFont="1" applyBorder="1" applyAlignment="1">
      <alignment horizontal="center"/>
    </xf>
    <xf numFmtId="182" fontId="26" fillId="43" borderId="11" xfId="8721" applyNumberFormat="1" applyFont="1" applyFill="1" applyBorder="1" applyAlignment="1" applyProtection="1">
      <alignment horizontal="center" vertical="center" wrapText="1"/>
      <protection locked="0"/>
    </xf>
    <xf numFmtId="0" fontId="153" fillId="0" borderId="8" xfId="543" applyFont="1" applyBorder="1" applyAlignment="1">
      <alignment horizontal="center" vertical="center" wrapText="1"/>
    </xf>
    <xf numFmtId="0" fontId="153" fillId="0" borderId="0" xfId="543" applyFont="1" applyAlignment="1">
      <alignment horizontal="center" vertical="center" wrapText="1"/>
    </xf>
    <xf numFmtId="0" fontId="153" fillId="0" borderId="12" xfId="543" applyFont="1" applyBorder="1" applyAlignment="1">
      <alignment horizontal="center" vertical="center" wrapText="1"/>
    </xf>
    <xf numFmtId="0" fontId="26" fillId="5" borderId="3" xfId="543" applyFont="1"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0" fontId="38" fillId="0" borderId="4" xfId="543" applyFont="1" applyBorder="1" applyAlignment="1">
      <alignment horizontal="right" vertical="top" wrapText="1"/>
    </xf>
    <xf numFmtId="0" fontId="38" fillId="0" borderId="5" xfId="543" applyFont="1" applyBorder="1" applyAlignment="1">
      <alignment horizontal="right" vertical="top" wrapText="1"/>
    </xf>
    <xf numFmtId="0" fontId="26" fillId="0" borderId="3" xfId="543" applyFont="1" applyBorder="1" applyAlignment="1">
      <alignment horizontal="center"/>
    </xf>
    <xf numFmtId="0" fontId="26" fillId="0" borderId="5" xfId="543" applyFont="1" applyBorder="1" applyAlignment="1">
      <alignment horizontal="center"/>
    </xf>
    <xf numFmtId="1" fontId="26" fillId="0" borderId="3" xfId="543" applyNumberFormat="1" applyFont="1" applyBorder="1" applyAlignment="1">
      <alignment horizontal="center"/>
    </xf>
    <xf numFmtId="1" fontId="26" fillId="0" borderId="5" xfId="543" applyNumberFormat="1" applyFont="1" applyBorder="1" applyAlignment="1">
      <alignment horizontal="center"/>
    </xf>
    <xf numFmtId="0" fontId="37" fillId="0" borderId="3" xfId="543" applyFont="1" applyBorder="1" applyAlignment="1">
      <alignment horizontal="center"/>
    </xf>
    <xf numFmtId="0" fontId="37" fillId="0" borderId="5" xfId="543" applyFont="1" applyBorder="1" applyAlignment="1">
      <alignment horizontal="center"/>
    </xf>
    <xf numFmtId="0" fontId="25" fillId="0" borderId="1" xfId="543" applyFont="1" applyBorder="1" applyAlignment="1">
      <alignment horizontal="left" vertical="center" wrapText="1"/>
    </xf>
    <xf numFmtId="0" fontId="25" fillId="0" borderId="2" xfId="543" applyFont="1" applyBorder="1" applyAlignment="1">
      <alignment horizontal="left" vertical="center" wrapText="1"/>
    </xf>
    <xf numFmtId="0" fontId="25" fillId="0" borderId="7" xfId="543" applyFont="1" applyBorder="1" applyAlignment="1">
      <alignment horizontal="left" vertical="center" wrapText="1"/>
    </xf>
    <xf numFmtId="0" fontId="38" fillId="0" borderId="1" xfId="543" applyFont="1" applyBorder="1" applyAlignment="1">
      <alignment horizontal="right"/>
    </xf>
    <xf numFmtId="0" fontId="38" fillId="0" borderId="2" xfId="543" applyFont="1" applyBorder="1" applyAlignment="1">
      <alignment horizontal="right"/>
    </xf>
    <xf numFmtId="0" fontId="38" fillId="0" borderId="7" xfId="543" applyFont="1" applyBorder="1" applyAlignment="1">
      <alignment horizontal="right"/>
    </xf>
    <xf numFmtId="0" fontId="37" fillId="5" borderId="9" xfId="543" applyFont="1" applyFill="1" applyBorder="1" applyAlignment="1" applyProtection="1">
      <alignment horizontal="center"/>
      <protection locked="0"/>
    </xf>
    <xf numFmtId="0" fontId="37" fillId="5" borderId="10" xfId="543" applyFont="1" applyFill="1" applyBorder="1" applyAlignment="1" applyProtection="1">
      <alignment horizontal="center"/>
      <protection locked="0"/>
    </xf>
    <xf numFmtId="0" fontId="45" fillId="0" borderId="8" xfId="543" applyFont="1" applyBorder="1" applyAlignment="1">
      <alignment horizontal="center" vertical="center" wrapText="1"/>
    </xf>
    <xf numFmtId="0" fontId="45" fillId="0" borderId="0" xfId="543" applyFont="1" applyAlignment="1">
      <alignment horizontal="center" vertical="center" wrapText="1"/>
    </xf>
    <xf numFmtId="0" fontId="45" fillId="0" borderId="12" xfId="543" applyFont="1" applyBorder="1" applyAlignment="1">
      <alignment horizontal="center" vertical="center" wrapText="1"/>
    </xf>
    <xf numFmtId="0" fontId="25" fillId="0" borderId="1" xfId="0" applyFont="1" applyBorder="1" applyAlignment="1">
      <alignment horizontal="center" wrapText="1"/>
    </xf>
    <xf numFmtId="0" fontId="25" fillId="0" borderId="2" xfId="0" applyFont="1" applyBorder="1" applyAlignment="1">
      <alignment horizontal="center" wrapText="1"/>
    </xf>
    <xf numFmtId="168" fontId="18"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6" fillId="5" borderId="3" xfId="0" applyNumberFormat="1" applyFont="1" applyFill="1" applyBorder="1" applyAlignment="1" applyProtection="1">
      <alignment horizontal="left"/>
      <protection locked="0"/>
    </xf>
    <xf numFmtId="164" fontId="26" fillId="5" borderId="4" xfId="0" applyNumberFormat="1" applyFont="1" applyFill="1" applyBorder="1" applyAlignment="1" applyProtection="1">
      <alignment horizontal="left"/>
      <protection locked="0"/>
    </xf>
    <xf numFmtId="164" fontId="26" fillId="5" borderId="5" xfId="0" applyNumberFormat="1" applyFont="1" applyFill="1" applyBorder="1" applyAlignment="1" applyProtection="1">
      <alignment horizontal="left"/>
      <protection locked="0"/>
    </xf>
    <xf numFmtId="0" fontId="25" fillId="0" borderId="3" xfId="543" applyFont="1" applyBorder="1" applyAlignment="1">
      <alignment horizontal="right"/>
    </xf>
    <xf numFmtId="0" fontId="25" fillId="0" borderId="4" xfId="543" applyFont="1" applyBorder="1" applyAlignment="1">
      <alignment horizontal="right"/>
    </xf>
    <xf numFmtId="0" fontId="25" fillId="0" borderId="5" xfId="543" applyFont="1" applyBorder="1" applyAlignment="1">
      <alignment horizontal="right"/>
    </xf>
    <xf numFmtId="0" fontId="18" fillId="5" borderId="3" xfId="543" applyFill="1" applyBorder="1" applyAlignment="1" applyProtection="1">
      <alignment horizontal="left" vertical="top" wrapText="1"/>
      <protection locked="0"/>
    </xf>
    <xf numFmtId="0" fontId="27" fillId="5" borderId="4" xfId="543" applyFont="1" applyFill="1" applyBorder="1" applyAlignment="1" applyProtection="1">
      <alignment horizontal="left" vertical="top" wrapText="1"/>
      <protection locked="0"/>
    </xf>
    <xf numFmtId="0" fontId="27" fillId="5" borderId="5" xfId="543" applyFont="1" applyFill="1" applyBorder="1" applyAlignment="1" applyProtection="1">
      <alignment horizontal="left" vertical="top" wrapText="1"/>
      <protection locked="0"/>
    </xf>
    <xf numFmtId="0" fontId="26" fillId="5" borderId="3" xfId="0" applyFont="1" applyFill="1" applyBorder="1" applyAlignment="1" applyProtection="1">
      <alignment horizontal="left"/>
      <protection locked="0"/>
    </xf>
    <xf numFmtId="0" fontId="26" fillId="5" borderId="4" xfId="0" applyFont="1" applyFill="1" applyBorder="1" applyAlignment="1" applyProtection="1">
      <alignment horizontal="left"/>
      <protection locked="0"/>
    </xf>
    <xf numFmtId="0" fontId="26" fillId="5" borderId="5" xfId="0" applyFont="1"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5" fontId="25" fillId="0" borderId="3" xfId="271" applyNumberFormat="1" applyFont="1" applyBorder="1" applyAlignment="1">
      <alignment horizontal="center"/>
    </xf>
    <xf numFmtId="165" fontId="25" fillId="0" borderId="4" xfId="271" applyNumberFormat="1" applyFont="1" applyBorder="1" applyAlignment="1">
      <alignment horizontal="center"/>
    </xf>
    <xf numFmtId="165" fontId="25" fillId="0" borderId="5" xfId="271" applyNumberFormat="1" applyFont="1" applyBorder="1" applyAlignment="1">
      <alignment horizontal="center"/>
    </xf>
    <xf numFmtId="0" fontId="18" fillId="5" borderId="11" xfId="0" applyFont="1" applyFill="1" applyBorder="1" applyAlignment="1" applyProtection="1">
      <alignment horizontal="left" wrapText="1"/>
      <protection locked="0"/>
    </xf>
    <xf numFmtId="0" fontId="25" fillId="0" borderId="9" xfId="0" applyFont="1" applyBorder="1" applyAlignment="1">
      <alignment horizontal="right"/>
    </xf>
    <xf numFmtId="0" fontId="25" fillId="0" borderId="6" xfId="0" applyFont="1" applyBorder="1" applyAlignment="1">
      <alignment horizontal="right"/>
    </xf>
    <xf numFmtId="0" fontId="25" fillId="0" borderId="10" xfId="0" applyFont="1" applyBorder="1" applyAlignment="1">
      <alignment horizontal="right"/>
    </xf>
    <xf numFmtId="0" fontId="25" fillId="0" borderId="11" xfId="0" applyFont="1" applyBorder="1" applyAlignment="1">
      <alignment horizontal="center"/>
    </xf>
    <xf numFmtId="168" fontId="0" fillId="5" borderId="11" xfId="0" applyNumberFormat="1" applyFill="1" applyBorder="1" applyAlignment="1" applyProtection="1">
      <alignment horizontal="center"/>
      <protection locked="0"/>
    </xf>
    <xf numFmtId="168" fontId="18" fillId="5" borderId="3" xfId="0" applyNumberFormat="1" applyFont="1" applyFill="1" applyBorder="1" applyAlignment="1" applyProtection="1">
      <alignment horizontal="left"/>
      <protection locked="0"/>
    </xf>
    <xf numFmtId="168" fontId="18" fillId="5" borderId="4" xfId="0" applyNumberFormat="1" applyFont="1" applyFill="1" applyBorder="1" applyAlignment="1" applyProtection="1">
      <alignment horizontal="left"/>
      <protection locked="0"/>
    </xf>
    <xf numFmtId="168" fontId="18" fillId="5" borderId="5" xfId="0" applyNumberFormat="1" applyFont="1" applyFill="1"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168" fontId="18" fillId="5" borderId="3" xfId="0" applyNumberFormat="1" applyFont="1" applyFill="1" applyBorder="1" applyAlignment="1" applyProtection="1">
      <alignment horizontal="center"/>
      <protection locked="0"/>
    </xf>
    <xf numFmtId="0" fontId="18" fillId="0" borderId="0" xfId="543" applyAlignment="1">
      <alignment horizontal="center"/>
    </xf>
    <xf numFmtId="2" fontId="18"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5" fillId="5" borderId="3" xfId="0" applyFont="1" applyFill="1" applyBorder="1" applyAlignment="1" applyProtection="1">
      <alignment horizontal="right"/>
      <protection locked="0"/>
    </xf>
    <xf numFmtId="0" fontId="25" fillId="5" borderId="4" xfId="0" applyFont="1" applyFill="1" applyBorder="1" applyAlignment="1" applyProtection="1">
      <alignment horizontal="right"/>
      <protection locked="0"/>
    </xf>
    <xf numFmtId="0" fontId="25" fillId="5" borderId="5" xfId="0"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0" fontId="25" fillId="0" borderId="6" xfId="0" applyFont="1" applyBorder="1" applyAlignment="1">
      <alignment horizontal="center"/>
    </xf>
    <xf numFmtId="0" fontId="18" fillId="0" borderId="3" xfId="0" applyFont="1" applyBorder="1"/>
    <xf numFmtId="0" fontId="18" fillId="0" borderId="4" xfId="0" applyFont="1" applyBorder="1"/>
    <xf numFmtId="0" fontId="18" fillId="0" borderId="5" xfId="0" applyFont="1" applyBorder="1"/>
    <xf numFmtId="168" fontId="0" fillId="5" borderId="11" xfId="0" applyNumberFormat="1" applyFill="1" applyBorder="1" applyProtection="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7" fillId="0" borderId="3" xfId="0" applyFont="1" applyBorder="1" applyAlignment="1">
      <alignment horizontal="left"/>
    </xf>
    <xf numFmtId="0" fontId="25" fillId="0" borderId="1" xfId="0" applyFont="1" applyBorder="1" applyAlignment="1">
      <alignment horizontal="center"/>
    </xf>
    <xf numFmtId="0" fontId="25" fillId="0" borderId="2" xfId="0" applyFont="1" applyBorder="1" applyAlignment="1">
      <alignment horizontal="center"/>
    </xf>
    <xf numFmtId="0" fontId="25" fillId="0" borderId="7" xfId="0" applyFont="1" applyBorder="1" applyAlignment="1">
      <alignment horizontal="center"/>
    </xf>
    <xf numFmtId="0" fontId="37" fillId="5" borderId="3" xfId="543" applyFont="1" applyFill="1" applyBorder="1" applyAlignment="1">
      <alignment horizontal="center"/>
    </xf>
    <xf numFmtId="0" fontId="37" fillId="5" borderId="4" xfId="543" applyFont="1" applyFill="1" applyBorder="1" applyAlignment="1">
      <alignment horizontal="center"/>
    </xf>
    <xf numFmtId="0" fontId="37" fillId="5" borderId="5" xfId="543" applyFont="1" applyFill="1" applyBorder="1" applyAlignment="1">
      <alignment horizontal="center"/>
    </xf>
    <xf numFmtId="49" fontId="18" fillId="5" borderId="3" xfId="543" applyNumberFormat="1" applyFill="1" applyBorder="1" applyAlignment="1">
      <alignment horizontal="center"/>
    </xf>
    <xf numFmtId="49" fontId="18" fillId="5" borderId="5" xfId="543" applyNumberFormat="1" applyFill="1" applyBorder="1" applyAlignment="1">
      <alignment horizontal="center"/>
    </xf>
    <xf numFmtId="0" fontId="18" fillId="0" borderId="1" xfId="0" applyFont="1" applyBorder="1" applyAlignment="1">
      <alignment horizontal="center" vertical="top" wrapText="1"/>
    </xf>
    <xf numFmtId="171" fontId="18" fillId="0" borderId="0" xfId="543" applyNumberFormat="1" applyAlignment="1">
      <alignment horizontal="center"/>
    </xf>
    <xf numFmtId="0" fontId="55" fillId="0" borderId="1" xfId="0" applyFont="1" applyBorder="1" applyAlignment="1">
      <alignment horizontal="center" vertical="center" wrapText="1"/>
    </xf>
    <xf numFmtId="0" fontId="55" fillId="0" borderId="2" xfId="0" applyFont="1" applyBorder="1" applyAlignment="1">
      <alignment horizontal="center" vertical="center" wrapText="1"/>
    </xf>
    <xf numFmtId="0" fontId="55" fillId="0" borderId="7"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0" xfId="0" applyFont="1" applyAlignment="1">
      <alignment horizontal="center" vertical="center" wrapText="1"/>
    </xf>
    <xf numFmtId="0" fontId="55" fillId="0" borderId="12" xfId="0" applyFont="1" applyBorder="1" applyAlignment="1">
      <alignment horizontal="center" vertical="center" wrapText="1"/>
    </xf>
    <xf numFmtId="0" fontId="55" fillId="0" borderId="9"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10" xfId="0" applyFont="1" applyBorder="1" applyAlignment="1">
      <alignment horizontal="center" vertical="center" wrapText="1"/>
    </xf>
    <xf numFmtId="172" fontId="25" fillId="0" borderId="11" xfId="0" applyNumberFormat="1" applyFont="1" applyBorder="1" applyAlignment="1">
      <alignment horizontal="center" vertical="center" wrapText="1"/>
    </xf>
    <xf numFmtId="0" fontId="0" fillId="43" borderId="4" xfId="0" applyFill="1" applyBorder="1" applyAlignment="1" applyProtection="1">
      <alignment horizontal="center"/>
      <protection locked="0"/>
    </xf>
    <xf numFmtId="0" fontId="25" fillId="0" borderId="11" xfId="0" applyFont="1" applyBorder="1" applyAlignment="1">
      <alignment horizontal="center" vertical="center"/>
    </xf>
    <xf numFmtId="175" fontId="0" fillId="5" borderId="4" xfId="0" applyNumberFormat="1" applyFill="1" applyBorder="1" applyAlignment="1" applyProtection="1">
      <alignment horizontal="left" vertical="center" wrapText="1"/>
      <protection locked="0"/>
    </xf>
    <xf numFmtId="0" fontId="18" fillId="5" borderId="11" xfId="0" applyFont="1" applyFill="1" applyBorder="1" applyAlignment="1" applyProtection="1">
      <alignment vertical="center" wrapText="1"/>
      <protection locked="0"/>
    </xf>
    <xf numFmtId="175" fontId="18" fillId="43" borderId="3" xfId="0" applyNumberFormat="1" applyFont="1" applyFill="1" applyBorder="1" applyAlignment="1" applyProtection="1">
      <alignment horizontal="center" vertical="center"/>
      <protection locked="0"/>
    </xf>
    <xf numFmtId="175" fontId="18" fillId="43" borderId="4" xfId="0" applyNumberFormat="1" applyFont="1" applyFill="1" applyBorder="1" applyAlignment="1" applyProtection="1">
      <alignment horizontal="center" vertical="center"/>
      <protection locked="0"/>
    </xf>
    <xf numFmtId="175" fontId="18" fillId="43" borderId="5" xfId="0" applyNumberFormat="1" applyFont="1" applyFill="1" applyBorder="1" applyAlignment="1" applyProtection="1">
      <alignment horizontal="center" vertical="center"/>
      <protection locked="0"/>
    </xf>
    <xf numFmtId="168" fontId="18" fillId="43" borderId="3" xfId="0" applyNumberFormat="1" applyFont="1" applyFill="1" applyBorder="1" applyAlignment="1" applyProtection="1">
      <alignment horizontal="center" vertical="center"/>
      <protection locked="0"/>
    </xf>
    <xf numFmtId="168" fontId="18" fillId="43" borderId="4" xfId="0" applyNumberFormat="1" applyFont="1" applyFill="1" applyBorder="1" applyAlignment="1" applyProtection="1">
      <alignment horizontal="center" vertical="center"/>
      <protection locked="0"/>
    </xf>
    <xf numFmtId="168" fontId="18"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4"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27" fillId="0" borderId="11" xfId="0" applyFont="1" applyBorder="1" applyAlignment="1">
      <alignment horizontal="center" vertical="top" wrapText="1"/>
    </xf>
    <xf numFmtId="1" fontId="18" fillId="0" borderId="3" xfId="0" applyNumberFormat="1" applyFont="1" applyBorder="1" applyAlignment="1">
      <alignment horizontal="center"/>
    </xf>
    <xf numFmtId="1" fontId="27" fillId="0" borderId="4" xfId="0" applyNumberFormat="1" applyFont="1" applyBorder="1" applyAlignment="1">
      <alignment horizontal="center"/>
    </xf>
    <xf numFmtId="1" fontId="27" fillId="0" borderId="5" xfId="0" applyNumberFormat="1" applyFont="1" applyBorder="1" applyAlignment="1">
      <alignment horizontal="center"/>
    </xf>
    <xf numFmtId="0" fontId="27" fillId="5" borderId="6" xfId="271" applyFill="1" applyBorder="1" applyProtection="1">
      <protection locked="0"/>
    </xf>
    <xf numFmtId="168" fontId="0" fillId="0" borderId="11" xfId="0" applyNumberFormat="1" applyBorder="1" applyAlignment="1">
      <alignment horizontal="right"/>
    </xf>
    <xf numFmtId="171" fontId="18" fillId="0" borderId="0" xfId="543" applyNumberFormat="1" applyAlignment="1">
      <alignment horizontal="right"/>
    </xf>
    <xf numFmtId="0" fontId="25" fillId="0" borderId="7" xfId="0" applyFont="1" applyBorder="1" applyAlignment="1">
      <alignment horizontal="center" wrapText="1"/>
    </xf>
    <xf numFmtId="168" fontId="0" fillId="0" borderId="11" xfId="0" applyNumberFormat="1" applyBorder="1"/>
    <xf numFmtId="0" fontId="18" fillId="5" borderId="3" xfId="0" applyFont="1" applyFill="1" applyBorder="1" applyProtection="1">
      <protection locked="0"/>
    </xf>
    <xf numFmtId="0" fontId="27" fillId="0" borderId="4" xfId="0" applyFont="1" applyBorder="1" applyProtection="1">
      <protection locked="0"/>
    </xf>
    <xf numFmtId="0" fontId="27"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0" fontId="18" fillId="43" borderId="11" xfId="0" applyFont="1" applyFill="1" applyBorder="1" applyAlignment="1" applyProtection="1">
      <alignment horizontal="center"/>
      <protection locked="0"/>
    </xf>
    <xf numFmtId="168" fontId="18" fillId="5" borderId="10" xfId="0" applyNumberFormat="1" applyFont="1" applyFill="1" applyBorder="1" applyAlignment="1" applyProtection="1">
      <alignment horizontal="right"/>
      <protection locked="0"/>
    </xf>
    <xf numFmtId="168" fontId="18" fillId="5" borderId="13" xfId="0" applyNumberFormat="1" applyFont="1" applyFill="1" applyBorder="1" applyAlignment="1" applyProtection="1">
      <alignment horizontal="right"/>
      <protection locked="0"/>
    </xf>
    <xf numFmtId="0" fontId="25" fillId="0" borderId="2" xfId="0" applyFont="1" applyBorder="1" applyAlignment="1">
      <alignment horizontal="right"/>
    </xf>
    <xf numFmtId="0" fontId="25" fillId="0" borderId="7" xfId="0" applyFont="1" applyBorder="1" applyAlignment="1">
      <alignment horizontal="right"/>
    </xf>
    <xf numFmtId="9" fontId="18" fillId="0" borderId="0" xfId="543" applyNumberFormat="1" applyAlignment="1">
      <alignment horizontal="center" vertical="center"/>
    </xf>
    <xf numFmtId="0" fontId="18"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0" fontId="27" fillId="0" borderId="11" xfId="0" applyFont="1" applyBorder="1" applyAlignment="1">
      <alignment horizontal="center"/>
    </xf>
    <xf numFmtId="0" fontId="27" fillId="5" borderId="6" xfId="0" applyFont="1" applyFill="1" applyBorder="1" applyAlignment="1" applyProtection="1">
      <alignment horizontal="center"/>
      <protection locked="0"/>
    </xf>
    <xf numFmtId="168" fontId="157" fillId="0" borderId="0" xfId="0" applyNumberFormat="1" applyFont="1" applyAlignment="1">
      <alignment horizontal="center" vertical="center" wrapText="1"/>
    </xf>
    <xf numFmtId="0" fontId="25" fillId="0" borderId="0" xfId="0" applyFont="1" applyAlignment="1">
      <alignment horizontal="center" vertical="center"/>
    </xf>
    <xf numFmtId="3" fontId="27" fillId="5" borderId="11" xfId="0" applyNumberFormat="1" applyFont="1" applyFill="1" applyBorder="1" applyAlignment="1" applyProtection="1">
      <alignment horizontal="center"/>
      <protection locked="0"/>
    </xf>
    <xf numFmtId="0" fontId="18" fillId="0" borderId="3" xfId="0" applyFont="1" applyBorder="1" applyAlignment="1">
      <alignment horizontal="left"/>
    </xf>
    <xf numFmtId="0" fontId="18" fillId="0" borderId="4" xfId="0" applyFont="1" applyBorder="1" applyAlignment="1">
      <alignment horizontal="left"/>
    </xf>
    <xf numFmtId="0" fontId="18" fillId="0" borderId="5" xfId="0" applyFont="1" applyBorder="1" applyAlignment="1">
      <alignment horizontal="left"/>
    </xf>
    <xf numFmtId="168" fontId="27" fillId="5" borderId="3" xfId="0" applyNumberFormat="1" applyFont="1" applyFill="1" applyBorder="1" applyAlignment="1" applyProtection="1">
      <alignment horizontal="left" vertical="top"/>
      <protection locked="0"/>
    </xf>
    <xf numFmtId="168" fontId="27" fillId="5" borderId="4" xfId="0" applyNumberFormat="1" applyFont="1" applyFill="1" applyBorder="1" applyAlignment="1" applyProtection="1">
      <alignment horizontal="left" vertical="top"/>
      <protection locked="0"/>
    </xf>
    <xf numFmtId="168" fontId="27" fillId="5" borderId="5" xfId="0" applyNumberFormat="1" applyFont="1" applyFill="1" applyBorder="1" applyAlignment="1" applyProtection="1">
      <alignment horizontal="left" vertical="top"/>
      <protection locked="0"/>
    </xf>
    <xf numFmtId="0" fontId="0" fillId="0" borderId="5" xfId="0" applyBorder="1" applyAlignment="1">
      <alignment horizontal="left"/>
    </xf>
    <xf numFmtId="10" fontId="27" fillId="0" borderId="11" xfId="0" applyNumberFormat="1" applyFont="1" applyBorder="1" applyAlignment="1">
      <alignment horizontal="center"/>
    </xf>
    <xf numFmtId="0" fontId="27" fillId="5" borderId="9" xfId="0" applyFont="1" applyFill="1" applyBorder="1" applyAlignment="1" applyProtection="1">
      <alignment horizontal="center"/>
      <protection locked="0"/>
    </xf>
    <xf numFmtId="168" fontId="27" fillId="0" borderId="3" xfId="0" applyNumberFormat="1" applyFont="1" applyBorder="1" applyAlignment="1">
      <alignment horizontal="left" vertical="top"/>
    </xf>
    <xf numFmtId="168" fontId="27" fillId="0" borderId="4" xfId="0" applyNumberFormat="1" applyFont="1" applyBorder="1" applyAlignment="1">
      <alignment horizontal="left" vertical="top"/>
    </xf>
    <xf numFmtId="168" fontId="27" fillId="0" borderId="5" xfId="0" applyNumberFormat="1" applyFont="1" applyBorder="1" applyAlignment="1">
      <alignment horizontal="left" vertical="top"/>
    </xf>
    <xf numFmtId="0" fontId="25" fillId="0" borderId="3" xfId="0" applyFont="1" applyBorder="1" applyAlignment="1">
      <alignment horizontal="center"/>
    </xf>
    <xf numFmtId="0" fontId="25" fillId="0" borderId="4" xfId="0" applyFont="1" applyBorder="1" applyAlignment="1">
      <alignment horizontal="center"/>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8"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3" fontId="0" fillId="0" borderId="6" xfId="0" applyNumberFormat="1" applyBorder="1" applyAlignment="1">
      <alignment horizontal="right"/>
    </xf>
    <xf numFmtId="10" fontId="27" fillId="5" borderId="4" xfId="0" applyNumberFormat="1" applyFont="1" applyFill="1" applyBorder="1" applyAlignment="1" applyProtection="1">
      <alignment horizontal="righ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7" fillId="5" borderId="4" xfId="271" applyNumberFormat="1" applyFill="1" applyBorder="1" applyAlignment="1" applyProtection="1">
      <alignment horizontal="left"/>
      <protection locked="0"/>
    </xf>
    <xf numFmtId="0" fontId="27" fillId="0" borderId="6" xfId="0" applyFont="1" applyBorder="1" applyAlignment="1">
      <alignment horizontal="left"/>
    </xf>
    <xf numFmtId="0" fontId="0" fillId="43" borderId="6" xfId="0" applyFill="1" applyBorder="1" applyAlignment="1" applyProtection="1">
      <alignment horizontal="center"/>
      <protection locked="0"/>
    </xf>
    <xf numFmtId="0" fontId="25" fillId="0" borderId="5" xfId="0" applyFont="1" applyBorder="1" applyAlignment="1">
      <alignment horizontal="center"/>
    </xf>
    <xf numFmtId="0" fontId="18" fillId="0" borderId="3" xfId="271" applyFont="1" applyBorder="1" applyAlignment="1">
      <alignment horizontal="left"/>
    </xf>
    <xf numFmtId="0" fontId="18" fillId="0" borderId="4" xfId="271" applyFont="1" applyBorder="1" applyAlignment="1">
      <alignment horizontal="left"/>
    </xf>
    <xf numFmtId="0" fontId="18" fillId="0" borderId="5" xfId="271" applyFont="1" applyBorder="1" applyAlignment="1">
      <alignment horizontal="left"/>
    </xf>
    <xf numFmtId="166" fontId="18" fillId="5" borderId="6" xfId="271" applyNumberFormat="1" applyFont="1" applyFill="1" applyBorder="1" applyAlignment="1" applyProtection="1">
      <alignment horizontal="left"/>
      <protection locked="0"/>
    </xf>
    <xf numFmtId="166" fontId="27" fillId="5" borderId="6" xfId="271"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18" fillId="43" borderId="6" xfId="0" applyFont="1" applyFill="1" applyBorder="1" applyAlignment="1" applyProtection="1">
      <alignment vertical="center"/>
      <protection locked="0"/>
    </xf>
    <xf numFmtId="0" fontId="27" fillId="43" borderId="6" xfId="0" applyFont="1" applyFill="1" applyBorder="1" applyAlignment="1" applyProtection="1">
      <alignment horizontal="left"/>
      <protection locked="0"/>
    </xf>
    <xf numFmtId="0" fontId="18" fillId="0" borderId="6" xfId="0" applyFont="1" applyBorder="1" applyAlignment="1">
      <alignment horizontal="left"/>
    </xf>
    <xf numFmtId="0" fontId="18" fillId="0" borderId="6" xfId="0" applyFont="1" applyBorder="1" applyAlignment="1" applyProtection="1">
      <alignment horizontal="center"/>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8" fillId="5" borderId="6" xfId="244"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8" fillId="0" borderId="0" xfId="0" applyFont="1" applyAlignment="1" applyProtection="1">
      <alignment horizontal="left"/>
      <protection locked="0"/>
    </xf>
    <xf numFmtId="0" fontId="27" fillId="0" borderId="4" xfId="0" applyFont="1" applyBorder="1" applyAlignment="1" applyProtection="1">
      <alignment horizontal="left"/>
      <protection locked="0"/>
    </xf>
    <xf numFmtId="0" fontId="0" fillId="0" borderId="0" xfId="0" applyAlignment="1">
      <alignment wrapText="1"/>
    </xf>
    <xf numFmtId="0" fontId="26" fillId="43" borderId="6" xfId="0" applyFont="1" applyFill="1" applyBorder="1" applyAlignment="1" applyProtection="1">
      <alignment horizontal="left"/>
      <protection locked="0"/>
    </xf>
    <xf numFmtId="0" fontId="154" fillId="0" borderId="0" xfId="0" applyFont="1" applyAlignment="1" applyProtection="1">
      <alignment horizontal="left" vertical="top" wrapText="1"/>
      <protection locked="0"/>
    </xf>
    <xf numFmtId="0" fontId="18" fillId="0" borderId="6" xfId="0" applyFont="1" applyBorder="1" applyAlignment="1" applyProtection="1">
      <alignment horizontal="left"/>
      <protection locked="0"/>
    </xf>
    <xf numFmtId="0" fontId="19" fillId="0" borderId="0" xfId="244" applyFill="1" applyAlignment="1" applyProtection="1">
      <alignment horizontal="left"/>
      <protection locked="0"/>
    </xf>
    <xf numFmtId="168" fontId="18" fillId="0" borderId="6" xfId="0" applyNumberFormat="1" applyFont="1" applyBorder="1" applyAlignment="1">
      <alignment horizontal="center"/>
    </xf>
    <xf numFmtId="0" fontId="0" fillId="5" borderId="6" xfId="0" applyFill="1" applyBorder="1" applyProtection="1">
      <protection locked="0"/>
    </xf>
    <xf numFmtId="0" fontId="0" fillId="0" borderId="0" xfId="0" applyAlignment="1">
      <alignment vertical="top" wrapText="1"/>
    </xf>
    <xf numFmtId="0" fontId="18"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7"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8" fillId="5" borderId="0" xfId="244" applyFont="1" applyFill="1" applyBorder="1" applyAlignment="1" applyProtection="1">
      <alignment horizontal="left"/>
      <protection locked="0"/>
    </xf>
    <xf numFmtId="0" fontId="0" fillId="5" borderId="4" xfId="0"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9" fontId="26" fillId="0" borderId="3" xfId="4494" applyFont="1" applyBorder="1" applyAlignment="1" applyProtection="1">
      <alignment horizontal="center"/>
    </xf>
    <xf numFmtId="9" fontId="26" fillId="0" borderId="5" xfId="4494" applyFont="1" applyBorder="1" applyAlignment="1" applyProtection="1">
      <alignment horizontal="center"/>
    </xf>
    <xf numFmtId="0" fontId="27" fillId="5" borderId="0" xfId="0" applyFont="1" applyFill="1" applyAlignment="1" applyProtection="1">
      <alignment horizontal="left" vertical="top" wrapText="1"/>
      <protection locked="0"/>
    </xf>
    <xf numFmtId="0" fontId="27"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0" borderId="6" xfId="0" applyBorder="1" applyAlignment="1" applyProtection="1">
      <alignment horizontal="center"/>
      <protection locked="0"/>
    </xf>
    <xf numFmtId="0" fontId="27" fillId="5" borderId="11" xfId="0" applyFont="1" applyFill="1" applyBorder="1" applyAlignment="1" applyProtection="1">
      <alignment horizontal="center"/>
      <protection locked="0"/>
    </xf>
    <xf numFmtId="14" fontId="18" fillId="5" borderId="4" xfId="0" applyNumberFormat="1" applyFont="1" applyFill="1" applyBorder="1" applyAlignment="1" applyProtection="1">
      <alignment horizontal="right"/>
      <protection locked="0"/>
    </xf>
    <xf numFmtId="14" fontId="27" fillId="5" borderId="4" xfId="0" applyNumberFormat="1" applyFont="1" applyFill="1" applyBorder="1" applyAlignment="1" applyProtection="1">
      <alignment horizontal="right"/>
      <protection locked="0"/>
    </xf>
    <xf numFmtId="168" fontId="27" fillId="5"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178" fontId="27" fillId="5" borderId="4" xfId="0" applyNumberFormat="1" applyFont="1" applyFill="1" applyBorder="1" applyAlignment="1" applyProtection="1">
      <alignment horizontal="right"/>
      <protection locked="0"/>
    </xf>
    <xf numFmtId="0" fontId="18" fillId="43" borderId="4" xfId="0" applyFont="1" applyFill="1" applyBorder="1" applyAlignment="1" applyProtection="1">
      <alignment horizontal="left" wrapText="1"/>
      <protection locked="0"/>
    </xf>
    <xf numFmtId="1" fontId="27" fillId="5" borderId="6" xfId="0" applyNumberFormat="1" applyFont="1" applyFill="1" applyBorder="1" applyAlignment="1" applyProtection="1">
      <alignment horizontal="right"/>
      <protection locked="0"/>
    </xf>
    <xf numFmtId="0" fontId="37" fillId="5" borderId="6" xfId="0" applyFont="1" applyFill="1" applyBorder="1" applyAlignment="1" applyProtection="1">
      <alignment horizontal="left"/>
      <protection locked="0"/>
    </xf>
    <xf numFmtId="0" fontId="27" fillId="5" borderId="4" xfId="0" applyFont="1" applyFill="1" applyBorder="1" applyAlignment="1" applyProtection="1">
      <alignment horizontal="right"/>
      <protection locked="0"/>
    </xf>
    <xf numFmtId="168" fontId="27" fillId="5" borderId="4" xfId="0" applyNumberFormat="1" applyFont="1" applyFill="1" applyBorder="1" applyAlignment="1" applyProtection="1">
      <alignment horizontal="right"/>
      <protection locked="0"/>
    </xf>
    <xf numFmtId="168" fontId="27" fillId="0" borderId="11" xfId="0" applyNumberFormat="1" applyFont="1" applyBorder="1" applyAlignment="1">
      <alignment horizontal="center"/>
    </xf>
    <xf numFmtId="168" fontId="54" fillId="0" borderId="2" xfId="0" applyNumberFormat="1" applyFont="1" applyBorder="1" applyAlignment="1">
      <alignment horizontal="left" vertical="top" wrapText="1"/>
    </xf>
    <xf numFmtId="168" fontId="54"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 fontId="27" fillId="5" borderId="11" xfId="0" quotePrefix="1" applyNumberFormat="1" applyFont="1" applyFill="1" applyBorder="1" applyAlignment="1" applyProtection="1">
      <alignment horizontal="center"/>
      <protection locked="0"/>
    </xf>
    <xf numFmtId="0" fontId="26"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0" xfId="0" applyFont="1" applyAlignment="1">
      <alignment horizontal="center" vertical="center" wrapText="1"/>
    </xf>
    <xf numFmtId="0" fontId="34" fillId="0" borderId="12"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0" xfId="0" applyFont="1" applyBorder="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8" fillId="0" borderId="3" xfId="0" applyNumberFormat="1" applyFont="1" applyBorder="1" applyAlignment="1">
      <alignment horizontal="left" vertical="top"/>
    </xf>
    <xf numFmtId="0" fontId="25" fillId="0" borderId="9" xfId="0" applyFont="1" applyBorder="1" applyAlignment="1">
      <alignment horizontal="center"/>
    </xf>
    <xf numFmtId="165" fontId="27" fillId="5" borderId="3" xfId="0" applyNumberFormat="1" applyFont="1" applyFill="1" applyBorder="1" applyAlignment="1" applyProtection="1">
      <alignment horizontal="center"/>
      <protection locked="0"/>
    </xf>
    <xf numFmtId="165" fontId="27" fillId="5" borderId="4" xfId="0" applyNumberFormat="1" applyFont="1" applyFill="1" applyBorder="1" applyAlignment="1" applyProtection="1">
      <alignment horizontal="center"/>
      <protection locked="0"/>
    </xf>
    <xf numFmtId="165" fontId="27" fillId="5" borderId="5" xfId="0" applyNumberFormat="1" applyFont="1" applyFill="1" applyBorder="1" applyAlignment="1" applyProtection="1">
      <alignment horizontal="center"/>
      <protection locked="0"/>
    </xf>
    <xf numFmtId="3" fontId="27" fillId="0" borderId="11" xfId="0" applyNumberFormat="1" applyFont="1" applyBorder="1" applyAlignment="1">
      <alignment horizontal="center"/>
    </xf>
    <xf numFmtId="0" fontId="25" fillId="0" borderId="10"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168" fontId="18" fillId="0" borderId="4" xfId="0" applyNumberFormat="1" applyFont="1" applyBorder="1" applyAlignment="1">
      <alignment horizontal="left" vertical="top"/>
    </xf>
    <xf numFmtId="168" fontId="18" fillId="0" borderId="5" xfId="0" applyNumberFormat="1" applyFont="1" applyBorder="1" applyAlignment="1">
      <alignment horizontal="left" vertical="top"/>
    </xf>
    <xf numFmtId="0" fontId="0" fillId="43" borderId="10" xfId="0" applyFill="1" applyBorder="1" applyAlignment="1" applyProtection="1">
      <alignment horizontal="left"/>
      <protection locked="0"/>
    </xf>
    <xf numFmtId="168" fontId="185" fillId="0" borderId="105" xfId="543" applyNumberFormat="1" applyFont="1" applyBorder="1" applyAlignment="1">
      <alignment horizontal="right" vertical="center" wrapText="1"/>
    </xf>
    <xf numFmtId="175" fontId="185" fillId="0" borderId="107" xfId="543" applyNumberFormat="1" applyFont="1" applyBorder="1" applyAlignment="1">
      <alignment horizontal="center" vertical="center" wrapText="1"/>
    </xf>
    <xf numFmtId="175" fontId="185" fillId="0" borderId="108" xfId="543" applyNumberFormat="1" applyFont="1" applyBorder="1" applyAlignment="1">
      <alignment horizontal="center" vertical="center" wrapText="1"/>
    </xf>
    <xf numFmtId="175" fontId="185" fillId="0" borderId="109" xfId="543" applyNumberFormat="1" applyFont="1" applyBorder="1" applyAlignment="1">
      <alignment horizontal="center" vertical="center" wrapText="1"/>
    </xf>
    <xf numFmtId="0" fontId="184"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5" borderId="3" xfId="0" quotePrefix="1" applyFill="1" applyBorder="1" applyAlignment="1" applyProtection="1">
      <alignment horizontal="right"/>
      <protection locked="0"/>
    </xf>
    <xf numFmtId="0" fontId="59" fillId="2" borderId="3" xfId="0" applyFont="1" applyFill="1" applyBorder="1" applyAlignment="1">
      <alignment horizontal="center" vertical="top"/>
    </xf>
    <xf numFmtId="0" fontId="59" fillId="2" borderId="4" xfId="0" applyFont="1" applyFill="1" applyBorder="1" applyAlignment="1">
      <alignment horizontal="center" vertical="top"/>
    </xf>
    <xf numFmtId="0" fontId="59" fillId="2" borderId="5" xfId="0" applyFont="1" applyFill="1" applyBorder="1" applyAlignment="1">
      <alignment horizontal="center" vertical="top"/>
    </xf>
    <xf numFmtId="0" fontId="27" fillId="0" borderId="6" xfId="0" applyFont="1" applyBorder="1" applyAlignment="1">
      <alignment vertical="top" wrapText="1"/>
    </xf>
    <xf numFmtId="177" fontId="27" fillId="5" borderId="6" xfId="0" applyNumberFormat="1" applyFont="1" applyFill="1" applyBorder="1" applyAlignment="1" applyProtection="1">
      <alignment horizontal="left" vertical="top" wrapText="1"/>
      <protection locked="0"/>
    </xf>
    <xf numFmtId="0" fontId="27" fillId="0" borderId="2" xfId="0" applyFont="1" applyBorder="1" applyAlignment="1">
      <alignment vertical="top" wrapText="1"/>
    </xf>
    <xf numFmtId="0" fontId="54" fillId="0" borderId="0" xfId="0" applyFont="1" applyAlignment="1">
      <alignment vertical="top" wrapText="1"/>
    </xf>
    <xf numFmtId="0" fontId="27" fillId="0" borderId="2" xfId="0" applyFont="1" applyBorder="1" applyAlignment="1">
      <alignment horizontal="left" vertical="top" wrapText="1"/>
    </xf>
    <xf numFmtId="0" fontId="55" fillId="0" borderId="0" xfId="0" applyFont="1" applyAlignment="1">
      <alignment vertical="top" wrapText="1"/>
    </xf>
    <xf numFmtId="0" fontId="27" fillId="0" borderId="0" xfId="0" applyFont="1" applyAlignment="1">
      <alignment vertical="top" wrapText="1"/>
    </xf>
    <xf numFmtId="0" fontId="27" fillId="0" borderId="6" xfId="0" applyFont="1" applyBorder="1" applyAlignment="1">
      <alignment horizontal="right" vertical="top" wrapText="1"/>
    </xf>
    <xf numFmtId="0" fontId="55" fillId="0" borderId="0" xfId="569" applyFont="1" applyAlignment="1">
      <alignment vertical="top" wrapText="1"/>
    </xf>
    <xf numFmtId="0" fontId="18" fillId="0" borderId="0" xfId="569" applyAlignment="1">
      <alignment horizontal="right" vertical="top" wrapText="1"/>
    </xf>
    <xf numFmtId="0" fontId="24" fillId="3" borderId="3" xfId="0" applyFont="1" applyFill="1" applyBorder="1" applyAlignment="1">
      <alignment horizontal="left" vertical="top"/>
    </xf>
    <xf numFmtId="0" fontId="24" fillId="3" borderId="4" xfId="0" applyFont="1" applyFill="1" applyBorder="1" applyAlignment="1">
      <alignment horizontal="left" vertical="top"/>
    </xf>
    <xf numFmtId="0" fontId="24" fillId="3" borderId="5" xfId="0" applyFont="1" applyFill="1" applyBorder="1" applyAlignment="1">
      <alignment horizontal="left" vertical="top"/>
    </xf>
    <xf numFmtId="0" fontId="103" fillId="44" borderId="0" xfId="8733" applyFont="1" applyFill="1" applyAlignment="1">
      <alignment horizontal="left"/>
    </xf>
    <xf numFmtId="0" fontId="3" fillId="48" borderId="80" xfId="8733" applyFill="1" applyBorder="1" applyAlignment="1" applyProtection="1">
      <alignment horizontal="left"/>
      <protection locked="0"/>
    </xf>
    <xf numFmtId="0" fontId="3" fillId="48" borderId="79" xfId="8733" applyFill="1" applyBorder="1" applyAlignment="1" applyProtection="1">
      <alignment horizontal="left"/>
      <protection locked="0"/>
    </xf>
    <xf numFmtId="0" fontId="3" fillId="48" borderId="78" xfId="8733" applyFill="1" applyBorder="1" applyAlignment="1" applyProtection="1">
      <alignment horizontal="left"/>
      <protection locked="0"/>
    </xf>
    <xf numFmtId="0" fontId="166" fillId="44" borderId="0" xfId="8733" applyFont="1" applyFill="1" applyAlignment="1">
      <alignment horizontal="left" vertical="top"/>
    </xf>
    <xf numFmtId="0" fontId="103" fillId="44" borderId="0" xfId="8730" applyFont="1" applyFill="1" applyBorder="1" applyAlignment="1">
      <alignment horizontal="left" vertical="top"/>
    </xf>
    <xf numFmtId="14" fontId="3" fillId="48" borderId="80" xfId="8733" applyNumberFormat="1" applyFill="1" applyBorder="1" applyAlignment="1" applyProtection="1">
      <alignment horizontal="center"/>
      <protection locked="0"/>
    </xf>
    <xf numFmtId="14" fontId="3" fillId="48" borderId="79" xfId="8733" applyNumberFormat="1" applyFill="1" applyBorder="1" applyAlignment="1" applyProtection="1">
      <alignment horizontal="center"/>
      <protection locked="0"/>
    </xf>
    <xf numFmtId="14" fontId="3" fillId="48" borderId="78" xfId="8733" applyNumberFormat="1" applyFill="1" applyBorder="1" applyAlignment="1" applyProtection="1">
      <alignment horizontal="center"/>
      <protection locked="0"/>
    </xf>
    <xf numFmtId="0" fontId="167" fillId="47" borderId="0" xfId="8733" applyFont="1" applyFill="1" applyAlignment="1">
      <alignment horizontal="left" vertical="top" wrapText="1"/>
    </xf>
    <xf numFmtId="0" fontId="103" fillId="47" borderId="42" xfId="8733" applyFont="1" applyFill="1" applyBorder="1" applyAlignment="1">
      <alignment horizontal="center"/>
    </xf>
    <xf numFmtId="0" fontId="3" fillId="48" borderId="80" xfId="8733" applyFill="1" applyBorder="1" applyAlignment="1" applyProtection="1">
      <alignment horizontal="center"/>
      <protection locked="0"/>
    </xf>
    <xf numFmtId="0" fontId="3" fillId="48" borderId="79" xfId="8733" applyFill="1" applyBorder="1" applyAlignment="1" applyProtection="1">
      <alignment horizontal="center"/>
      <protection locked="0"/>
    </xf>
    <xf numFmtId="0" fontId="3" fillId="48" borderId="78" xfId="8733" applyFill="1" applyBorder="1" applyAlignment="1" applyProtection="1">
      <alignment horizontal="center"/>
      <protection locked="0"/>
    </xf>
    <xf numFmtId="0" fontId="168" fillId="47" borderId="65" xfId="8733" applyFont="1" applyFill="1" applyBorder="1" applyAlignment="1">
      <alignment horizontal="center"/>
    </xf>
    <xf numFmtId="0" fontId="168" fillId="47" borderId="29" xfId="8733" applyFont="1" applyFill="1" applyBorder="1" applyAlignment="1">
      <alignment horizontal="center"/>
    </xf>
    <xf numFmtId="0" fontId="168" fillId="47" borderId="31" xfId="8733" applyFont="1" applyFill="1" applyBorder="1" applyAlignment="1">
      <alignment horizontal="center"/>
    </xf>
    <xf numFmtId="0" fontId="3" fillId="47" borderId="66" xfId="8733" applyFill="1" applyBorder="1" applyAlignment="1">
      <alignment horizontal="center"/>
    </xf>
    <xf numFmtId="0" fontId="3" fillId="47" borderId="0" xfId="8733" applyFill="1" applyAlignment="1">
      <alignment horizontal="center"/>
    </xf>
    <xf numFmtId="0" fontId="3" fillId="47" borderId="41" xfId="8733" applyFill="1" applyBorder="1" applyAlignment="1">
      <alignment horizontal="center"/>
    </xf>
    <xf numFmtId="0" fontId="167" fillId="47" borderId="66" xfId="8733" applyFont="1" applyFill="1" applyBorder="1" applyAlignment="1">
      <alignment horizontal="center"/>
    </xf>
    <xf numFmtId="0" fontId="167" fillId="47" borderId="0" xfId="8733" applyFont="1" applyFill="1" applyAlignment="1">
      <alignment horizontal="center"/>
    </xf>
    <xf numFmtId="0" fontId="167" fillId="47" borderId="41" xfId="8733" applyFont="1" applyFill="1" applyBorder="1" applyAlignment="1">
      <alignment horizontal="center"/>
    </xf>
    <xf numFmtId="0" fontId="103" fillId="47" borderId="66" xfId="8733" applyFont="1" applyFill="1" applyBorder="1" applyAlignment="1">
      <alignment horizontal="center"/>
    </xf>
    <xf numFmtId="0" fontId="103" fillId="47" borderId="0" xfId="8733" applyFont="1" applyFill="1" applyAlignment="1">
      <alignment horizontal="center"/>
    </xf>
    <xf numFmtId="0" fontId="103" fillId="47" borderId="41" xfId="8733" applyFont="1" applyFill="1" applyBorder="1" applyAlignment="1">
      <alignment horizontal="center"/>
    </xf>
    <xf numFmtId="0" fontId="103" fillId="47" borderId="0" xfId="8733" applyFont="1" applyFill="1" applyAlignment="1">
      <alignment horizontal="left"/>
    </xf>
    <xf numFmtId="0" fontId="169" fillId="50" borderId="3" xfId="698" applyNumberFormat="1" applyFont="1" applyFill="1" applyBorder="1" applyAlignment="1" applyProtection="1">
      <alignment horizontal="center"/>
      <protection locked="0"/>
    </xf>
    <xf numFmtId="0" fontId="169" fillId="50" borderId="4" xfId="698" applyNumberFormat="1" applyFont="1" applyFill="1" applyBorder="1" applyAlignment="1" applyProtection="1">
      <alignment horizontal="center"/>
      <protection locked="0"/>
    </xf>
    <xf numFmtId="0" fontId="169" fillId="50" borderId="81" xfId="698" applyNumberFormat="1" applyFont="1" applyFill="1" applyBorder="1" applyAlignment="1" applyProtection="1">
      <alignment horizontal="center"/>
      <protection locked="0"/>
    </xf>
    <xf numFmtId="43" fontId="167" fillId="49" borderId="72" xfId="698" applyFont="1" applyFill="1" applyBorder="1" applyAlignment="1" applyProtection="1">
      <alignment horizontal="right"/>
      <protection hidden="1"/>
    </xf>
    <xf numFmtId="43" fontId="167" fillId="49" borderId="11" xfId="698" applyFont="1" applyFill="1" applyBorder="1" applyAlignment="1" applyProtection="1">
      <alignment horizontal="right"/>
      <protection hidden="1"/>
    </xf>
    <xf numFmtId="44" fontId="167" fillId="0" borderId="11" xfId="700" applyFont="1" applyBorder="1" applyAlignment="1" applyProtection="1">
      <alignment horizontal="center"/>
      <protection hidden="1"/>
    </xf>
    <xf numFmtId="168" fontId="167" fillId="0" borderId="11" xfId="700" applyNumberFormat="1" applyFont="1" applyBorder="1" applyAlignment="1" applyProtection="1">
      <alignment horizontal="center"/>
      <protection hidden="1"/>
    </xf>
    <xf numFmtId="9" fontId="167" fillId="0" borderId="11" xfId="4494" applyFont="1" applyBorder="1" applyAlignment="1" applyProtection="1">
      <alignment horizontal="center"/>
      <protection hidden="1"/>
    </xf>
    <xf numFmtId="43" fontId="167" fillId="49" borderId="3" xfId="698" applyFont="1" applyFill="1" applyBorder="1" applyAlignment="1" applyProtection="1">
      <alignment horizontal="center"/>
      <protection hidden="1"/>
    </xf>
    <xf numFmtId="43" fontId="167" fillId="49" borderId="4" xfId="698" applyFont="1" applyFill="1" applyBorder="1" applyAlignment="1" applyProtection="1">
      <alignment horizontal="center"/>
      <protection hidden="1"/>
    </xf>
    <xf numFmtId="43" fontId="167" fillId="49" borderId="81" xfId="698" applyFont="1" applyFill="1" applyBorder="1" applyAlignment="1" applyProtection="1">
      <alignment horizontal="center"/>
      <protection hidden="1"/>
    </xf>
    <xf numFmtId="0" fontId="170" fillId="49" borderId="72" xfId="698" applyNumberFormat="1" applyFont="1" applyFill="1" applyBorder="1" applyAlignment="1" applyProtection="1">
      <alignment horizontal="center"/>
      <protection hidden="1"/>
    </xf>
    <xf numFmtId="0" fontId="170" fillId="49" borderId="11" xfId="698" applyNumberFormat="1" applyFont="1" applyFill="1" applyBorder="1" applyAlignment="1" applyProtection="1">
      <alignment horizontal="center"/>
      <protection hidden="1"/>
    </xf>
    <xf numFmtId="0" fontId="170" fillId="48" borderId="11" xfId="0" applyFont="1" applyFill="1" applyBorder="1" applyAlignment="1" applyProtection="1">
      <alignment horizontal="center"/>
      <protection locked="0"/>
    </xf>
    <xf numFmtId="14" fontId="169" fillId="48" borderId="11" xfId="700" applyNumberFormat="1" applyFont="1" applyFill="1" applyBorder="1" applyAlignment="1" applyProtection="1">
      <alignment horizontal="center"/>
      <protection locked="0"/>
    </xf>
    <xf numFmtId="168" fontId="170" fillId="48" borderId="11" xfId="700" applyNumberFormat="1" applyFont="1" applyFill="1" applyBorder="1" applyAlignment="1" applyProtection="1">
      <alignment horizontal="center"/>
      <protection locked="0"/>
    </xf>
    <xf numFmtId="9" fontId="170" fillId="48" borderId="11" xfId="1022" applyFont="1" applyFill="1" applyBorder="1" applyAlignment="1" applyProtection="1">
      <alignment horizontal="center"/>
      <protection locked="0"/>
    </xf>
    <xf numFmtId="44" fontId="169" fillId="48" borderId="11" xfId="700" applyFont="1" applyFill="1" applyBorder="1" applyAlignment="1" applyProtection="1">
      <alignment horizontal="center"/>
      <protection locked="0"/>
    </xf>
    <xf numFmtId="0" fontId="172" fillId="45" borderId="11" xfId="8733" applyFont="1" applyFill="1" applyBorder="1" applyAlignment="1">
      <alignment horizontal="left" wrapText="1"/>
    </xf>
    <xf numFmtId="43" fontId="167" fillId="45" borderId="80" xfId="698" applyFont="1" applyFill="1" applyBorder="1" applyAlignment="1" applyProtection="1">
      <alignment horizontal="center"/>
      <protection hidden="1"/>
    </xf>
    <xf numFmtId="43" fontId="167" fillId="45" borderId="79" xfId="698" applyFont="1" applyFill="1" applyBorder="1" applyAlignment="1" applyProtection="1">
      <alignment horizontal="center"/>
      <protection hidden="1"/>
    </xf>
    <xf numFmtId="43" fontId="167" fillId="45" borderId="78" xfId="698" applyFont="1" applyFill="1" applyBorder="1" applyAlignment="1" applyProtection="1">
      <alignment horizontal="center"/>
      <protection hidden="1"/>
    </xf>
    <xf numFmtId="43" fontId="171" fillId="49" borderId="66" xfId="698" applyFont="1" applyFill="1" applyBorder="1" applyAlignment="1" applyProtection="1">
      <alignment horizontal="center" wrapText="1"/>
      <protection hidden="1"/>
    </xf>
    <xf numFmtId="43" fontId="171" fillId="49" borderId="0" xfId="698" applyFont="1" applyFill="1" applyBorder="1" applyAlignment="1" applyProtection="1">
      <alignment horizontal="center" wrapText="1"/>
      <protection hidden="1"/>
    </xf>
    <xf numFmtId="43" fontId="171" fillId="49" borderId="12" xfId="698" applyFont="1" applyFill="1" applyBorder="1" applyAlignment="1" applyProtection="1">
      <alignment horizontal="center" wrapText="1"/>
      <protection hidden="1"/>
    </xf>
    <xf numFmtId="43" fontId="171" fillId="49" borderId="83" xfId="698" applyFont="1" applyFill="1" applyBorder="1" applyAlignment="1" applyProtection="1">
      <alignment horizontal="center" wrapText="1"/>
      <protection hidden="1"/>
    </xf>
    <xf numFmtId="43" fontId="171" fillId="49" borderId="6" xfId="698" applyFont="1" applyFill="1" applyBorder="1" applyAlignment="1" applyProtection="1">
      <alignment horizontal="center" wrapText="1"/>
      <protection hidden="1"/>
    </xf>
    <xf numFmtId="43" fontId="171" fillId="49" borderId="10" xfId="698" applyFont="1" applyFill="1" applyBorder="1" applyAlignment="1" applyProtection="1">
      <alignment horizontal="center" wrapText="1"/>
      <protection hidden="1"/>
    </xf>
    <xf numFmtId="43" fontId="171" fillId="49" borderId="8" xfId="698" applyFont="1" applyFill="1" applyBorder="1" applyAlignment="1" applyProtection="1">
      <alignment horizontal="center" wrapText="1"/>
      <protection hidden="1"/>
    </xf>
    <xf numFmtId="43" fontId="171" fillId="49" borderId="9" xfId="698" applyFont="1" applyFill="1" applyBorder="1" applyAlignment="1" applyProtection="1">
      <alignment horizontal="center" wrapText="1"/>
      <protection hidden="1"/>
    </xf>
    <xf numFmtId="14" fontId="171" fillId="0" borderId="8" xfId="700" applyNumberFormat="1" applyFont="1" applyFill="1" applyBorder="1" applyAlignment="1" applyProtection="1">
      <alignment horizontal="center" wrapText="1"/>
      <protection hidden="1"/>
    </xf>
    <xf numFmtId="14" fontId="171" fillId="0" borderId="0" xfId="700" applyNumberFormat="1" applyFont="1" applyFill="1" applyBorder="1" applyAlignment="1" applyProtection="1">
      <alignment horizontal="center" wrapText="1"/>
      <protection hidden="1"/>
    </xf>
    <xf numFmtId="14" fontId="171" fillId="0" borderId="12" xfId="700" applyNumberFormat="1" applyFont="1" applyFill="1" applyBorder="1" applyAlignment="1" applyProtection="1">
      <alignment horizontal="center" wrapText="1"/>
      <protection hidden="1"/>
    </xf>
    <xf numFmtId="14" fontId="171" fillId="0" borderId="9" xfId="700" applyNumberFormat="1" applyFont="1" applyFill="1" applyBorder="1" applyAlignment="1" applyProtection="1">
      <alignment horizontal="center" wrapText="1"/>
      <protection hidden="1"/>
    </xf>
    <xf numFmtId="14" fontId="171" fillId="0" borderId="6" xfId="700" applyNumberFormat="1" applyFont="1" applyFill="1" applyBorder="1" applyAlignment="1" applyProtection="1">
      <alignment horizontal="center" wrapText="1"/>
      <protection hidden="1"/>
    </xf>
    <xf numFmtId="14" fontId="171" fillId="0" borderId="10" xfId="700" applyNumberFormat="1" applyFont="1" applyFill="1" applyBorder="1" applyAlignment="1" applyProtection="1">
      <alignment horizontal="center" wrapText="1"/>
      <protection hidden="1"/>
    </xf>
    <xf numFmtId="44" fontId="171" fillId="0" borderId="8" xfId="700" applyFont="1" applyBorder="1" applyAlignment="1" applyProtection="1">
      <alignment horizontal="center" wrapText="1"/>
      <protection hidden="1"/>
    </xf>
    <xf numFmtId="44" fontId="171" fillId="0" borderId="0" xfId="700" applyFont="1" applyBorder="1" applyAlignment="1" applyProtection="1">
      <alignment horizontal="center" wrapText="1"/>
      <protection hidden="1"/>
    </xf>
    <xf numFmtId="44" fontId="171" fillId="0" borderId="12" xfId="700" applyFont="1" applyBorder="1" applyAlignment="1" applyProtection="1">
      <alignment horizontal="center" wrapText="1"/>
      <protection hidden="1"/>
    </xf>
    <xf numFmtId="44" fontId="171" fillId="0" borderId="9" xfId="700" applyFont="1" applyBorder="1" applyAlignment="1" applyProtection="1">
      <alignment horizontal="center" wrapText="1"/>
      <protection hidden="1"/>
    </xf>
    <xf numFmtId="44" fontId="171" fillId="0" borderId="6" xfId="700" applyFont="1" applyBorder="1" applyAlignment="1" applyProtection="1">
      <alignment horizontal="center" wrapText="1"/>
      <protection hidden="1"/>
    </xf>
    <xf numFmtId="44" fontId="171" fillId="0" borderId="10" xfId="700" applyFont="1" applyBorder="1" applyAlignment="1" applyProtection="1">
      <alignment horizontal="center" wrapText="1"/>
      <protection hidden="1"/>
    </xf>
    <xf numFmtId="43" fontId="171" fillId="49" borderId="41" xfId="698" applyFont="1" applyFill="1" applyBorder="1" applyAlignment="1" applyProtection="1">
      <alignment horizontal="center" wrapText="1"/>
      <protection hidden="1"/>
    </xf>
    <xf numFmtId="43" fontId="171" fillId="49" borderId="82" xfId="698" applyFont="1" applyFill="1" applyBorder="1" applyAlignment="1" applyProtection="1">
      <alignment horizontal="center" wrapText="1"/>
      <protection hidden="1"/>
    </xf>
    <xf numFmtId="0" fontId="173" fillId="45" borderId="11" xfId="8733" applyFont="1" applyFill="1" applyBorder="1" applyAlignment="1">
      <alignment horizontal="left"/>
    </xf>
    <xf numFmtId="182" fontId="3" fillId="48" borderId="11" xfId="700" applyNumberFormat="1" applyFont="1" applyFill="1" applyBorder="1" applyAlignment="1" applyProtection="1">
      <alignment horizontal="center"/>
      <protection locked="0"/>
    </xf>
    <xf numFmtId="10" fontId="173" fillId="48" borderId="11" xfId="1022" applyNumberFormat="1" applyFont="1" applyFill="1" applyBorder="1" applyAlignment="1" applyProtection="1">
      <alignment horizontal="center"/>
      <protection locked="0"/>
    </xf>
    <xf numFmtId="182" fontId="3" fillId="0" borderId="13" xfId="8733" applyNumberFormat="1" applyBorder="1" applyAlignment="1">
      <alignment horizontal="center"/>
    </xf>
    <xf numFmtId="0" fontId="3" fillId="0" borderId="13" xfId="8733" applyBorder="1" applyAlignment="1">
      <alignment horizontal="center"/>
    </xf>
    <xf numFmtId="0" fontId="166" fillId="45" borderId="80" xfId="0" applyFont="1" applyFill="1" applyBorder="1" applyAlignment="1" applyProtection="1">
      <alignment horizontal="center" wrapText="1"/>
      <protection hidden="1"/>
    </xf>
    <xf numFmtId="0" fontId="166" fillId="45" borderId="79" xfId="0" applyFont="1" applyFill="1" applyBorder="1" applyAlignment="1" applyProtection="1">
      <alignment horizontal="center" wrapText="1"/>
      <protection hidden="1"/>
    </xf>
    <xf numFmtId="0" fontId="166" fillId="45" borderId="78" xfId="0" applyFont="1" applyFill="1" applyBorder="1" applyAlignment="1" applyProtection="1">
      <alignment horizontal="center" wrapText="1"/>
      <protection hidden="1"/>
    </xf>
    <xf numFmtId="0" fontId="166" fillId="45" borderId="13" xfId="0" applyFont="1" applyFill="1" applyBorder="1" applyAlignment="1" applyProtection="1">
      <alignment horizontal="left" wrapText="1"/>
      <protection hidden="1"/>
    </xf>
    <xf numFmtId="0" fontId="166" fillId="45" borderId="13" xfId="0" applyFont="1" applyFill="1" applyBorder="1" applyAlignment="1" applyProtection="1">
      <alignment horizontal="center" wrapText="1"/>
      <protection hidden="1"/>
    </xf>
    <xf numFmtId="0" fontId="175" fillId="45" borderId="67" xfId="8733" applyFont="1" applyFill="1" applyBorder="1" applyAlignment="1">
      <alignment horizontal="right"/>
    </xf>
    <xf numFmtId="0" fontId="175" fillId="45" borderId="68" xfId="8733" applyFont="1" applyFill="1" applyBorder="1" applyAlignment="1">
      <alignment horizontal="right"/>
    </xf>
    <xf numFmtId="168" fontId="170" fillId="44" borderId="68" xfId="700" applyNumberFormat="1" applyFont="1" applyFill="1" applyBorder="1" applyAlignment="1">
      <alignment horizontal="left"/>
    </xf>
    <xf numFmtId="168" fontId="170" fillId="44" borderId="71" xfId="700" applyNumberFormat="1" applyFont="1" applyFill="1" applyBorder="1" applyAlignment="1">
      <alignment horizontal="left"/>
    </xf>
    <xf numFmtId="0" fontId="172" fillId="48" borderId="66" xfId="8733" applyFont="1" applyFill="1" applyBorder="1" applyAlignment="1">
      <alignment horizontal="left" wrapText="1"/>
    </xf>
    <xf numFmtId="0" fontId="172" fillId="48" borderId="0" xfId="8733" applyFont="1" applyFill="1" applyAlignment="1">
      <alignment horizontal="left" wrapText="1"/>
    </xf>
    <xf numFmtId="0" fontId="172" fillId="48" borderId="41" xfId="8733" applyFont="1" applyFill="1" applyBorder="1" applyAlignment="1">
      <alignment horizontal="left" wrapText="1"/>
    </xf>
    <xf numFmtId="0" fontId="172" fillId="48" borderId="73" xfId="8733" applyFont="1" applyFill="1" applyBorder="1" applyAlignment="1">
      <alignment horizontal="left" wrapText="1"/>
    </xf>
    <xf numFmtId="0" fontId="172" fillId="48" borderId="42" xfId="8733" applyFont="1" applyFill="1" applyBorder="1" applyAlignment="1">
      <alignment horizontal="left" wrapText="1"/>
    </xf>
    <xf numFmtId="0" fontId="172" fillId="48" borderId="44" xfId="8733" applyFont="1" applyFill="1" applyBorder="1" applyAlignment="1">
      <alignment horizontal="left" wrapText="1"/>
    </xf>
    <xf numFmtId="0" fontId="174" fillId="45" borderId="69" xfId="8733" applyFont="1" applyFill="1" applyBorder="1" applyAlignment="1">
      <alignment horizontal="right"/>
    </xf>
    <xf numFmtId="0" fontId="174" fillId="45" borderId="70" xfId="8733" applyFont="1" applyFill="1" applyBorder="1" applyAlignment="1">
      <alignment horizontal="right"/>
    </xf>
    <xf numFmtId="0" fontId="166" fillId="44" borderId="70" xfId="700" applyNumberFormat="1" applyFont="1" applyFill="1" applyBorder="1" applyAlignment="1">
      <alignment horizontal="left"/>
    </xf>
    <xf numFmtId="168" fontId="166" fillId="44" borderId="70" xfId="700" applyNumberFormat="1" applyFont="1" applyFill="1" applyBorder="1" applyAlignment="1">
      <alignment horizontal="left"/>
    </xf>
    <xf numFmtId="168" fontId="166" fillId="44" borderId="77" xfId="700" applyNumberFormat="1" applyFont="1" applyFill="1" applyBorder="1" applyAlignment="1">
      <alignment horizontal="left"/>
    </xf>
    <xf numFmtId="0" fontId="167" fillId="47" borderId="0" xfId="8733" applyFont="1" applyFill="1" applyAlignment="1">
      <alignment horizontal="right"/>
    </xf>
    <xf numFmtId="168" fontId="171" fillId="47" borderId="0" xfId="700" applyNumberFormat="1" applyFont="1" applyFill="1" applyBorder="1" applyAlignment="1" applyProtection="1">
      <alignment horizontal="left"/>
      <protection locked="0"/>
    </xf>
    <xf numFmtId="0" fontId="173" fillId="48" borderId="87" xfId="8733" applyFont="1" applyFill="1" applyBorder="1" applyAlignment="1" applyProtection="1">
      <alignment horizontal="center"/>
      <protection locked="0"/>
    </xf>
    <xf numFmtId="0" fontId="173" fillId="48" borderId="86" xfId="8733" applyFont="1" applyFill="1" applyBorder="1" applyAlignment="1" applyProtection="1">
      <alignment horizontal="center"/>
      <protection locked="0"/>
    </xf>
    <xf numFmtId="0" fontId="175" fillId="48" borderId="70" xfId="8733" applyFont="1" applyFill="1" applyBorder="1" applyAlignment="1" applyProtection="1">
      <alignment horizontal="left"/>
      <protection locked="0"/>
    </xf>
    <xf numFmtId="0" fontId="175" fillId="48" borderId="77" xfId="8733" applyFont="1" applyFill="1" applyBorder="1" applyAlignment="1" applyProtection="1">
      <alignment horizontal="left"/>
      <protection locked="0"/>
    </xf>
    <xf numFmtId="168" fontId="173" fillId="48" borderId="86" xfId="700" applyNumberFormat="1" applyFont="1" applyFill="1" applyBorder="1" applyAlignment="1" applyProtection="1">
      <alignment horizontal="left"/>
      <protection locked="0"/>
    </xf>
    <xf numFmtId="168" fontId="173" fillId="48" borderId="85" xfId="700" applyNumberFormat="1" applyFont="1" applyFill="1" applyBorder="1" applyAlignment="1" applyProtection="1">
      <alignment horizontal="left"/>
      <protection locked="0"/>
    </xf>
    <xf numFmtId="0" fontId="173" fillId="48" borderId="87" xfId="8733" applyFont="1" applyFill="1" applyBorder="1" applyAlignment="1" applyProtection="1">
      <alignment horizontal="left"/>
      <protection locked="0"/>
    </xf>
    <xf numFmtId="0" fontId="173" fillId="48" borderId="86" xfId="8733" applyFont="1" applyFill="1" applyBorder="1" applyAlignment="1" applyProtection="1">
      <alignment horizontal="left"/>
      <protection locked="0"/>
    </xf>
    <xf numFmtId="0" fontId="173" fillId="48" borderId="85" xfId="8733" applyFont="1" applyFill="1" applyBorder="1" applyAlignment="1" applyProtection="1">
      <alignment horizontal="left"/>
      <protection locked="0"/>
    </xf>
    <xf numFmtId="0" fontId="103" fillId="48" borderId="80" xfId="8733" applyFont="1" applyFill="1" applyBorder="1" applyAlignment="1">
      <alignment horizontal="left"/>
    </xf>
    <xf numFmtId="0" fontId="103" fillId="48" borderId="79" xfId="8733" applyFont="1" applyFill="1" applyBorder="1" applyAlignment="1">
      <alignment horizontal="left"/>
    </xf>
    <xf numFmtId="44" fontId="3" fillId="48" borderId="84" xfId="700" applyFont="1" applyFill="1" applyBorder="1" applyAlignment="1" applyProtection="1">
      <alignment horizontal="center"/>
      <protection locked="0"/>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0" fontId="175" fillId="48" borderId="11"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0" fontId="173" fillId="48" borderId="11" xfId="8733" applyFont="1" applyFill="1" applyBorder="1" applyAlignment="1" applyProtection="1">
      <alignment horizontal="left"/>
      <protection locked="0"/>
    </xf>
    <xf numFmtId="0" fontId="173" fillId="48" borderId="76" xfId="8733" applyFont="1" applyFill="1" applyBorder="1" applyAlignment="1" applyProtection="1">
      <alignment horizontal="left"/>
      <protection locked="0"/>
    </xf>
    <xf numFmtId="0" fontId="3" fillId="48" borderId="1" xfId="8733" applyFill="1" applyBorder="1" applyAlignment="1">
      <alignment horizontal="center"/>
    </xf>
    <xf numFmtId="0" fontId="3" fillId="48" borderId="2" xfId="8733" applyFill="1" applyBorder="1" applyAlignment="1">
      <alignment horizontal="center"/>
    </xf>
    <xf numFmtId="0" fontId="3" fillId="48" borderId="112" xfId="8733" applyFill="1" applyBorder="1" applyAlignment="1">
      <alignment horizontal="center"/>
    </xf>
    <xf numFmtId="0" fontId="175" fillId="48" borderId="72" xfId="8733" applyFont="1" applyFill="1" applyBorder="1" applyAlignment="1" applyProtection="1">
      <alignment horizontal="center"/>
      <protection locked="0"/>
    </xf>
    <xf numFmtId="0" fontId="175" fillId="48" borderId="11" xfId="8733" applyFont="1" applyFill="1" applyBorder="1" applyAlignment="1" applyProtection="1">
      <alignment horizontal="center"/>
      <protection locked="0"/>
    </xf>
    <xf numFmtId="43" fontId="170" fillId="50" borderId="72" xfId="698" applyFont="1" applyFill="1" applyBorder="1" applyAlignment="1" applyProtection="1">
      <alignment horizontal="left" wrapText="1"/>
      <protection hidden="1"/>
    </xf>
    <xf numFmtId="43" fontId="170" fillId="50" borderId="11" xfId="698" applyFont="1" applyFill="1" applyBorder="1" applyAlignment="1" applyProtection="1">
      <alignment horizontal="left" wrapText="1"/>
      <protection hidden="1"/>
    </xf>
    <xf numFmtId="44" fontId="3" fillId="48" borderId="11" xfId="700" applyFont="1" applyFill="1" applyBorder="1" applyAlignment="1" applyProtection="1">
      <alignment horizontal="center"/>
      <protection hidden="1"/>
    </xf>
    <xf numFmtId="43" fontId="167" fillId="50" borderId="111" xfId="698" applyFont="1" applyFill="1" applyBorder="1" applyAlignment="1" applyProtection="1">
      <alignment horizontal="center"/>
      <protection hidden="1"/>
    </xf>
    <xf numFmtId="43" fontId="167" fillId="50" borderId="84" xfId="698" applyFont="1" applyFill="1" applyBorder="1" applyAlignment="1" applyProtection="1">
      <alignment horizontal="center"/>
      <protection hidden="1"/>
    </xf>
    <xf numFmtId="43" fontId="167" fillId="50" borderId="102" xfId="698" applyFont="1" applyFill="1" applyBorder="1" applyAlignment="1" applyProtection="1">
      <alignment horizontal="center"/>
      <protection hidden="1"/>
    </xf>
    <xf numFmtId="0" fontId="173" fillId="45" borderId="72" xfId="8733" applyFont="1" applyFill="1" applyBorder="1" applyAlignment="1">
      <alignment horizontal="right"/>
    </xf>
    <xf numFmtId="0" fontId="173" fillId="45" borderId="11" xfId="8733" applyFont="1" applyFill="1" applyBorder="1" applyAlignment="1">
      <alignment horizontal="right"/>
    </xf>
    <xf numFmtId="43" fontId="170" fillId="50" borderId="98" xfId="698" applyFont="1" applyFill="1" applyBorder="1" applyAlignment="1" applyProtection="1">
      <alignment horizontal="left"/>
      <protection hidden="1"/>
    </xf>
    <xf numFmtId="43" fontId="170" fillId="50" borderId="13" xfId="698" applyFont="1" applyFill="1" applyBorder="1" applyAlignment="1" applyProtection="1">
      <alignment horizontal="left"/>
      <protection hidden="1"/>
    </xf>
    <xf numFmtId="44" fontId="3" fillId="48" borderId="13" xfId="700" applyFont="1" applyFill="1" applyBorder="1" applyAlignment="1" applyProtection="1">
      <alignment horizontal="center"/>
      <protection locked="0"/>
    </xf>
    <xf numFmtId="0" fontId="173" fillId="48" borderId="9" xfId="8733" applyFont="1" applyFill="1" applyBorder="1" applyAlignment="1">
      <alignment horizontal="center"/>
    </xf>
    <xf numFmtId="0" fontId="173" fillId="48" borderId="6" xfId="8733" applyFont="1" applyFill="1" applyBorder="1" applyAlignment="1">
      <alignment horizontal="center"/>
    </xf>
    <xf numFmtId="0" fontId="173" fillId="48" borderId="82" xfId="8733" applyFont="1" applyFill="1" applyBorder="1" applyAlignment="1">
      <alignment horizontal="center"/>
    </xf>
    <xf numFmtId="0" fontId="3" fillId="48" borderId="3" xfId="8733" applyFill="1" applyBorder="1" applyAlignment="1">
      <alignment horizontal="center"/>
    </xf>
    <xf numFmtId="0" fontId="3" fillId="48" borderId="4" xfId="8733" applyFill="1" applyBorder="1" applyAlignment="1">
      <alignment horizontal="center"/>
    </xf>
    <xf numFmtId="0" fontId="3" fillId="48" borderId="81" xfId="8733" applyFill="1" applyBorder="1" applyAlignment="1">
      <alignment horizontal="center"/>
    </xf>
    <xf numFmtId="168" fontId="175" fillId="44" borderId="11" xfId="700" applyNumberFormat="1" applyFont="1" applyFill="1" applyBorder="1" applyAlignment="1">
      <alignment horizontal="left"/>
    </xf>
    <xf numFmtId="0" fontId="103" fillId="45" borderId="65" xfId="8733" applyFont="1" applyFill="1" applyBorder="1" applyAlignment="1">
      <alignment horizontal="left" wrapText="1"/>
    </xf>
    <xf numFmtId="0" fontId="103" fillId="45" borderId="29" xfId="8733" applyFont="1" applyFill="1" applyBorder="1" applyAlignment="1">
      <alignment horizontal="left" wrapText="1"/>
    </xf>
    <xf numFmtId="0" fontId="103" fillId="45" borderId="31" xfId="8733" applyFont="1" applyFill="1" applyBorder="1" applyAlignment="1">
      <alignment horizontal="left" wrapText="1"/>
    </xf>
    <xf numFmtId="0" fontId="103" fillId="45" borderId="73" xfId="8733" applyFont="1" applyFill="1" applyBorder="1" applyAlignment="1">
      <alignment horizontal="left" wrapText="1"/>
    </xf>
    <xf numFmtId="0" fontId="103" fillId="45" borderId="42" xfId="8733" applyFont="1" applyFill="1" applyBorder="1" applyAlignment="1">
      <alignment horizontal="left" wrapText="1"/>
    </xf>
    <xf numFmtId="0" fontId="103" fillId="45" borderId="44" xfId="8733" applyFont="1" applyFill="1" applyBorder="1" applyAlignment="1">
      <alignment horizontal="left" wrapText="1"/>
    </xf>
    <xf numFmtId="43" fontId="170" fillId="50" borderId="72" xfId="698" applyFont="1" applyFill="1" applyBorder="1" applyAlignment="1" applyProtection="1">
      <alignment horizontal="left"/>
      <protection hidden="1"/>
    </xf>
    <xf numFmtId="43" fontId="170" fillId="50" borderId="11" xfId="698" applyFont="1" applyFill="1" applyBorder="1" applyAlignment="1" applyProtection="1">
      <alignment horizontal="left"/>
      <protection hidden="1"/>
    </xf>
    <xf numFmtId="44" fontId="3" fillId="48" borderId="11" xfId="700" applyFont="1" applyFill="1" applyBorder="1" applyAlignment="1" applyProtection="1">
      <alignment horizontal="center"/>
      <protection locked="0"/>
    </xf>
    <xf numFmtId="0" fontId="103" fillId="45" borderId="67" xfId="8733" applyFont="1" applyFill="1" applyBorder="1" applyAlignment="1">
      <alignment horizontal="center"/>
    </xf>
    <xf numFmtId="0" fontId="103" fillId="45" borderId="68" xfId="8733" applyFont="1" applyFill="1" applyBorder="1" applyAlignment="1">
      <alignment horizontal="center"/>
    </xf>
    <xf numFmtId="0" fontId="167" fillId="45" borderId="68" xfId="8733" applyFont="1" applyFill="1" applyBorder="1" applyAlignment="1">
      <alignment horizontal="center"/>
    </xf>
    <xf numFmtId="0" fontId="167" fillId="45" borderId="71" xfId="8733" applyFont="1" applyFill="1" applyBorder="1" applyAlignment="1">
      <alignment horizontal="center"/>
    </xf>
    <xf numFmtId="0" fontId="174" fillId="51" borderId="11" xfId="8733" applyFont="1" applyFill="1" applyBorder="1" applyAlignment="1">
      <alignment horizontal="center"/>
    </xf>
    <xf numFmtId="0" fontId="174" fillId="51" borderId="76" xfId="8733" applyFont="1" applyFill="1" applyBorder="1" applyAlignment="1">
      <alignment horizontal="center"/>
    </xf>
    <xf numFmtId="0" fontId="175" fillId="45" borderId="72" xfId="8733" applyFont="1" applyFill="1" applyBorder="1" applyAlignment="1">
      <alignment horizontal="right"/>
    </xf>
    <xf numFmtId="0" fontId="175" fillId="45" borderId="11" xfId="8733" applyFont="1" applyFill="1" applyBorder="1" applyAlignment="1">
      <alignment horizontal="right"/>
    </xf>
    <xf numFmtId="168" fontId="175" fillId="48" borderId="11" xfId="700" applyNumberFormat="1" applyFont="1" applyFill="1" applyBorder="1" applyAlignment="1" applyProtection="1">
      <alignment horizontal="left"/>
      <protection locked="0"/>
    </xf>
    <xf numFmtId="168" fontId="173" fillId="44" borderId="11" xfId="700" applyNumberFormat="1" applyFont="1" applyFill="1" applyBorder="1" applyAlignment="1" applyProtection="1">
      <alignment horizontal="left"/>
      <protection locked="0"/>
    </xf>
    <xf numFmtId="0" fontId="103" fillId="45" borderId="71" xfId="8733" applyFont="1" applyFill="1" applyBorder="1" applyAlignment="1">
      <alignment horizontal="center"/>
    </xf>
    <xf numFmtId="0" fontId="167" fillId="45" borderId="67" xfId="8733" applyFont="1" applyFill="1" applyBorder="1" applyAlignment="1">
      <alignment horizontal="left"/>
    </xf>
    <xf numFmtId="0" fontId="167" fillId="45" borderId="68" xfId="8733" applyFont="1" applyFill="1" applyBorder="1" applyAlignment="1">
      <alignment horizontal="left"/>
    </xf>
    <xf numFmtId="0" fontId="167" fillId="45" borderId="71" xfId="8733" applyFont="1" applyFill="1" applyBorder="1" applyAlignment="1">
      <alignment horizontal="left"/>
    </xf>
    <xf numFmtId="0" fontId="103" fillId="45" borderId="72" xfId="8733" applyFont="1" applyFill="1" applyBorder="1" applyAlignment="1">
      <alignment horizontal="center"/>
    </xf>
    <xf numFmtId="0" fontId="103" fillId="45" borderId="11" xfId="8733" applyFont="1" applyFill="1" applyBorder="1" applyAlignment="1">
      <alignment horizontal="center"/>
    </xf>
    <xf numFmtId="0" fontId="103" fillId="45" borderId="76" xfId="8733" applyFont="1" applyFill="1" applyBorder="1" applyAlignment="1">
      <alignment horizontal="center"/>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14" fontId="173" fillId="48" borderId="11" xfId="8733" applyNumberFormat="1" applyFont="1" applyFill="1" applyBorder="1" applyAlignment="1" applyProtection="1">
      <alignment horizontal="center"/>
      <protection locked="0"/>
    </xf>
    <xf numFmtId="14" fontId="173" fillId="48" borderId="76" xfId="8733" applyNumberFormat="1" applyFont="1" applyFill="1" applyBorder="1" applyAlignment="1" applyProtection="1">
      <alignment horizontal="center"/>
      <protection locked="0"/>
    </xf>
    <xf numFmtId="0" fontId="173" fillId="48" borderId="69" xfId="8733" applyFont="1" applyFill="1" applyBorder="1" applyAlignment="1" applyProtection="1">
      <alignment horizontal="center"/>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4" fontId="173" fillId="48" borderId="77" xfId="8733" applyNumberFormat="1" applyFont="1" applyFill="1" applyBorder="1" applyAlignment="1" applyProtection="1">
      <alignment horizontal="center"/>
      <protection locked="0"/>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76" fillId="48" borderId="11" xfId="8733" applyFont="1" applyFill="1" applyBorder="1" applyAlignment="1" applyProtection="1">
      <alignment horizontal="left"/>
      <protection locked="0"/>
    </xf>
    <xf numFmtId="14" fontId="175" fillId="48" borderId="11" xfId="8733" applyNumberFormat="1" applyFont="1" applyFill="1" applyBorder="1" applyAlignment="1" applyProtection="1">
      <alignment horizontal="center"/>
      <protection locked="0"/>
    </xf>
    <xf numFmtId="168" fontId="175" fillId="48" borderId="11" xfId="8734" applyNumberFormat="1" applyFont="1" applyFill="1" applyBorder="1" applyAlignment="1" applyProtection="1">
      <alignment horizontal="center"/>
      <protection locked="0"/>
    </xf>
    <xf numFmtId="168" fontId="175" fillId="48" borderId="76" xfId="8734" applyNumberFormat="1" applyFont="1" applyFill="1" applyBorder="1" applyAlignment="1" applyProtection="1">
      <alignment horizontal="center"/>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6" fillId="48" borderId="70" xfId="8733" applyFont="1" applyFill="1" applyBorder="1" applyAlignment="1" applyProtection="1">
      <alignment horizontal="left"/>
      <protection locked="0"/>
    </xf>
    <xf numFmtId="0" fontId="175" fillId="48" borderId="70" xfId="8733" applyFont="1" applyFill="1" applyBorder="1" applyAlignment="1" applyProtection="1">
      <alignment horizontal="center"/>
      <protection locked="0"/>
    </xf>
    <xf numFmtId="14" fontId="175" fillId="48" borderId="70" xfId="8733" applyNumberFormat="1" applyFont="1" applyFill="1" applyBorder="1" applyAlignment="1" applyProtection="1">
      <alignment horizontal="center"/>
      <protection locked="0"/>
    </xf>
    <xf numFmtId="168" fontId="175" fillId="48" borderId="70" xfId="8734" applyNumberFormat="1" applyFont="1" applyFill="1" applyBorder="1" applyAlignment="1" applyProtection="1">
      <alignment horizontal="center"/>
      <protection locked="0"/>
    </xf>
    <xf numFmtId="168" fontId="175" fillId="48" borderId="77" xfId="8734" applyNumberFormat="1" applyFont="1" applyFill="1" applyBorder="1" applyAlignment="1" applyProtection="1">
      <alignment horizontal="center"/>
      <protection locked="0"/>
    </xf>
    <xf numFmtId="0" fontId="177" fillId="45" borderId="69" xfId="8733" applyFont="1" applyFill="1" applyBorder="1" applyAlignment="1">
      <alignment horizontal="left"/>
    </xf>
    <xf numFmtId="0" fontId="177" fillId="45" borderId="70" xfId="8733" applyFont="1" applyFill="1" applyBorder="1" applyAlignment="1">
      <alignment horizontal="left"/>
    </xf>
    <xf numFmtId="0" fontId="3" fillId="48" borderId="70" xfId="8733" applyFill="1" applyBorder="1" applyAlignment="1" applyProtection="1">
      <alignment horizontal="center"/>
      <protection locked="0"/>
    </xf>
    <xf numFmtId="0" fontId="3" fillId="48" borderId="77" xfId="8733" applyFill="1" applyBorder="1" applyAlignment="1" applyProtection="1">
      <alignment horizontal="center"/>
      <protection locked="0"/>
    </xf>
    <xf numFmtId="0" fontId="167" fillId="45" borderId="67" xfId="8733" applyFont="1" applyFill="1" applyBorder="1" applyAlignment="1">
      <alignment horizontal="center"/>
    </xf>
    <xf numFmtId="0" fontId="166" fillId="45" borderId="11" xfId="8733" applyFont="1" applyFill="1" applyBorder="1" applyAlignment="1">
      <alignment horizontal="center"/>
    </xf>
    <xf numFmtId="0" fontId="177" fillId="45" borderId="72" xfId="8733" applyFont="1" applyFill="1" applyBorder="1" applyAlignment="1">
      <alignment horizontal="left"/>
    </xf>
    <xf numFmtId="0" fontId="177" fillId="45" borderId="11" xfId="8733" applyFont="1" applyFill="1" applyBorder="1" applyAlignment="1">
      <alignment horizontal="left"/>
    </xf>
    <xf numFmtId="0" fontId="3" fillId="48" borderId="11" xfId="8733" applyFill="1" applyBorder="1" applyAlignment="1" applyProtection="1">
      <alignment horizontal="center"/>
      <protection locked="0"/>
    </xf>
    <xf numFmtId="0" fontId="3" fillId="48" borderId="76" xfId="8733" applyFill="1" applyBorder="1" applyAlignment="1" applyProtection="1">
      <alignment horizontal="center"/>
      <protection locked="0"/>
    </xf>
    <xf numFmtId="0" fontId="1" fillId="48" borderId="70" xfId="8733" applyFont="1" applyFill="1" applyBorder="1" applyAlignment="1" applyProtection="1">
      <alignment horizontal="center"/>
      <protection locked="0"/>
    </xf>
    <xf numFmtId="0" fontId="166" fillId="45" borderId="11" xfId="8733" applyFont="1" applyFill="1" applyBorder="1" applyAlignment="1">
      <alignment horizontal="center" wrapText="1"/>
    </xf>
    <xf numFmtId="0" fontId="166" fillId="45" borderId="76" xfId="8733" applyFont="1" applyFill="1" applyBorder="1" applyAlignment="1">
      <alignment horizontal="center" wrapText="1"/>
    </xf>
    <xf numFmtId="0" fontId="166" fillId="48" borderId="90" xfId="8733" applyFont="1" applyFill="1" applyBorder="1" applyAlignment="1">
      <alignment horizontal="left"/>
    </xf>
    <xf numFmtId="0" fontId="166" fillId="48" borderId="4" xfId="8733" applyFont="1" applyFill="1" applyBorder="1" applyAlignment="1">
      <alignment horizontal="left"/>
    </xf>
    <xf numFmtId="0" fontId="166" fillId="48" borderId="5" xfId="8733" applyFont="1" applyFill="1" applyBorder="1" applyAlignment="1">
      <alignment horizontal="left"/>
    </xf>
    <xf numFmtId="0" fontId="170" fillId="48" borderId="68" xfId="8733" applyFont="1" applyFill="1" applyBorder="1" applyAlignment="1" applyProtection="1">
      <alignment horizontal="left"/>
      <protection locked="0"/>
    </xf>
    <xf numFmtId="0" fontId="170" fillId="48" borderId="71" xfId="8733" applyFont="1" applyFill="1" applyBorder="1" applyAlignment="1" applyProtection="1">
      <alignment horizontal="left"/>
      <protection locked="0"/>
    </xf>
    <xf numFmtId="0" fontId="166" fillId="45" borderId="72" xfId="8733" applyFont="1" applyFill="1" applyBorder="1" applyAlignment="1">
      <alignment horizontal="left"/>
    </xf>
    <xf numFmtId="0" fontId="166" fillId="45" borderId="11" xfId="8733" applyFont="1" applyFill="1" applyBorder="1" applyAlignment="1">
      <alignment horizontal="left"/>
    </xf>
    <xf numFmtId="0" fontId="178" fillId="48" borderId="11" xfId="8733" applyFont="1" applyFill="1" applyBorder="1" applyAlignment="1" applyProtection="1">
      <alignment horizontal="left"/>
      <protection locked="0"/>
    </xf>
    <xf numFmtId="0" fontId="178" fillId="48" borderId="76" xfId="8733" applyFont="1" applyFill="1" applyBorder="1" applyAlignment="1" applyProtection="1">
      <alignment horizontal="left"/>
      <protection locked="0"/>
    </xf>
    <xf numFmtId="0" fontId="175" fillId="48" borderId="72" xfId="8733" applyFont="1" applyFill="1" applyBorder="1" applyAlignment="1" applyProtection="1">
      <alignment horizontal="left" vertical="top" wrapText="1"/>
      <protection locked="0"/>
    </xf>
    <xf numFmtId="0" fontId="175" fillId="48" borderId="11" xfId="8733" applyFont="1" applyFill="1" applyBorder="1" applyAlignment="1" applyProtection="1">
      <alignment horizontal="left" vertical="top"/>
      <protection locked="0"/>
    </xf>
    <xf numFmtId="0" fontId="175" fillId="48" borderId="76" xfId="8733" applyFont="1" applyFill="1" applyBorder="1" applyAlignment="1" applyProtection="1">
      <alignment horizontal="left" vertical="top"/>
      <protection locked="0"/>
    </xf>
    <xf numFmtId="0" fontId="175" fillId="48" borderId="72" xfId="8733" applyFont="1" applyFill="1" applyBorder="1" applyAlignment="1" applyProtection="1">
      <alignment horizontal="left" vertical="top"/>
      <protection locked="0"/>
    </xf>
    <xf numFmtId="0" fontId="175" fillId="48" borderId="69" xfId="8733" applyFont="1" applyFill="1" applyBorder="1" applyAlignment="1" applyProtection="1">
      <alignment horizontal="left" vertical="top"/>
      <protection locked="0"/>
    </xf>
    <xf numFmtId="0" fontId="175" fillId="48" borderId="70" xfId="8733" applyFont="1" applyFill="1" applyBorder="1" applyAlignment="1" applyProtection="1">
      <alignment horizontal="left" vertical="top"/>
      <protection locked="0"/>
    </xf>
    <xf numFmtId="0" fontId="175" fillId="48" borderId="77" xfId="8733" applyFont="1" applyFill="1" applyBorder="1" applyAlignment="1" applyProtection="1">
      <alignment horizontal="left" vertical="top"/>
      <protection locked="0"/>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70" fillId="48" borderId="3" xfId="8733" applyFont="1" applyFill="1" applyBorder="1" applyAlignment="1" applyProtection="1">
      <alignment horizontal="center"/>
      <protection locked="0"/>
    </xf>
    <xf numFmtId="0" fontId="170" fillId="48" borderId="4" xfId="8733" applyFont="1" applyFill="1" applyBorder="1" applyAlignment="1" applyProtection="1">
      <alignment horizontal="center"/>
      <protection locked="0"/>
    </xf>
    <xf numFmtId="0" fontId="170" fillId="48" borderId="81" xfId="8733" applyFont="1" applyFill="1" applyBorder="1" applyAlignment="1" applyProtection="1">
      <alignment horizontal="center"/>
      <protection locked="0"/>
    </xf>
    <xf numFmtId="0" fontId="173" fillId="48" borderId="72" xfId="8733" applyFont="1" applyFill="1" applyBorder="1" applyAlignment="1" applyProtection="1">
      <alignment horizontal="left" vertical="top" wrapText="1"/>
      <protection locked="0"/>
    </xf>
    <xf numFmtId="0" fontId="167" fillId="45" borderId="93" xfId="8733" applyFont="1" applyFill="1" applyBorder="1" applyAlignment="1">
      <alignment horizontal="center"/>
    </xf>
    <xf numFmtId="0" fontId="167" fillId="45" borderId="92" xfId="8733" applyFont="1" applyFill="1" applyBorder="1" applyAlignment="1">
      <alignment horizontal="center"/>
    </xf>
    <xf numFmtId="0" fontId="167" fillId="45" borderId="91" xfId="8733" applyFont="1" applyFill="1" applyBorder="1" applyAlignment="1">
      <alignment horizontal="center"/>
    </xf>
    <xf numFmtId="0" fontId="174" fillId="45" borderId="11" xfId="8733" applyFont="1" applyFill="1" applyBorder="1" applyAlignment="1">
      <alignment horizontal="center"/>
    </xf>
    <xf numFmtId="0" fontId="180" fillId="45" borderId="11" xfId="8733" applyFont="1" applyFill="1" applyBorder="1" applyAlignment="1">
      <alignment horizontal="left"/>
    </xf>
    <xf numFmtId="0" fontId="180" fillId="45" borderId="76" xfId="8733" applyFont="1" applyFill="1" applyBorder="1" applyAlignment="1">
      <alignment horizontal="left"/>
    </xf>
    <xf numFmtId="0" fontId="3" fillId="51" borderId="70" xfId="8733" applyFill="1" applyBorder="1" applyAlignment="1" applyProtection="1">
      <alignment horizontal="center"/>
      <protection locked="0"/>
    </xf>
    <xf numFmtId="0" fontId="3" fillId="51" borderId="77" xfId="8733" applyFill="1" applyBorder="1" applyAlignment="1" applyProtection="1">
      <alignment horizontal="center"/>
      <protection locked="0"/>
    </xf>
    <xf numFmtId="0" fontId="103" fillId="45" borderId="67" xfId="8733" applyFont="1" applyFill="1" applyBorder="1" applyAlignment="1" applyProtection="1">
      <alignment horizontal="left" vertical="center" wrapText="1"/>
      <protection locked="0"/>
    </xf>
    <xf numFmtId="0" fontId="103" fillId="45" borderId="68" xfId="8733" applyFont="1" applyFill="1" applyBorder="1" applyAlignment="1" applyProtection="1">
      <alignment horizontal="left" vertical="center" wrapText="1"/>
      <protection locked="0"/>
    </xf>
    <xf numFmtId="0" fontId="103" fillId="45" borderId="72" xfId="8733" applyFont="1" applyFill="1" applyBorder="1" applyAlignment="1" applyProtection="1">
      <alignment horizontal="left" vertical="center" wrapText="1"/>
      <protection locked="0"/>
    </xf>
    <xf numFmtId="0" fontId="103" fillId="45" borderId="11" xfId="8733" applyFont="1" applyFill="1" applyBorder="1" applyAlignment="1" applyProtection="1">
      <alignment horizontal="left" vertical="center" wrapText="1"/>
      <protection locked="0"/>
    </xf>
    <xf numFmtId="0" fontId="170" fillId="48" borderId="68" xfId="8733" applyFont="1" applyFill="1" applyBorder="1" applyAlignment="1" applyProtection="1">
      <alignment horizontal="left" vertical="center" wrapText="1"/>
      <protection locked="0"/>
    </xf>
    <xf numFmtId="0" fontId="170" fillId="48" borderId="71" xfId="8733" applyFont="1" applyFill="1" applyBorder="1" applyAlignment="1" applyProtection="1">
      <alignment horizontal="left" vertical="center" wrapText="1"/>
      <protection locked="0"/>
    </xf>
    <xf numFmtId="0" fontId="170" fillId="48" borderId="11" xfId="8733" applyFont="1" applyFill="1" applyBorder="1" applyAlignment="1" applyProtection="1">
      <alignment horizontal="left" vertical="center" wrapText="1"/>
      <protection locked="0"/>
    </xf>
    <xf numFmtId="0" fontId="170" fillId="48" borderId="76" xfId="8733" applyFont="1" applyFill="1" applyBorder="1" applyAlignment="1" applyProtection="1">
      <alignment horizontal="left" vertical="center" wrapText="1"/>
      <protection locked="0"/>
    </xf>
    <xf numFmtId="0" fontId="173" fillId="48" borderId="11" xfId="8733" applyFont="1" applyFill="1" applyBorder="1" applyAlignment="1" applyProtection="1">
      <alignment horizontal="left" vertical="top" wrapText="1"/>
      <protection locked="0"/>
    </xf>
    <xf numFmtId="0" fontId="173" fillId="48" borderId="69" xfId="8733" applyFont="1" applyFill="1" applyBorder="1" applyAlignment="1" applyProtection="1">
      <alignment horizontal="left" vertical="top" wrapText="1"/>
      <protection locked="0"/>
    </xf>
    <xf numFmtId="0" fontId="173" fillId="48" borderId="70" xfId="8733" applyFont="1" applyFill="1" applyBorder="1" applyAlignment="1" applyProtection="1">
      <alignment horizontal="left" vertical="top" wrapText="1"/>
      <protection locked="0"/>
    </xf>
    <xf numFmtId="0" fontId="170" fillId="48" borderId="11" xfId="8733" applyFont="1" applyFill="1" applyBorder="1" applyAlignment="1" applyProtection="1">
      <alignment horizontal="center" vertical="center" wrapText="1"/>
      <protection locked="0"/>
    </xf>
    <xf numFmtId="0" fontId="170" fillId="48" borderId="76" xfId="8733" applyFont="1" applyFill="1" applyBorder="1" applyAlignment="1" applyProtection="1">
      <alignment horizontal="center" vertical="center" wrapText="1"/>
      <protection locked="0"/>
    </xf>
    <xf numFmtId="0" fontId="170" fillId="48" borderId="70" xfId="8733" applyFont="1" applyFill="1" applyBorder="1" applyAlignment="1" applyProtection="1">
      <alignment horizontal="center" vertical="center" wrapText="1"/>
      <protection locked="0"/>
    </xf>
    <xf numFmtId="0" fontId="170" fillId="48" borderId="77" xfId="8733" applyFont="1" applyFill="1" applyBorder="1" applyAlignment="1" applyProtection="1">
      <alignment horizontal="center" vertical="center" wrapText="1"/>
      <protection locked="0"/>
    </xf>
    <xf numFmtId="0" fontId="103" fillId="45" borderId="67" xfId="8733" applyFont="1" applyFill="1" applyBorder="1" applyAlignment="1">
      <alignment horizontal="left" wrapText="1"/>
    </xf>
    <xf numFmtId="0" fontId="103" fillId="45" borderId="68" xfId="8733" applyFont="1" applyFill="1" applyBorder="1" applyAlignment="1">
      <alignment horizontal="left" wrapText="1"/>
    </xf>
    <xf numFmtId="0" fontId="103" fillId="45" borderId="71" xfId="8733" applyFont="1" applyFill="1" applyBorder="1" applyAlignment="1">
      <alignment horizontal="left" wrapText="1"/>
    </xf>
    <xf numFmtId="0" fontId="103" fillId="45" borderId="72" xfId="8733" applyFont="1" applyFill="1" applyBorder="1" applyAlignment="1">
      <alignment horizontal="left" wrapText="1"/>
    </xf>
    <xf numFmtId="0" fontId="103" fillId="45" borderId="11" xfId="8733" applyFont="1" applyFill="1" applyBorder="1" applyAlignment="1">
      <alignment horizontal="left" wrapText="1"/>
    </xf>
    <xf numFmtId="0" fontId="103" fillId="45" borderId="76" xfId="8733" applyFont="1" applyFill="1" applyBorder="1" applyAlignment="1">
      <alignment horizontal="left" wrapText="1"/>
    </xf>
    <xf numFmtId="0" fontId="103" fillId="45" borderId="65" xfId="8733" applyFont="1" applyFill="1" applyBorder="1" applyAlignment="1">
      <alignment horizontal="center"/>
    </xf>
    <xf numFmtId="0" fontId="103" fillId="45" borderId="29" xfId="8733" applyFont="1" applyFill="1" applyBorder="1" applyAlignment="1">
      <alignment horizontal="center"/>
    </xf>
    <xf numFmtId="0" fontId="103" fillId="45" borderId="31" xfId="8733" applyFont="1" applyFill="1" applyBorder="1" applyAlignment="1">
      <alignment horizontal="center"/>
    </xf>
    <xf numFmtId="0" fontId="174" fillId="45" borderId="69" xfId="8733" applyFont="1" applyFill="1" applyBorder="1" applyAlignment="1">
      <alignment horizontal="center"/>
    </xf>
    <xf numFmtId="0" fontId="174" fillId="45" borderId="70" xfId="8733" applyFont="1" applyFill="1" applyBorder="1" applyAlignment="1">
      <alignment horizontal="center"/>
    </xf>
    <xf numFmtId="0" fontId="174" fillId="45" borderId="72" xfId="8733" applyFont="1" applyFill="1" applyBorder="1" applyAlignment="1">
      <alignment horizontal="center"/>
    </xf>
    <xf numFmtId="10" fontId="3" fillId="48" borderId="94" xfId="8733" applyNumberFormat="1" applyFill="1" applyBorder="1" applyAlignment="1" applyProtection="1">
      <alignment horizontal="center"/>
      <protection locked="0"/>
    </xf>
    <xf numFmtId="10" fontId="3" fillId="48" borderId="86" xfId="8733" applyNumberFormat="1" applyFill="1" applyBorder="1" applyAlignment="1" applyProtection="1">
      <alignment horizontal="center"/>
      <protection locked="0"/>
    </xf>
    <xf numFmtId="10" fontId="3" fillId="48" borderId="85" xfId="8733" applyNumberFormat="1" applyFill="1" applyBorder="1" applyAlignment="1" applyProtection="1">
      <alignment horizontal="center"/>
      <protection locked="0"/>
    </xf>
    <xf numFmtId="0" fontId="174" fillId="45" borderId="11" xfId="8733" applyFont="1" applyFill="1" applyBorder="1" applyAlignment="1">
      <alignment horizontal="center" wrapText="1"/>
    </xf>
    <xf numFmtId="0" fontId="166" fillId="45" borderId="76" xfId="8733" applyFont="1" applyFill="1" applyBorder="1" applyAlignment="1">
      <alignment horizontal="center"/>
    </xf>
    <xf numFmtId="0" fontId="170" fillId="48" borderId="68" xfId="8733" applyFont="1" applyFill="1" applyBorder="1" applyAlignment="1" applyProtection="1">
      <alignment horizontal="left" wrapText="1"/>
      <protection locked="0"/>
    </xf>
    <xf numFmtId="0" fontId="170" fillId="48" borderId="71" xfId="8733" applyFont="1" applyFill="1" applyBorder="1" applyAlignment="1" applyProtection="1">
      <alignment horizontal="left" wrapText="1"/>
      <protection locked="0"/>
    </xf>
    <xf numFmtId="0" fontId="170" fillId="48" borderId="11" xfId="8733" applyFont="1" applyFill="1" applyBorder="1" applyAlignment="1" applyProtection="1">
      <alignment horizontal="left" wrapText="1"/>
      <protection locked="0"/>
    </xf>
    <xf numFmtId="0" fontId="170" fillId="48" borderId="76" xfId="8733" applyFont="1" applyFill="1" applyBorder="1" applyAlignment="1" applyProtection="1">
      <alignment horizontal="left" wrapText="1"/>
      <protection locked="0"/>
    </xf>
    <xf numFmtId="0" fontId="3" fillId="48" borderId="9" xfId="8733" applyFill="1" applyBorder="1" applyAlignment="1" applyProtection="1">
      <alignment horizontal="center"/>
      <protection locked="0"/>
    </xf>
    <xf numFmtId="0" fontId="3" fillId="48" borderId="6" xfId="8733" applyFill="1" applyBorder="1" applyAlignment="1" applyProtection="1">
      <alignment horizontal="center"/>
      <protection locked="0"/>
    </xf>
    <xf numFmtId="0" fontId="3" fillId="48" borderId="82" xfId="8733" applyFill="1" applyBorder="1" applyAlignment="1" applyProtection="1">
      <alignment horizontal="center"/>
      <protection locked="0"/>
    </xf>
    <xf numFmtId="0" fontId="174" fillId="45" borderId="97" xfId="8733" applyFont="1" applyFill="1" applyBorder="1" applyAlignment="1">
      <alignment horizontal="left"/>
    </xf>
    <xf numFmtId="0" fontId="174" fillId="45" borderId="2" xfId="8733" applyFont="1" applyFill="1" applyBorder="1" applyAlignment="1">
      <alignment horizontal="left"/>
    </xf>
    <xf numFmtId="0" fontId="174" fillId="45" borderId="7" xfId="8733" applyFont="1" applyFill="1" applyBorder="1" applyAlignment="1">
      <alignment horizontal="left"/>
    </xf>
    <xf numFmtId="10" fontId="3" fillId="0" borderId="94" xfId="8733" applyNumberFormat="1" applyBorder="1" applyAlignment="1">
      <alignment horizontal="center"/>
    </xf>
    <xf numFmtId="10" fontId="3" fillId="0" borderId="86" xfId="8733" applyNumberFormat="1" applyBorder="1" applyAlignment="1">
      <alignment horizontal="center"/>
    </xf>
    <xf numFmtId="10" fontId="3" fillId="0" borderId="85" xfId="8733" applyNumberFormat="1" applyBorder="1" applyAlignment="1">
      <alignment horizontal="center"/>
    </xf>
    <xf numFmtId="0" fontId="174" fillId="45" borderId="73" xfId="8733" applyFont="1" applyFill="1" applyBorder="1" applyAlignment="1">
      <alignment horizontal="left"/>
    </xf>
    <xf numFmtId="0" fontId="174" fillId="45" borderId="42" xfId="8733" applyFont="1" applyFill="1" applyBorder="1" applyAlignment="1">
      <alignment horizontal="left"/>
    </xf>
    <xf numFmtId="0" fontId="174" fillId="45" borderId="96" xfId="8733" applyFont="1" applyFill="1" applyBorder="1" applyAlignment="1">
      <alignment horizontal="left"/>
    </xf>
    <xf numFmtId="0" fontId="103" fillId="45" borderId="67" xfId="8733" applyFont="1" applyFill="1" applyBorder="1" applyAlignment="1">
      <alignment horizontal="center" wrapText="1"/>
    </xf>
    <xf numFmtId="0" fontId="103" fillId="45" borderId="68" xfId="8733" applyFont="1" applyFill="1" applyBorder="1" applyAlignment="1">
      <alignment horizontal="center" wrapText="1"/>
    </xf>
    <xf numFmtId="0" fontId="103" fillId="45" borderId="71" xfId="8733" applyFont="1" applyFill="1" applyBorder="1" applyAlignment="1">
      <alignment horizontal="center" wrapText="1"/>
    </xf>
    <xf numFmtId="0" fontId="175" fillId="48" borderId="72" xfId="8733" applyFont="1" applyFill="1" applyBorder="1" applyAlignment="1" applyProtection="1">
      <alignment horizontal="right"/>
      <protection locked="0"/>
    </xf>
    <xf numFmtId="0" fontId="175" fillId="48" borderId="11" xfId="8733" applyFont="1" applyFill="1" applyBorder="1" applyAlignment="1" applyProtection="1">
      <alignment horizontal="right"/>
      <protection locked="0"/>
    </xf>
    <xf numFmtId="168" fontId="175" fillId="48" borderId="76" xfId="700" applyNumberFormat="1" applyFont="1" applyFill="1" applyBorder="1" applyAlignment="1" applyProtection="1">
      <alignment horizontal="left"/>
      <protection locked="0"/>
    </xf>
    <xf numFmtId="0" fontId="167" fillId="45" borderId="98" xfId="8733" applyFont="1" applyFill="1" applyBorder="1" applyAlignment="1">
      <alignment horizontal="center"/>
    </xf>
    <xf numFmtId="0" fontId="167" fillId="45" borderId="13" xfId="8733"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67" fillId="45" borderId="89" xfId="8733" applyFont="1" applyFill="1" applyBorder="1" applyAlignment="1">
      <alignment horizontal="right"/>
    </xf>
    <xf numFmtId="0" fontId="167" fillId="45" borderId="43" xfId="8733" applyFont="1" applyFill="1" applyBorder="1" applyAlignment="1">
      <alignment horizontal="right"/>
    </xf>
    <xf numFmtId="168" fontId="167" fillId="45" borderId="43" xfId="8733" applyNumberFormat="1" applyFont="1" applyFill="1" applyBorder="1" applyAlignment="1">
      <alignment horizontal="left"/>
    </xf>
    <xf numFmtId="168" fontId="167" fillId="45" borderId="88" xfId="8733" applyNumberFormat="1" applyFont="1" applyFill="1" applyBorder="1" applyAlignment="1">
      <alignment horizontal="left"/>
    </xf>
    <xf numFmtId="0" fontId="173" fillId="48" borderId="68" xfId="8733" applyFont="1" applyFill="1" applyBorder="1" applyAlignment="1" applyProtection="1">
      <alignment horizontal="left"/>
      <protection locked="0"/>
    </xf>
    <xf numFmtId="0" fontId="173" fillId="48" borderId="71" xfId="8733" applyFont="1" applyFill="1" applyBorder="1" applyAlignment="1" applyProtection="1">
      <alignment horizontal="left"/>
      <protection locked="0"/>
    </xf>
    <xf numFmtId="0" fontId="167" fillId="45" borderId="69" xfId="8733" applyFont="1" applyFill="1" applyBorder="1" applyAlignment="1">
      <alignment horizontal="center"/>
    </xf>
    <xf numFmtId="0" fontId="167" fillId="45" borderId="70" xfId="8733" applyFont="1" applyFill="1" applyBorder="1" applyAlignment="1">
      <alignment horizontal="center"/>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0" fontId="170" fillId="48" borderId="74" xfId="8733" applyFont="1" applyFill="1" applyBorder="1" applyAlignment="1" applyProtection="1">
      <alignment horizontal="left"/>
      <protection locked="0"/>
    </xf>
    <xf numFmtId="0" fontId="167" fillId="45" borderId="72" xfId="8733" applyFont="1" applyFill="1" applyBorder="1" applyAlignment="1">
      <alignment horizontal="center"/>
    </xf>
    <xf numFmtId="0" fontId="167" fillId="45" borderId="11" xfId="8733" applyFont="1" applyFill="1" applyBorder="1" applyAlignment="1">
      <alignment horizontal="center"/>
    </xf>
    <xf numFmtId="0" fontId="167" fillId="45" borderId="3" xfId="8733" applyFont="1" applyFill="1" applyBorder="1" applyAlignment="1">
      <alignment horizontal="center"/>
    </xf>
    <xf numFmtId="0" fontId="167" fillId="45" borderId="4" xfId="8733" applyFont="1" applyFill="1" applyBorder="1" applyAlignment="1">
      <alignment horizontal="center"/>
    </xf>
    <xf numFmtId="0" fontId="167" fillId="45" borderId="81" xfId="8733" applyFont="1" applyFill="1" applyBorder="1" applyAlignment="1">
      <alignment horizontal="center"/>
    </xf>
    <xf numFmtId="0" fontId="103" fillId="45" borderId="69" xfId="8733" applyFont="1" applyFill="1" applyBorder="1" applyAlignment="1">
      <alignment horizontal="center"/>
    </xf>
    <xf numFmtId="0" fontId="103" fillId="45" borderId="70" xfId="8733" applyFont="1" applyFill="1" applyBorder="1" applyAlignment="1">
      <alignment horizontal="center"/>
    </xf>
    <xf numFmtId="0" fontId="173" fillId="44" borderId="72" xfId="8733" applyFont="1" applyFill="1" applyBorder="1" applyAlignment="1" applyProtection="1">
      <alignment horizontal="right"/>
      <protection locked="0"/>
    </xf>
    <xf numFmtId="0" fontId="173" fillId="44" borderId="11" xfId="8733" applyFont="1" applyFill="1" applyBorder="1" applyAlignment="1" applyProtection="1">
      <alignment horizontal="right"/>
      <protection locked="0"/>
    </xf>
    <xf numFmtId="0" fontId="173" fillId="44" borderId="76" xfId="8733" applyFont="1" applyFill="1" applyBorder="1" applyAlignment="1" applyProtection="1">
      <alignment horizontal="right"/>
      <protection locked="0"/>
    </xf>
    <xf numFmtId="0" fontId="173" fillId="48" borderId="5" xfId="8733" applyFont="1" applyFill="1" applyBorder="1" applyAlignment="1" applyProtection="1">
      <alignment horizontal="left"/>
      <protection locked="0"/>
    </xf>
    <xf numFmtId="0" fontId="173" fillId="44" borderId="69" xfId="8733" applyFont="1" applyFill="1" applyBorder="1" applyAlignment="1" applyProtection="1">
      <alignment horizontal="right"/>
      <protection locked="0"/>
    </xf>
    <xf numFmtId="0" fontId="173" fillId="44" borderId="70" xfId="8733" applyFont="1" applyFill="1" applyBorder="1" applyAlignment="1" applyProtection="1">
      <alignment horizontal="right"/>
      <protection locked="0"/>
    </xf>
    <xf numFmtId="0" fontId="173" fillId="44" borderId="77" xfId="8733" applyFont="1" applyFill="1" applyBorder="1" applyAlignment="1" applyProtection="1">
      <alignment horizontal="right"/>
      <protection locked="0"/>
    </xf>
    <xf numFmtId="0" fontId="173" fillId="48" borderId="95" xfId="8733" applyFont="1" applyFill="1" applyBorder="1" applyAlignment="1" applyProtection="1">
      <alignment horizontal="left"/>
      <protection locked="0"/>
    </xf>
    <xf numFmtId="0" fontId="167" fillId="45" borderId="65" xfId="8733" applyFont="1" applyFill="1" applyBorder="1" applyAlignment="1">
      <alignment horizontal="center"/>
    </xf>
    <xf numFmtId="0" fontId="167" fillId="45" borderId="29" xfId="8733" applyFont="1" applyFill="1" applyBorder="1" applyAlignment="1">
      <alignment horizontal="center"/>
    </xf>
    <xf numFmtId="0" fontId="167" fillId="45" borderId="31"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 fontId="173" fillId="48" borderId="11" xfId="8733" applyNumberFormat="1" applyFont="1" applyFill="1" applyBorder="1" applyAlignment="1" applyProtection="1">
      <alignment horizontal="center"/>
      <protection locked="0"/>
    </xf>
    <xf numFmtId="0" fontId="173" fillId="48" borderId="11" xfId="700" applyNumberFormat="1" applyFont="1" applyFill="1" applyBorder="1" applyAlignment="1" applyProtection="1">
      <alignment horizontal="left"/>
      <protection locked="0"/>
    </xf>
    <xf numFmtId="0" fontId="173" fillId="48" borderId="76" xfId="700" applyNumberFormat="1" applyFont="1" applyFill="1" applyBorder="1" applyAlignment="1" applyProtection="1">
      <alignment horizontal="left"/>
      <protection locked="0"/>
    </xf>
    <xf numFmtId="168" fontId="174" fillId="45" borderId="70" xfId="8734" applyNumberFormat="1" applyFont="1" applyFill="1" applyBorder="1" applyAlignment="1">
      <alignment horizontal="center"/>
    </xf>
    <xf numFmtId="1" fontId="174" fillId="45" borderId="70" xfId="8734" applyNumberFormat="1" applyFont="1" applyFill="1" applyBorder="1" applyAlignment="1">
      <alignment horizontal="center"/>
    </xf>
    <xf numFmtId="0" fontId="174" fillId="45" borderId="70" xfId="8734" applyNumberFormat="1" applyFont="1" applyFill="1" applyBorder="1" applyAlignment="1">
      <alignment horizontal="center"/>
    </xf>
    <xf numFmtId="0" fontId="174" fillId="45" borderId="77" xfId="8734" applyNumberFormat="1" applyFont="1" applyFill="1" applyBorder="1" applyAlignment="1">
      <alignment horizontal="center"/>
    </xf>
    <xf numFmtId="0" fontId="166" fillId="45" borderId="11" xfId="8733" applyFont="1" applyFill="1" applyBorder="1" applyAlignment="1">
      <alignment horizontal="center" vertical="center" wrapText="1"/>
    </xf>
    <xf numFmtId="0" fontId="166" fillId="45" borderId="76" xfId="8733" applyFont="1" applyFill="1" applyBorder="1" applyAlignment="1">
      <alignment horizontal="center" vertical="center" wrapText="1"/>
    </xf>
    <xf numFmtId="1" fontId="178" fillId="48" borderId="70" xfId="8733" applyNumberFormat="1" applyFont="1" applyFill="1" applyBorder="1" applyAlignment="1" applyProtection="1">
      <alignment horizontal="center"/>
      <protection locked="0"/>
    </xf>
    <xf numFmtId="1" fontId="178" fillId="48" borderId="94" xfId="8733" applyNumberFormat="1" applyFont="1" applyFill="1" applyBorder="1" applyAlignment="1" applyProtection="1">
      <alignment horizontal="center"/>
      <protection locked="0"/>
    </xf>
    <xf numFmtId="1" fontId="178" fillId="48" borderId="86" xfId="8733" applyNumberFormat="1" applyFont="1" applyFill="1" applyBorder="1" applyAlignment="1" applyProtection="1">
      <alignment horizontal="center"/>
      <protection locked="0"/>
    </xf>
    <xf numFmtId="1" fontId="178" fillId="48" borderId="95" xfId="8733" applyNumberFormat="1" applyFont="1" applyFill="1" applyBorder="1" applyAlignment="1" applyProtection="1">
      <alignment horizontal="center"/>
      <protection locked="0"/>
    </xf>
    <xf numFmtId="1" fontId="178" fillId="48" borderId="3" xfId="8733" applyNumberFormat="1" applyFont="1" applyFill="1" applyBorder="1" applyAlignment="1" applyProtection="1">
      <alignment horizontal="center"/>
      <protection locked="0"/>
    </xf>
    <xf numFmtId="1" fontId="178" fillId="48" borderId="4" xfId="8733" applyNumberFormat="1" applyFont="1" applyFill="1" applyBorder="1" applyAlignment="1" applyProtection="1">
      <alignment horizontal="center"/>
      <protection locked="0"/>
    </xf>
    <xf numFmtId="1" fontId="178" fillId="48" borderId="5" xfId="8733" applyNumberFormat="1" applyFont="1" applyFill="1" applyBorder="1" applyAlignment="1" applyProtection="1">
      <alignment horizontal="center"/>
      <protection locked="0"/>
    </xf>
    <xf numFmtId="1" fontId="166" fillId="44" borderId="3" xfId="8733" applyNumberFormat="1" applyFont="1" applyFill="1" applyBorder="1" applyAlignment="1">
      <alignment horizontal="center"/>
    </xf>
    <xf numFmtId="1" fontId="166" fillId="44" borderId="4" xfId="8733" applyNumberFormat="1" applyFont="1" applyFill="1" applyBorder="1" applyAlignment="1">
      <alignment horizontal="center"/>
    </xf>
    <xf numFmtId="1" fontId="166" fillId="44" borderId="5" xfId="8733" applyNumberFormat="1" applyFont="1" applyFill="1" applyBorder="1" applyAlignment="1">
      <alignment horizontal="center"/>
    </xf>
    <xf numFmtId="9" fontId="166" fillId="44" borderId="3" xfId="8735" applyFont="1" applyFill="1" applyBorder="1" applyAlignment="1">
      <alignment horizontal="center"/>
    </xf>
    <xf numFmtId="9" fontId="166" fillId="44" borderId="4" xfId="8735" applyFont="1" applyFill="1" applyBorder="1" applyAlignment="1">
      <alignment horizontal="center"/>
    </xf>
    <xf numFmtId="9" fontId="166" fillId="44" borderId="81" xfId="8735" applyFont="1" applyFill="1" applyBorder="1" applyAlignment="1">
      <alignment horizontal="center"/>
    </xf>
    <xf numFmtId="0" fontId="173" fillId="48" borderId="69" xfId="8733" applyFont="1" applyFill="1" applyBorder="1" applyAlignment="1" applyProtection="1">
      <alignment horizontal="right"/>
      <protection locked="0"/>
    </xf>
    <xf numFmtId="0" fontId="173" fillId="48" borderId="70" xfId="8733" applyFont="1" applyFill="1" applyBorder="1" applyAlignment="1" applyProtection="1">
      <alignment horizontal="right"/>
      <protection locked="0"/>
    </xf>
    <xf numFmtId="0" fontId="178" fillId="48" borderId="70" xfId="8733" applyFont="1" applyFill="1" applyBorder="1" applyAlignment="1" applyProtection="1">
      <alignment horizontal="center"/>
      <protection locked="0"/>
    </xf>
    <xf numFmtId="9" fontId="166" fillId="44" borderId="94" xfId="8735" applyFont="1" applyFill="1" applyBorder="1" applyAlignment="1">
      <alignment horizontal="center"/>
    </xf>
    <xf numFmtId="9" fontId="166" fillId="44" borderId="86" xfId="8735" applyFont="1" applyFill="1" applyBorder="1" applyAlignment="1">
      <alignment horizontal="center"/>
    </xf>
    <xf numFmtId="9" fontId="166" fillId="44" borderId="85" xfId="8735" applyFont="1" applyFill="1" applyBorder="1" applyAlignment="1">
      <alignment horizontal="center"/>
    </xf>
    <xf numFmtId="0" fontId="178" fillId="48" borderId="11" xfId="8733" applyFont="1" applyFill="1" applyBorder="1" applyAlignment="1" applyProtection="1">
      <alignment horizontal="center"/>
      <protection locked="0"/>
    </xf>
    <xf numFmtId="1" fontId="178" fillId="48" borderId="11" xfId="8733" applyNumberFormat="1" applyFont="1" applyFill="1" applyBorder="1" applyAlignment="1" applyProtection="1">
      <alignment horizontal="center"/>
      <protection locked="0"/>
    </xf>
    <xf numFmtId="0" fontId="174" fillId="44" borderId="101" xfId="8733" applyFont="1" applyFill="1" applyBorder="1" applyAlignment="1">
      <alignment horizontal="center"/>
    </xf>
    <xf numFmtId="0" fontId="174" fillId="44" borderId="42" xfId="8733" applyFont="1" applyFill="1" applyBorder="1" applyAlignment="1">
      <alignment horizontal="center"/>
    </xf>
    <xf numFmtId="0" fontId="174" fillId="44" borderId="96" xfId="8733" applyFont="1" applyFill="1" applyBorder="1" applyAlignment="1">
      <alignment horizontal="center"/>
    </xf>
    <xf numFmtId="9" fontId="174" fillId="44" borderId="101" xfId="1022" applyFont="1" applyFill="1" applyBorder="1" applyAlignment="1">
      <alignment horizontal="center"/>
    </xf>
    <xf numFmtId="9" fontId="174" fillId="44" borderId="42" xfId="1022" applyFont="1" applyFill="1" applyBorder="1" applyAlignment="1">
      <alignment horizontal="center"/>
    </xf>
    <xf numFmtId="9" fontId="174" fillId="44" borderId="44" xfId="1022" applyFont="1" applyFill="1" applyBorder="1" applyAlignment="1">
      <alignment horizontal="center"/>
    </xf>
    <xf numFmtId="0" fontId="167" fillId="45" borderId="80" xfId="8733" applyFont="1" applyFill="1" applyBorder="1" applyAlignment="1">
      <alignment horizontal="center"/>
    </xf>
    <xf numFmtId="0" fontId="167" fillId="45" borderId="79" xfId="8733" applyFont="1" applyFill="1" applyBorder="1" applyAlignment="1">
      <alignment horizontal="center"/>
    </xf>
    <xf numFmtId="0" fontId="167" fillId="45" borderId="78" xfId="8733" applyFont="1" applyFill="1" applyBorder="1" applyAlignment="1">
      <alignment horizontal="center"/>
    </xf>
    <xf numFmtId="0" fontId="166" fillId="45" borderId="98" xfId="8733" applyFont="1" applyFill="1" applyBorder="1" applyAlignment="1">
      <alignment horizontal="center" vertical="center" wrapText="1"/>
    </xf>
    <xf numFmtId="0" fontId="166" fillId="45" borderId="13" xfId="8733" applyFont="1" applyFill="1" applyBorder="1" applyAlignment="1">
      <alignment horizontal="center" vertical="center"/>
    </xf>
    <xf numFmtId="0" fontId="166" fillId="45" borderId="72" xfId="8733" applyFont="1" applyFill="1" applyBorder="1" applyAlignment="1">
      <alignment horizontal="center" vertical="center"/>
    </xf>
    <xf numFmtId="0" fontId="166" fillId="45" borderId="11" xfId="8733" applyFont="1" applyFill="1" applyBorder="1" applyAlignment="1">
      <alignment horizontal="center" vertical="center"/>
    </xf>
    <xf numFmtId="0" fontId="174" fillId="45" borderId="13" xfId="8733" applyFont="1" applyFill="1" applyBorder="1" applyAlignment="1">
      <alignment horizontal="center" vertical="center" wrapText="1"/>
    </xf>
    <xf numFmtId="0" fontId="174" fillId="45" borderId="13" xfId="8733" applyFont="1" applyFill="1" applyBorder="1" applyAlignment="1">
      <alignment horizontal="center" vertical="center"/>
    </xf>
    <xf numFmtId="0" fontId="174" fillId="45" borderId="11" xfId="8733" applyFont="1" applyFill="1" applyBorder="1" applyAlignment="1">
      <alignment horizontal="center" vertical="center"/>
    </xf>
    <xf numFmtId="0" fontId="174" fillId="45" borderId="9" xfId="8733" applyFont="1" applyFill="1" applyBorder="1" applyAlignment="1">
      <alignment horizontal="center" vertical="center"/>
    </xf>
    <xf numFmtId="0" fontId="174" fillId="45" borderId="3" xfId="8733" applyFont="1" applyFill="1" applyBorder="1" applyAlignment="1">
      <alignment horizontal="center" vertic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6" fillId="45" borderId="65" xfId="8733" applyFont="1" applyFill="1" applyBorder="1" applyAlignment="1">
      <alignment horizontal="center" vertical="center" wrapText="1"/>
    </xf>
    <xf numFmtId="0" fontId="166" fillId="45" borderId="29" xfId="8733" applyFont="1" applyFill="1" applyBorder="1" applyAlignment="1">
      <alignment horizontal="center" vertical="center" wrapText="1"/>
    </xf>
    <xf numFmtId="0" fontId="166" fillId="45" borderId="31" xfId="8733" applyFont="1" applyFill="1" applyBorder="1" applyAlignment="1">
      <alignment horizontal="center" vertical="center" wrapText="1"/>
    </xf>
    <xf numFmtId="0" fontId="166" fillId="45" borderId="73" xfId="8733" applyFont="1" applyFill="1" applyBorder="1" applyAlignment="1">
      <alignment horizontal="center" vertical="center" wrapText="1"/>
    </xf>
    <xf numFmtId="0" fontId="166" fillId="45" borderId="42" xfId="8733" applyFont="1" applyFill="1" applyBorder="1" applyAlignment="1">
      <alignment horizontal="center" vertical="center" wrapText="1"/>
    </xf>
    <xf numFmtId="0" fontId="166" fillId="45" borderId="44" xfId="8733" applyFont="1" applyFill="1" applyBorder="1" applyAlignment="1">
      <alignment horizontal="center" vertical="center" wrapText="1"/>
    </xf>
    <xf numFmtId="9" fontId="174" fillId="48" borderId="13" xfId="8733" applyNumberFormat="1" applyFont="1" applyFill="1" applyBorder="1" applyAlignment="1" applyProtection="1">
      <alignment horizontal="center"/>
      <protection locked="0"/>
    </xf>
    <xf numFmtId="0" fontId="174" fillId="44" borderId="73" xfId="8733" applyFont="1" applyFill="1" applyBorder="1" applyAlignment="1">
      <alignment horizontal="center"/>
    </xf>
    <xf numFmtId="0" fontId="166" fillId="44" borderId="9" xfId="8733" applyFont="1" applyFill="1" applyBorder="1" applyAlignment="1">
      <alignment horizontal="center"/>
    </xf>
    <xf numFmtId="0" fontId="166" fillId="44" borderId="6" xfId="8733" applyFont="1" applyFill="1" applyBorder="1" applyAlignment="1">
      <alignment horizontal="center"/>
    </xf>
    <xf numFmtId="0" fontId="166" fillId="44" borderId="82" xfId="8733" applyFont="1" applyFill="1" applyBorder="1" applyAlignment="1">
      <alignment horizontal="center"/>
    </xf>
    <xf numFmtId="9" fontId="174" fillId="48" borderId="9" xfId="8733" applyNumberFormat="1" applyFont="1" applyFill="1" applyBorder="1" applyAlignment="1" applyProtection="1">
      <alignment horizontal="center"/>
      <protection locked="0"/>
    </xf>
    <xf numFmtId="9" fontId="174" fillId="48" borderId="6" xfId="8733" applyNumberFormat="1" applyFont="1" applyFill="1" applyBorder="1" applyAlignment="1" applyProtection="1">
      <alignment horizontal="center"/>
      <protection locked="0"/>
    </xf>
    <xf numFmtId="9" fontId="174" fillId="48" borderId="10" xfId="8733" applyNumberFormat="1" applyFont="1" applyFill="1" applyBorder="1" applyAlignment="1" applyProtection="1">
      <alignment horizontal="center"/>
      <protection locked="0"/>
    </xf>
    <xf numFmtId="9" fontId="166" fillId="48" borderId="9" xfId="8733" applyNumberFormat="1" applyFont="1" applyFill="1" applyBorder="1" applyAlignment="1" applyProtection="1">
      <alignment horizontal="center"/>
      <protection locked="0"/>
    </xf>
    <xf numFmtId="9" fontId="166" fillId="48" borderId="6" xfId="8733" applyNumberFormat="1" applyFont="1" applyFill="1" applyBorder="1" applyAlignment="1" applyProtection="1">
      <alignment horizontal="center"/>
      <protection locked="0"/>
    </xf>
    <xf numFmtId="9" fontId="166" fillId="48" borderId="10" xfId="8733" applyNumberFormat="1" applyFont="1" applyFill="1" applyBorder="1" applyAlignment="1" applyProtection="1">
      <alignment horizontal="center"/>
      <protection locked="0"/>
    </xf>
    <xf numFmtId="0" fontId="166" fillId="44" borderId="10" xfId="8733" applyFont="1" applyFill="1" applyBorder="1" applyAlignment="1">
      <alignment horizontal="center"/>
    </xf>
    <xf numFmtId="0" fontId="173" fillId="48" borderId="3" xfId="8733" applyFont="1" applyFill="1" applyBorder="1" applyAlignment="1" applyProtection="1">
      <alignment horizontal="center"/>
      <protection locked="0"/>
    </xf>
    <xf numFmtId="0" fontId="173" fillId="48" borderId="4" xfId="8733" applyFont="1" applyFill="1" applyBorder="1" applyAlignment="1" applyProtection="1">
      <alignment horizontal="center"/>
      <protection locked="0"/>
    </xf>
    <xf numFmtId="0" fontId="173" fillId="48" borderId="5" xfId="8733" applyFont="1" applyFill="1" applyBorder="1" applyAlignment="1" applyProtection="1">
      <alignment horizontal="center"/>
      <protection locked="0"/>
    </xf>
    <xf numFmtId="9" fontId="174" fillId="44" borderId="3" xfId="8733" applyNumberFormat="1" applyFont="1" applyFill="1" applyBorder="1" applyAlignment="1">
      <alignment horizontal="center"/>
    </xf>
    <xf numFmtId="9" fontId="174" fillId="44" borderId="4" xfId="8733" applyNumberFormat="1" applyFont="1" applyFill="1" applyBorder="1" applyAlignment="1">
      <alignment horizontal="center"/>
    </xf>
    <xf numFmtId="9" fontId="174" fillId="44" borderId="81" xfId="8733" applyNumberFormat="1" applyFont="1" applyFill="1" applyBorder="1" applyAlignment="1">
      <alignment horizontal="center"/>
    </xf>
    <xf numFmtId="0" fontId="174" fillId="44" borderId="87" xfId="8733" applyFont="1" applyFill="1" applyBorder="1" applyAlignment="1">
      <alignment horizontal="center"/>
    </xf>
    <xf numFmtId="0" fontId="174" fillId="44" borderId="86" xfId="8733" applyFont="1" applyFill="1" applyBorder="1" applyAlignment="1">
      <alignment horizontal="center"/>
    </xf>
    <xf numFmtId="0" fontId="174" fillId="44" borderId="95" xfId="8733" applyFont="1" applyFill="1" applyBorder="1" applyAlignment="1">
      <alignment horizontal="center"/>
    </xf>
    <xf numFmtId="0" fontId="173" fillId="44" borderId="94"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9" fontId="174" fillId="44" borderId="94" xfId="8733" applyNumberFormat="1" applyFont="1" applyFill="1" applyBorder="1" applyAlignment="1">
      <alignment horizontal="center"/>
    </xf>
    <xf numFmtId="9" fontId="174" fillId="44" borderId="86" xfId="8733" applyNumberFormat="1" applyFont="1" applyFill="1" applyBorder="1" applyAlignment="1">
      <alignment horizontal="center"/>
    </xf>
    <xf numFmtId="9" fontId="174" fillId="44" borderId="85" xfId="8733" applyNumberFormat="1" applyFont="1" applyFill="1" applyBorder="1" applyAlignment="1">
      <alignment horizontal="center"/>
    </xf>
    <xf numFmtId="9" fontId="173" fillId="48" borderId="90" xfId="8733" applyNumberFormat="1" applyFont="1" applyFill="1" applyBorder="1" applyAlignment="1" applyProtection="1">
      <alignment horizontal="center"/>
      <protection locked="0"/>
    </xf>
    <xf numFmtId="9" fontId="173" fillId="48" borderId="4" xfId="8733" applyNumberFormat="1" applyFont="1" applyFill="1" applyBorder="1" applyAlignment="1" applyProtection="1">
      <alignment horizontal="center"/>
      <protection locked="0"/>
    </xf>
    <xf numFmtId="9" fontId="173" fillId="48" borderId="5" xfId="8733" applyNumberFormat="1" applyFont="1" applyFill="1" applyBorder="1" applyAlignment="1" applyProtection="1">
      <alignment horizontal="center"/>
      <protection locked="0"/>
    </xf>
    <xf numFmtId="0" fontId="173" fillId="44" borderId="3" xfId="8733" applyFont="1" applyFill="1" applyBorder="1" applyAlignment="1">
      <alignment horizontal="center"/>
    </xf>
    <xf numFmtId="0" fontId="173" fillId="44" borderId="4" xfId="8733" applyFont="1" applyFill="1" applyBorder="1" applyAlignment="1">
      <alignment horizontal="center"/>
    </xf>
    <xf numFmtId="0" fontId="173" fillId="44" borderId="5" xfId="8733" applyFont="1" applyFill="1" applyBorder="1" applyAlignment="1">
      <alignment horizontal="center"/>
    </xf>
    <xf numFmtId="0" fontId="103" fillId="45" borderId="80" xfId="8733" applyFont="1" applyFill="1" applyBorder="1" applyAlignment="1">
      <alignment horizontal="right"/>
    </xf>
    <xf numFmtId="0" fontId="103" fillId="45" borderId="79" xfId="8733" applyFont="1" applyFill="1" applyBorder="1" applyAlignment="1">
      <alignment horizontal="right"/>
    </xf>
    <xf numFmtId="0" fontId="103" fillId="45" borderId="103" xfId="8733" applyFont="1" applyFill="1" applyBorder="1" applyAlignment="1">
      <alignment horizontal="right"/>
    </xf>
    <xf numFmtId="0" fontId="3" fillId="44" borderId="84" xfId="8733" applyFill="1" applyBorder="1" applyAlignment="1">
      <alignment horizontal="center"/>
    </xf>
    <xf numFmtId="0" fontId="3" fillId="44" borderId="102" xfId="8733" applyFill="1" applyBorder="1" applyAlignment="1">
      <alignment horizontal="center"/>
    </xf>
    <xf numFmtId="0" fontId="174" fillId="45" borderId="11" xfId="8733" applyFont="1" applyFill="1" applyBorder="1" applyAlignment="1">
      <alignment horizontal="right"/>
    </xf>
    <xf numFmtId="14" fontId="170" fillId="48" borderId="11" xfId="8733" applyNumberFormat="1" applyFont="1" applyFill="1" applyBorder="1" applyAlignment="1" applyProtection="1">
      <alignment horizontal="center" vertical="center"/>
      <protection locked="0"/>
    </xf>
    <xf numFmtId="0" fontId="170" fillId="48" borderId="11" xfId="8733" applyFont="1" applyFill="1" applyBorder="1" applyAlignment="1" applyProtection="1">
      <alignment horizontal="center" vertical="center"/>
      <protection locked="0"/>
    </xf>
    <xf numFmtId="0" fontId="174" fillId="45" borderId="97" xfId="8733" applyFont="1" applyFill="1" applyBorder="1" applyAlignment="1">
      <alignment horizontal="center"/>
    </xf>
    <xf numFmtId="0" fontId="174" fillId="45" borderId="2" xfId="8733" applyFont="1" applyFill="1" applyBorder="1" applyAlignment="1">
      <alignment horizontal="center"/>
    </xf>
    <xf numFmtId="0" fontId="174" fillId="45" borderId="7" xfId="8733" applyFont="1" applyFill="1" applyBorder="1" applyAlignment="1">
      <alignment horizontal="center"/>
    </xf>
    <xf numFmtId="0" fontId="174" fillId="45" borderId="3" xfId="8733" applyFont="1" applyFill="1" applyBorder="1" applyAlignment="1">
      <alignment horizontal="center"/>
    </xf>
    <xf numFmtId="0" fontId="174" fillId="45" borderId="4" xfId="8733" applyFont="1" applyFill="1" applyBorder="1" applyAlignment="1">
      <alignment horizontal="center"/>
    </xf>
    <xf numFmtId="0" fontId="174" fillId="45" borderId="5" xfId="8733" applyFont="1" applyFill="1" applyBorder="1" applyAlignment="1">
      <alignment horizontal="center"/>
    </xf>
    <xf numFmtId="0" fontId="174" fillId="45" borderId="81" xfId="8733" applyFont="1" applyFill="1" applyBorder="1" applyAlignment="1">
      <alignment horizontal="center"/>
    </xf>
    <xf numFmtId="0" fontId="103" fillId="45" borderId="80" xfId="8733" applyFont="1" applyFill="1" applyBorder="1" applyAlignment="1">
      <alignment horizontal="center"/>
    </xf>
    <xf numFmtId="0" fontId="103" fillId="45" borderId="79" xfId="8733" applyFont="1" applyFill="1" applyBorder="1" applyAlignment="1">
      <alignment horizontal="center"/>
    </xf>
    <xf numFmtId="0" fontId="103" fillId="45" borderId="78" xfId="8733" applyFont="1" applyFill="1" applyBorder="1" applyAlignment="1">
      <alignment horizontal="center"/>
    </xf>
    <xf numFmtId="0" fontId="170" fillId="48" borderId="80" xfId="8733" applyFont="1" applyFill="1" applyBorder="1" applyAlignment="1" applyProtection="1">
      <alignment horizontal="center"/>
      <protection locked="0"/>
    </xf>
    <xf numFmtId="0" fontId="170" fillId="48" borderId="79" xfId="8733" applyFont="1" applyFill="1" applyBorder="1" applyAlignment="1" applyProtection="1">
      <alignment horizontal="center"/>
      <protection locked="0"/>
    </xf>
    <xf numFmtId="0" fontId="170" fillId="48" borderId="78" xfId="8733" applyFont="1" applyFill="1" applyBorder="1" applyAlignment="1" applyProtection="1">
      <alignment horizontal="center"/>
      <protection locked="0"/>
    </xf>
    <xf numFmtId="1" fontId="3" fillId="44" borderId="11" xfId="8733" applyNumberFormat="1" applyFill="1" applyBorder="1" applyAlignment="1">
      <alignment horizontal="center"/>
    </xf>
    <xf numFmtId="0" fontId="3" fillId="44" borderId="11" xfId="8733" applyFill="1" applyBorder="1" applyAlignment="1">
      <alignment horizontal="center"/>
    </xf>
    <xf numFmtId="0" fontId="171" fillId="45" borderId="11" xfId="8733" applyFont="1" applyFill="1" applyBorder="1" applyAlignment="1">
      <alignment horizontal="right" wrapText="1"/>
    </xf>
    <xf numFmtId="0" fontId="177" fillId="45" borderId="11" xfId="8733" applyFont="1" applyFill="1" applyBorder="1" applyAlignment="1">
      <alignment horizontal="right"/>
    </xf>
    <xf numFmtId="14" fontId="170" fillId="48" borderId="11" xfId="8733" applyNumberFormat="1" applyFont="1" applyFill="1" applyBorder="1" applyAlignment="1" applyProtection="1">
      <alignment horizontal="center"/>
      <protection locked="0"/>
    </xf>
    <xf numFmtId="0" fontId="170" fillId="48" borderId="11" xfId="8733" applyFont="1" applyFill="1" applyBorder="1" applyAlignment="1" applyProtection="1">
      <alignment horizontal="center"/>
      <protection locked="0"/>
    </xf>
    <xf numFmtId="168" fontId="175" fillId="44" borderId="11" xfId="8734" applyNumberFormat="1" applyFont="1" applyFill="1" applyBorder="1" applyAlignment="1" applyProtection="1">
      <alignment horizontal="left"/>
    </xf>
    <xf numFmtId="0" fontId="170" fillId="44" borderId="80" xfId="8733" applyFont="1" applyFill="1" applyBorder="1" applyAlignment="1">
      <alignment horizontal="left"/>
    </xf>
    <xf numFmtId="0" fontId="170" fillId="44" borderId="79" xfId="8733" applyFont="1" applyFill="1" applyBorder="1" applyAlignment="1">
      <alignment horizontal="left"/>
    </xf>
    <xf numFmtId="0" fontId="170" fillId="44" borderId="78" xfId="8733" applyFont="1" applyFill="1" applyBorder="1" applyAlignment="1">
      <alignment horizontal="left"/>
    </xf>
    <xf numFmtId="0" fontId="171" fillId="45" borderId="11" xfId="8733" applyFont="1" applyFill="1" applyBorder="1" applyAlignment="1">
      <alignment horizontal="right"/>
    </xf>
    <xf numFmtId="1" fontId="170" fillId="48" borderId="11" xfId="8733" applyNumberFormat="1" applyFont="1" applyFill="1" applyBorder="1" applyAlignment="1" applyProtection="1">
      <alignment horizontal="center"/>
      <protection locked="0"/>
    </xf>
    <xf numFmtId="0" fontId="3" fillId="44" borderId="80" xfId="8733" applyFill="1" applyBorder="1" applyAlignment="1">
      <alignment horizontal="center"/>
    </xf>
    <xf numFmtId="0" fontId="3" fillId="44" borderId="79" xfId="8733" applyFill="1" applyBorder="1" applyAlignment="1">
      <alignment horizontal="center"/>
    </xf>
    <xf numFmtId="0" fontId="3" fillId="44" borderId="78" xfId="8733" applyFill="1" applyBorder="1" applyAlignment="1">
      <alignment horizontal="center"/>
    </xf>
    <xf numFmtId="0" fontId="182" fillId="51" borderId="65" xfId="8733" applyFont="1" applyFill="1" applyBorder="1" applyAlignment="1">
      <alignment horizontal="center"/>
    </xf>
    <xf numFmtId="0" fontId="182" fillId="51" borderId="29" xfId="8733" applyFont="1" applyFill="1" applyBorder="1" applyAlignment="1">
      <alignment horizontal="center"/>
    </xf>
    <xf numFmtId="0" fontId="182" fillId="51" borderId="31" xfId="8733" applyFont="1" applyFill="1" applyBorder="1" applyAlignment="1">
      <alignment horizontal="center"/>
    </xf>
    <xf numFmtId="0" fontId="167" fillId="48" borderId="66" xfId="8733" applyFont="1" applyFill="1" applyBorder="1" applyAlignment="1">
      <alignment horizontal="center"/>
    </xf>
    <xf numFmtId="0" fontId="167" fillId="48" borderId="0" xfId="8733" applyFont="1" applyFill="1" applyAlignment="1">
      <alignment horizontal="center"/>
    </xf>
    <xf numFmtId="0" fontId="167" fillId="48" borderId="41" xfId="8733" applyFont="1" applyFill="1" applyBorder="1" applyAlignment="1">
      <alignment horizontal="center"/>
    </xf>
    <xf numFmtId="168" fontId="18" fillId="0" borderId="11" xfId="569" applyNumberFormat="1" applyBorder="1"/>
    <xf numFmtId="168" fontId="18" fillId="0" borderId="3" xfId="569" applyNumberFormat="1" applyBorder="1"/>
    <xf numFmtId="168" fontId="18" fillId="0" borderId="4" xfId="569" applyNumberFormat="1" applyBorder="1"/>
    <xf numFmtId="168" fontId="18" fillId="0" borderId="5" xfId="569" applyNumberFormat="1" applyBorder="1"/>
    <xf numFmtId="168" fontId="18" fillId="0" borderId="11" xfId="569" applyNumberFormat="1" applyBorder="1" applyAlignment="1">
      <alignment wrapText="1"/>
    </xf>
    <xf numFmtId="168" fontId="18" fillId="0" borderId="11" xfId="569" applyNumberFormat="1" applyBorder="1" applyAlignment="1">
      <alignment horizontal="right"/>
    </xf>
    <xf numFmtId="9" fontId="18" fillId="0" borderId="15" xfId="569" applyNumberFormat="1" applyBorder="1" applyAlignment="1">
      <alignment horizontal="center"/>
    </xf>
    <xf numFmtId="168" fontId="18" fillId="0" borderId="11" xfId="569" applyNumberFormat="1" applyBorder="1" applyAlignment="1">
      <alignment horizontal="center"/>
    </xf>
    <xf numFmtId="0" fontId="18" fillId="0" borderId="11" xfId="569" applyBorder="1" applyAlignment="1">
      <alignment horizontal="center"/>
    </xf>
    <xf numFmtId="176" fontId="18" fillId="5" borderId="3" xfId="569" applyNumberFormat="1" applyFill="1" applyBorder="1" applyAlignment="1" applyProtection="1">
      <alignment horizontal="right"/>
      <protection locked="0"/>
    </xf>
    <xf numFmtId="176" fontId="18" fillId="5" borderId="4" xfId="569" applyNumberFormat="1" applyFill="1" applyBorder="1" applyAlignment="1" applyProtection="1">
      <alignment horizontal="right"/>
      <protection locked="0"/>
    </xf>
    <xf numFmtId="176" fontId="18" fillId="5" borderId="5" xfId="569" applyNumberFormat="1" applyFill="1" applyBorder="1" applyAlignment="1" applyProtection="1">
      <alignment horizontal="right"/>
      <protection locked="0"/>
    </xf>
    <xf numFmtId="0" fontId="108" fillId="0" borderId="0" xfId="0" applyFont="1" applyAlignment="1">
      <alignment horizontal="left" vertical="top" wrapText="1"/>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0" fontId="25" fillId="0" borderId="6" xfId="569" applyFont="1" applyBorder="1" applyAlignment="1">
      <alignment horizontal="center"/>
    </xf>
    <xf numFmtId="168" fontId="18" fillId="0" borderId="3" xfId="569" applyNumberFormat="1" applyBorder="1" applyAlignment="1">
      <alignment horizontal="center"/>
    </xf>
    <xf numFmtId="0" fontId="18" fillId="0" borderId="4" xfId="569" applyBorder="1" applyAlignment="1">
      <alignment horizontal="center"/>
    </xf>
    <xf numFmtId="0" fontId="18" fillId="0" borderId="5" xfId="569" applyBorder="1" applyAlignment="1">
      <alignment horizontal="center"/>
    </xf>
    <xf numFmtId="0" fontId="108" fillId="0" borderId="0" xfId="569" applyFont="1" applyAlignment="1">
      <alignment horizontal="left" wrapText="1"/>
    </xf>
    <xf numFmtId="168" fontId="18" fillId="0" borderId="3" xfId="569" applyNumberFormat="1" applyBorder="1" applyAlignment="1">
      <alignment horizontal="right"/>
    </xf>
    <xf numFmtId="168" fontId="18" fillId="0" borderId="4" xfId="569" applyNumberFormat="1" applyBorder="1" applyAlignment="1">
      <alignment horizontal="right"/>
    </xf>
    <xf numFmtId="168" fontId="18" fillId="0" borderId="5" xfId="569" applyNumberFormat="1" applyBorder="1" applyAlignment="1">
      <alignment horizontal="right"/>
    </xf>
    <xf numFmtId="0" fontId="25" fillId="0" borderId="16" xfId="271" applyFont="1" applyBorder="1" applyAlignment="1">
      <alignment horizontal="center"/>
    </xf>
    <xf numFmtId="168" fontId="18" fillId="0" borderId="4" xfId="569" applyNumberFormat="1" applyBorder="1" applyAlignment="1">
      <alignment horizontal="center"/>
    </xf>
    <xf numFmtId="168" fontId="18" fillId="0" borderId="5" xfId="569" applyNumberFormat="1" applyBorder="1" applyAlignment="1">
      <alignment horizontal="center"/>
    </xf>
    <xf numFmtId="0" fontId="25" fillId="0" borderId="11" xfId="569" applyFont="1" applyBorder="1" applyAlignment="1">
      <alignment horizontal="center" wrapText="1"/>
    </xf>
    <xf numFmtId="0" fontId="25" fillId="0" borderId="11" xfId="569" applyFont="1" applyBorder="1" applyAlignment="1">
      <alignment horizontal="center"/>
    </xf>
    <xf numFmtId="165" fontId="18" fillId="0" borderId="11" xfId="569" applyNumberFormat="1" applyBorder="1" applyAlignment="1" applyProtection="1">
      <alignment horizontal="center"/>
      <protection locked="0"/>
    </xf>
    <xf numFmtId="0" fontId="54" fillId="0" borderId="0" xfId="569" applyFont="1" applyAlignment="1">
      <alignment horizontal="left"/>
    </xf>
    <xf numFmtId="5" fontId="18" fillId="0" borderId="5" xfId="569" applyNumberFormat="1" applyBorder="1" applyAlignment="1">
      <alignment horizontal="center"/>
    </xf>
    <xf numFmtId="5" fontId="18" fillId="0" borderId="11" xfId="569" applyNumberFormat="1" applyBorder="1" applyAlignment="1">
      <alignment horizontal="center"/>
    </xf>
    <xf numFmtId="5" fontId="18" fillId="0" borderId="3" xfId="569" applyNumberFormat="1" applyBorder="1" applyAlignment="1">
      <alignment horizontal="center"/>
    </xf>
    <xf numFmtId="5" fontId="18" fillId="0" borderId="4" xfId="569" applyNumberFormat="1" applyBorder="1" applyAlignment="1">
      <alignment horizontal="center"/>
    </xf>
    <xf numFmtId="168" fontId="18" fillId="5" borderId="5" xfId="569" applyNumberFormat="1" applyFill="1" applyBorder="1" applyAlignment="1" applyProtection="1">
      <alignment horizontal="center"/>
      <protection locked="0"/>
    </xf>
    <xf numFmtId="168" fontId="18" fillId="5" borderId="11" xfId="569" applyNumberFormat="1" applyFill="1" applyBorder="1" applyAlignment="1" applyProtection="1">
      <alignment horizontal="center"/>
      <protection locked="0"/>
    </xf>
    <xf numFmtId="9" fontId="18" fillId="0" borderId="5" xfId="569" applyNumberFormat="1" applyBorder="1" applyAlignment="1">
      <alignment horizontal="center"/>
    </xf>
    <xf numFmtId="9" fontId="18" fillId="0" borderId="11" xfId="569" applyNumberFormat="1" applyBorder="1" applyAlignment="1">
      <alignment horizontal="center"/>
    </xf>
    <xf numFmtId="9" fontId="18" fillId="0" borderId="9" xfId="569" applyNumberFormat="1" applyBorder="1" applyAlignment="1">
      <alignment horizontal="center" vertical="center"/>
    </xf>
    <xf numFmtId="9" fontId="18" fillId="0" borderId="6" xfId="569" applyNumberFormat="1" applyBorder="1" applyAlignment="1">
      <alignment horizontal="center" vertical="center"/>
    </xf>
    <xf numFmtId="9" fontId="18" fillId="0" borderId="10" xfId="569" applyNumberFormat="1" applyBorder="1" applyAlignment="1">
      <alignment horizontal="center" vertical="center"/>
    </xf>
    <xf numFmtId="168" fontId="18" fillId="2" borderId="3" xfId="569" applyNumberFormat="1" applyFill="1" applyBorder="1" applyAlignment="1">
      <alignment horizontal="center"/>
    </xf>
    <xf numFmtId="168" fontId="18" fillId="2" borderId="4" xfId="569" applyNumberFormat="1" applyFill="1" applyBorder="1" applyAlignment="1">
      <alignment horizontal="center"/>
    </xf>
    <xf numFmtId="168" fontId="18" fillId="2" borderId="5" xfId="569" applyNumberFormat="1" applyFill="1" applyBorder="1" applyAlignment="1">
      <alignment horizontal="center"/>
    </xf>
    <xf numFmtId="168" fontId="18" fillId="5" borderId="10" xfId="569" applyNumberFormat="1" applyFill="1" applyBorder="1" applyAlignment="1" applyProtection="1">
      <alignment horizontal="center"/>
      <protection locked="0"/>
    </xf>
    <xf numFmtId="168" fontId="18" fillId="5" borderId="13" xfId="569" applyNumberFormat="1" applyFill="1" applyBorder="1" applyAlignment="1" applyProtection="1">
      <alignment horizontal="center"/>
      <protection locked="0"/>
    </xf>
    <xf numFmtId="0" fontId="24" fillId="3" borderId="2" xfId="569" applyFont="1" applyFill="1" applyBorder="1" applyAlignment="1">
      <alignment horizontal="center" vertical="center"/>
    </xf>
    <xf numFmtId="0" fontId="24" fillId="3" borderId="16" xfId="569" applyFont="1" applyFill="1" applyBorder="1" applyAlignment="1">
      <alignment horizontal="center" vertical="center"/>
    </xf>
    <xf numFmtId="168" fontId="18" fillId="0" borderId="7" xfId="569" applyNumberFormat="1" applyBorder="1" applyAlignment="1">
      <alignment horizontal="center"/>
    </xf>
    <xf numFmtId="168" fontId="18" fillId="0" borderId="15" xfId="569" applyNumberFormat="1" applyBorder="1" applyAlignment="1">
      <alignment horizontal="center"/>
    </xf>
    <xf numFmtId="0" fontId="25" fillId="0" borderId="3" xfId="569" applyFont="1" applyBorder="1" applyAlignment="1">
      <alignment horizontal="left"/>
    </xf>
    <xf numFmtId="0" fontId="25" fillId="0" borderId="5" xfId="569" applyFont="1" applyBorder="1" applyAlignment="1">
      <alignment horizontal="left"/>
    </xf>
    <xf numFmtId="0" fontId="26" fillId="0" borderId="4" xfId="569" applyFont="1" applyBorder="1" applyAlignment="1">
      <alignment horizontal="left"/>
    </xf>
    <xf numFmtId="0" fontId="26" fillId="0" borderId="5" xfId="569" applyFont="1" applyBorder="1" applyAlignment="1">
      <alignment horizontal="left"/>
    </xf>
    <xf numFmtId="179" fontId="25" fillId="0" borderId="0" xfId="569" applyNumberFormat="1" applyFont="1" applyAlignment="1">
      <alignment horizontal="center" wrapText="1"/>
    </xf>
    <xf numFmtId="164" fontId="25" fillId="0" borderId="0" xfId="569" applyNumberFormat="1" applyFont="1" applyAlignment="1">
      <alignment horizontal="center" wrapText="1"/>
    </xf>
    <xf numFmtId="0" fontId="18" fillId="0" borderId="3" xfId="569" applyBorder="1" applyAlignment="1">
      <alignment horizontal="right"/>
    </xf>
    <xf numFmtId="0" fontId="18" fillId="0" borderId="4" xfId="569" applyBorder="1" applyAlignment="1">
      <alignment horizontal="right"/>
    </xf>
    <xf numFmtId="0" fontId="18" fillId="0" borderId="5" xfId="569" applyBorder="1" applyAlignment="1">
      <alignment horizontal="right"/>
    </xf>
    <xf numFmtId="0" fontId="26" fillId="0" borderId="3" xfId="569" applyFont="1" applyBorder="1" applyAlignment="1">
      <alignment horizontal="right"/>
    </xf>
    <xf numFmtId="0" fontId="26" fillId="0" borderId="4" xfId="569" applyFont="1" applyBorder="1" applyAlignment="1">
      <alignment horizontal="right"/>
    </xf>
    <xf numFmtId="0" fontId="26" fillId="0" borderId="5" xfId="569" applyFont="1" applyBorder="1" applyAlignment="1">
      <alignment horizontal="right"/>
    </xf>
    <xf numFmtId="165" fontId="123" fillId="0" borderId="55" xfId="4496" applyNumberFormat="1" applyFont="1" applyBorder="1" applyAlignment="1">
      <alignment horizontal="center" vertical="top" wrapText="1"/>
    </xf>
    <xf numFmtId="165" fontId="123" fillId="0" borderId="6" xfId="4496" applyNumberFormat="1" applyFont="1" applyBorder="1" applyAlignment="1">
      <alignment horizontal="center" vertical="top" wrapText="1"/>
    </xf>
    <xf numFmtId="165" fontId="123" fillId="0" borderId="60" xfId="4496" applyNumberFormat="1" applyFont="1" applyBorder="1" applyAlignment="1">
      <alignment horizontal="center" vertical="top" wrapText="1"/>
    </xf>
    <xf numFmtId="165" fontId="123" fillId="0" borderId="4" xfId="4496" applyNumberFormat="1" applyFont="1" applyBorder="1" applyAlignment="1">
      <alignment horizontal="center" vertical="top" wrapText="1"/>
    </xf>
    <xf numFmtId="0" fontId="123" fillId="5" borderId="60" xfId="4496" applyFont="1" applyFill="1" applyBorder="1" applyAlignment="1" applyProtection="1">
      <alignment horizontal="center"/>
      <protection locked="0"/>
    </xf>
    <xf numFmtId="0" fontId="123" fillId="5" borderId="4" xfId="4496" applyFont="1" applyFill="1" applyBorder="1" applyAlignment="1" applyProtection="1">
      <alignment horizontal="center"/>
      <protection locked="0"/>
    </xf>
    <xf numFmtId="0" fontId="123" fillId="5" borderId="6" xfId="4496" applyFont="1" applyFill="1" applyBorder="1" applyAlignment="1" applyProtection="1">
      <alignment horizontal="center"/>
      <protection locked="0"/>
    </xf>
    <xf numFmtId="0" fontId="18" fillId="0" borderId="50" xfId="4495" applyFont="1" applyBorder="1" applyAlignment="1">
      <alignment horizontal="left" vertical="center" wrapText="1"/>
    </xf>
    <xf numFmtId="0" fontId="18" fillId="0" borderId="51" xfId="4495" applyFont="1" applyBorder="1" applyAlignment="1">
      <alignment horizontal="left" vertical="center" wrapText="1"/>
    </xf>
    <xf numFmtId="0" fontId="18" fillId="0" borderId="52" xfId="4495" applyFont="1" applyBorder="1" applyAlignment="1">
      <alignment horizontal="left" vertical="center" wrapText="1"/>
    </xf>
    <xf numFmtId="0" fontId="18" fillId="0" borderId="57" xfId="4495" applyFont="1" applyBorder="1" applyAlignment="1">
      <alignment horizontal="left" vertical="center" wrapText="1"/>
    </xf>
    <xf numFmtId="0" fontId="18" fillId="0" borderId="58" xfId="4495" applyFont="1" applyBorder="1" applyAlignment="1">
      <alignment horizontal="left" vertical="center" wrapText="1"/>
    </xf>
    <xf numFmtId="0" fontId="18" fillId="0" borderId="59" xfId="4495" applyFont="1" applyBorder="1" applyAlignment="1">
      <alignment horizontal="left" vertical="center" wrapText="1"/>
    </xf>
    <xf numFmtId="0" fontId="18" fillId="0" borderId="53" xfId="4495" applyFont="1" applyBorder="1" applyAlignment="1">
      <alignment horizontal="left" vertical="center" wrapText="1"/>
    </xf>
    <xf numFmtId="0" fontId="18" fillId="0" borderId="0" xfId="4495" applyFont="1" applyAlignment="1">
      <alignment horizontal="left" vertical="center" wrapText="1"/>
    </xf>
    <xf numFmtId="0" fontId="18" fillId="0" borderId="54" xfId="4495" applyFont="1" applyBorder="1" applyAlignment="1">
      <alignment horizontal="left" vertical="center" wrapText="1"/>
    </xf>
    <xf numFmtId="0" fontId="25" fillId="0" borderId="0" xfId="4495" applyFont="1" applyAlignment="1">
      <alignment horizontal="right"/>
    </xf>
    <xf numFmtId="0" fontId="123" fillId="0" borderId="50" xfId="4496" applyFont="1" applyBorder="1" applyAlignment="1">
      <alignment horizontal="left" vertical="top" wrapText="1"/>
    </xf>
    <xf numFmtId="0" fontId="123" fillId="0" borderId="51" xfId="4496" applyFont="1" applyBorder="1" applyAlignment="1">
      <alignment horizontal="left" vertical="top" wrapText="1"/>
    </xf>
    <xf numFmtId="0" fontId="123" fillId="0" borderId="52" xfId="4496" applyFont="1" applyBorder="1" applyAlignment="1">
      <alignment horizontal="left" vertical="top" wrapText="1"/>
    </xf>
    <xf numFmtId="0" fontId="123" fillId="0" borderId="53" xfId="4496" applyFont="1" applyBorder="1" applyAlignment="1">
      <alignment horizontal="left" vertical="top" wrapText="1"/>
    </xf>
    <xf numFmtId="0" fontId="123" fillId="0" borderId="0" xfId="4496" applyFont="1" applyAlignment="1">
      <alignment horizontal="left" vertical="top" wrapText="1"/>
    </xf>
    <xf numFmtId="0" fontId="123" fillId="0" borderId="54" xfId="4496" applyFont="1" applyBorder="1" applyAlignment="1">
      <alignment horizontal="left" vertical="top" wrapText="1"/>
    </xf>
    <xf numFmtId="0" fontId="123" fillId="0" borderId="57" xfId="4496" applyFont="1" applyBorder="1" applyAlignment="1">
      <alignment horizontal="left" vertical="top" wrapText="1"/>
    </xf>
    <xf numFmtId="0" fontId="123" fillId="0" borderId="58" xfId="4496" applyFont="1" applyBorder="1" applyAlignment="1">
      <alignment horizontal="left" vertical="top" wrapText="1"/>
    </xf>
    <xf numFmtId="0" fontId="123" fillId="0" borderId="59" xfId="4496" applyFont="1" applyBorder="1" applyAlignment="1">
      <alignment horizontal="left" vertical="top" wrapText="1"/>
    </xf>
    <xf numFmtId="0" fontId="123" fillId="5" borderId="55" xfId="4496" applyFont="1" applyFill="1" applyBorder="1" applyAlignment="1" applyProtection="1">
      <alignment horizontal="center"/>
      <protection locked="0"/>
    </xf>
    <xf numFmtId="0" fontId="123" fillId="0" borderId="47" xfId="4496" applyFont="1" applyBorder="1"/>
    <xf numFmtId="0" fontId="123" fillId="0" borderId="48" xfId="4496" applyFont="1" applyBorder="1"/>
    <xf numFmtId="0" fontId="123" fillId="0" borderId="49" xfId="4496" applyFont="1" applyBorder="1"/>
    <xf numFmtId="0" fontId="18" fillId="0" borderId="47" xfId="4495" applyFont="1" applyBorder="1" applyAlignment="1">
      <alignment horizontal="left" vertical="center" wrapText="1"/>
    </xf>
    <xf numFmtId="0" fontId="18" fillId="0" borderId="48" xfId="4495" applyFont="1" applyBorder="1" applyAlignment="1">
      <alignment horizontal="left" vertical="center" wrapText="1"/>
    </xf>
    <xf numFmtId="0" fontId="18" fillId="0" borderId="49" xfId="4495" applyFont="1" applyBorder="1" applyAlignment="1">
      <alignment horizontal="left" vertical="center" wrapText="1"/>
    </xf>
    <xf numFmtId="0" fontId="123" fillId="0" borderId="55" xfId="4496" applyFont="1" applyBorder="1" applyAlignment="1">
      <alignment horizontal="center" vertical="top" wrapText="1"/>
    </xf>
    <xf numFmtId="0" fontId="123" fillId="0" borderId="6" xfId="4496" applyFont="1" applyBorder="1" applyAlignment="1">
      <alignment horizontal="center" vertical="top" wrapText="1"/>
    </xf>
    <xf numFmtId="0" fontId="24" fillId="3" borderId="2" xfId="4495" applyFont="1" applyFill="1" applyBorder="1" applyAlignment="1">
      <alignment horizontal="center" vertical="center"/>
    </xf>
    <xf numFmtId="0" fontId="24" fillId="3" borderId="16" xfId="4495" applyFont="1" applyFill="1" applyBorder="1" applyAlignment="1">
      <alignment horizontal="center" vertical="center"/>
    </xf>
    <xf numFmtId="0" fontId="25" fillId="0" borderId="48" xfId="4495" applyFont="1" applyBorder="1" applyAlignment="1">
      <alignment horizontal="left" vertical="top"/>
    </xf>
    <xf numFmtId="0" fontId="25" fillId="0" borderId="49" xfId="4495" applyFont="1" applyBorder="1" applyAlignment="1">
      <alignment horizontal="left" vertical="top"/>
    </xf>
    <xf numFmtId="1" fontId="18" fillId="0" borderId="3" xfId="4495" applyNumberFormat="1" applyFont="1" applyBorder="1" applyAlignment="1">
      <alignment horizontal="center"/>
    </xf>
    <xf numFmtId="1" fontId="18" fillId="0" borderId="4" xfId="4495" applyNumberFormat="1" applyFont="1" applyBorder="1" applyAlignment="1">
      <alignment horizontal="center"/>
    </xf>
    <xf numFmtId="1" fontId="18" fillId="0" borderId="5" xfId="4495" applyNumberFormat="1" applyFont="1" applyBorder="1" applyAlignment="1">
      <alignment horizontal="center"/>
    </xf>
    <xf numFmtId="0" fontId="18" fillId="0" borderId="50" xfId="4495" applyFont="1" applyBorder="1" applyAlignment="1">
      <alignment vertical="center" wrapText="1"/>
    </xf>
    <xf numFmtId="0" fontId="18" fillId="0" borderId="51" xfId="4495" applyFont="1" applyBorder="1" applyAlignment="1">
      <alignment vertical="center" wrapText="1"/>
    </xf>
    <xf numFmtId="0" fontId="18" fillId="0" borderId="52" xfId="4495" applyFont="1" applyBorder="1" applyAlignment="1">
      <alignment vertical="center" wrapText="1"/>
    </xf>
    <xf numFmtId="0" fontId="18" fillId="0" borderId="57" xfId="4495" applyFont="1" applyBorder="1" applyAlignment="1">
      <alignment vertical="center" wrapText="1"/>
    </xf>
    <xf numFmtId="0" fontId="18" fillId="0" borderId="58" xfId="4495" applyFont="1" applyBorder="1" applyAlignment="1">
      <alignment vertical="center" wrapText="1"/>
    </xf>
    <xf numFmtId="0" fontId="18" fillId="0" borderId="59" xfId="4495" applyFont="1" applyBorder="1" applyAlignment="1">
      <alignment vertical="center" wrapText="1"/>
    </xf>
    <xf numFmtId="0" fontId="123" fillId="43" borderId="55" xfId="4496" applyFont="1" applyFill="1" applyBorder="1" applyAlignment="1" applyProtection="1">
      <alignment horizontal="left" vertical="top" wrapText="1"/>
      <protection locked="0"/>
    </xf>
    <xf numFmtId="0" fontId="123" fillId="43" borderId="6" xfId="4496" applyFont="1" applyFill="1" applyBorder="1" applyAlignment="1" applyProtection="1">
      <alignment horizontal="left" vertical="top" wrapText="1"/>
      <protection locked="0"/>
    </xf>
    <xf numFmtId="0" fontId="123" fillId="43" borderId="56" xfId="4496" applyFont="1" applyFill="1" applyBorder="1" applyAlignment="1" applyProtection="1">
      <alignment horizontal="left" vertical="top" wrapText="1"/>
      <protection locked="0"/>
    </xf>
    <xf numFmtId="0" fontId="25" fillId="0" borderId="0" xfId="4495" applyFont="1" applyAlignment="1">
      <alignment horizontal="center" vertical="top"/>
    </xf>
    <xf numFmtId="0" fontId="18" fillId="5" borderId="6" xfId="4495" applyFont="1" applyFill="1" applyBorder="1" applyAlignment="1" applyProtection="1">
      <alignment horizontal="left"/>
      <protection locked="0"/>
    </xf>
    <xf numFmtId="168" fontId="123" fillId="0" borderId="55" xfId="4496" applyNumberFormat="1" applyFont="1" applyBorder="1" applyAlignment="1">
      <alignment horizontal="center" vertical="top"/>
    </xf>
    <xf numFmtId="168" fontId="123" fillId="0" borderId="6" xfId="4496" applyNumberFormat="1" applyFont="1" applyBorder="1" applyAlignment="1">
      <alignment horizontal="center" vertical="top"/>
    </xf>
    <xf numFmtId="10" fontId="123" fillId="0" borderId="3" xfId="4496" applyNumberFormat="1" applyFont="1" applyBorder="1" applyAlignment="1">
      <alignment horizontal="center" vertical="top" wrapText="1"/>
    </xf>
    <xf numFmtId="10" fontId="123" fillId="0" borderId="4" xfId="4496" applyNumberFormat="1" applyFont="1" applyBorder="1" applyAlignment="1">
      <alignment horizontal="center" vertical="top" wrapText="1"/>
    </xf>
    <xf numFmtId="10" fontId="123" fillId="0" borderId="5" xfId="4496" applyNumberFormat="1" applyFont="1" applyBorder="1" applyAlignment="1">
      <alignment horizontal="center" vertical="top" wrapText="1"/>
    </xf>
    <xf numFmtId="1" fontId="123" fillId="0" borderId="55" xfId="4496" applyNumberFormat="1" applyFont="1" applyBorder="1" applyAlignment="1">
      <alignment horizontal="center" vertical="top" wrapText="1"/>
    </xf>
    <xf numFmtId="1" fontId="123" fillId="0" borderId="6" xfId="4496" applyNumberFormat="1" applyFont="1" applyBorder="1" applyAlignment="1">
      <alignment horizontal="center" vertical="top" wrapText="1"/>
    </xf>
    <xf numFmtId="168" fontId="123" fillId="43" borderId="55" xfId="4496" applyNumberFormat="1" applyFont="1" applyFill="1" applyBorder="1" applyAlignment="1" applyProtection="1">
      <alignment horizontal="center" vertical="top" wrapText="1"/>
      <protection locked="0"/>
    </xf>
    <xf numFmtId="168" fontId="123" fillId="43" borderId="6" xfId="4496" applyNumberFormat="1" applyFont="1" applyFill="1" applyBorder="1" applyAlignment="1" applyProtection="1">
      <alignment horizontal="center" vertical="top" wrapText="1"/>
      <protection locked="0"/>
    </xf>
    <xf numFmtId="0" fontId="18" fillId="0" borderId="0" xfId="1192" applyAlignment="1">
      <alignment horizontal="right"/>
    </xf>
    <xf numFmtId="0" fontId="18" fillId="5" borderId="6" xfId="1192" applyFill="1" applyBorder="1" applyAlignment="1" applyProtection="1">
      <alignment horizontal="left"/>
      <protection locked="0"/>
    </xf>
    <xf numFmtId="168" fontId="18" fillId="43" borderId="6" xfId="4495" applyNumberFormat="1" applyFont="1" applyFill="1" applyBorder="1" applyAlignment="1" applyProtection="1">
      <alignment horizontal="right"/>
      <protection locked="0"/>
    </xf>
    <xf numFmtId="9" fontId="18" fillId="0" borderId="6" xfId="1192" applyNumberFormat="1" applyBorder="1" applyAlignment="1">
      <alignment horizontal="center"/>
    </xf>
    <xf numFmtId="9" fontId="18" fillId="0" borderId="6" xfId="1192" quotePrefix="1" applyNumberFormat="1" applyBorder="1" applyAlignment="1">
      <alignment horizontal="center"/>
    </xf>
    <xf numFmtId="9" fontId="18" fillId="0" borderId="0" xfId="1192" quotePrefix="1" applyNumberFormat="1" applyAlignment="1">
      <alignment horizontal="center"/>
    </xf>
    <xf numFmtId="1" fontId="18" fillId="5" borderId="2" xfId="1192" applyNumberFormat="1" applyFill="1" applyBorder="1" applyAlignment="1" applyProtection="1">
      <alignment horizontal="center"/>
      <protection locked="0"/>
    </xf>
    <xf numFmtId="9" fontId="18" fillId="5" borderId="4" xfId="1192" applyNumberFormat="1" applyFill="1" applyBorder="1" applyAlignment="1" applyProtection="1">
      <alignment horizontal="left"/>
      <protection locked="0"/>
    </xf>
    <xf numFmtId="168" fontId="18" fillId="0" borderId="0" xfId="1192" applyNumberFormat="1" applyAlignment="1">
      <alignment horizontal="right"/>
    </xf>
    <xf numFmtId="1" fontId="18" fillId="5" borderId="4" xfId="1192" applyNumberFormat="1" applyFill="1" applyBorder="1" applyAlignment="1" applyProtection="1">
      <alignment horizontal="center"/>
      <protection locked="0"/>
    </xf>
    <xf numFmtId="0" fontId="143" fillId="0" borderId="6" xfId="1192" applyFont="1" applyBorder="1" applyAlignment="1">
      <alignment horizontal="center"/>
    </xf>
    <xf numFmtId="168" fontId="18" fillId="5" borderId="4" xfId="1192" applyNumberFormat="1" applyFill="1" applyBorder="1" applyAlignment="1" applyProtection="1">
      <alignment horizontal="center"/>
      <protection locked="0"/>
    </xf>
    <xf numFmtId="0" fontId="18" fillId="0" borderId="6" xfId="1192" applyBorder="1" applyAlignment="1">
      <alignment horizontal="left"/>
    </xf>
    <xf numFmtId="2" fontId="18" fillId="0" borderId="0" xfId="1192" applyNumberFormat="1" applyAlignment="1">
      <alignment horizontal="right"/>
    </xf>
    <xf numFmtId="0" fontId="26" fillId="5" borderId="6" xfId="4495" applyFont="1" applyFill="1" applyBorder="1" applyAlignment="1" applyProtection="1">
      <alignment horizontal="left"/>
      <protection locked="0"/>
    </xf>
    <xf numFmtId="0" fontId="18" fillId="0" borderId="0" xfId="4495" applyFont="1" applyAlignment="1">
      <alignment horizontal="left"/>
    </xf>
    <xf numFmtId="0" fontId="54" fillId="5" borderId="6" xfId="4495" applyFont="1" applyFill="1" applyBorder="1" applyAlignment="1" applyProtection="1">
      <alignment horizontal="left"/>
      <protection locked="0"/>
    </xf>
    <xf numFmtId="0" fontId="18" fillId="5" borderId="6" xfId="4495" applyFont="1" applyFill="1" applyBorder="1" applyAlignment="1" applyProtection="1">
      <alignment horizontal="center"/>
      <protection locked="0"/>
    </xf>
    <xf numFmtId="0" fontId="18" fillId="44" borderId="6" xfId="4495" applyFont="1" applyFill="1" applyBorder="1" applyAlignment="1">
      <alignment horizontal="left"/>
    </xf>
    <xf numFmtId="1" fontId="18" fillId="0" borderId="11" xfId="4495" applyNumberFormat="1" applyFont="1" applyBorder="1" applyAlignment="1">
      <alignment horizontal="center"/>
    </xf>
    <xf numFmtId="0" fontId="18" fillId="0" borderId="11" xfId="4495" applyFont="1" applyBorder="1" applyAlignment="1">
      <alignment horizontal="center"/>
    </xf>
    <xf numFmtId="0" fontId="121" fillId="5" borderId="6" xfId="4495" applyFill="1" applyBorder="1" applyAlignment="1" applyProtection="1">
      <alignment horizontal="center"/>
      <protection locked="0"/>
    </xf>
    <xf numFmtId="0" fontId="25" fillId="0" borderId="0" xfId="4495" applyFont="1" applyAlignment="1">
      <alignment horizontal="left" vertical="top"/>
    </xf>
    <xf numFmtId="0" fontId="121" fillId="0" borderId="0" xfId="4495" applyAlignment="1" applyProtection="1">
      <alignment horizontal="center"/>
      <protection locked="0"/>
    </xf>
    <xf numFmtId="0" fontId="18" fillId="0" borderId="3" xfId="4495" applyFont="1" applyBorder="1" applyAlignment="1">
      <alignment horizontal="center"/>
    </xf>
    <xf numFmtId="0" fontId="18" fillId="0" borderId="4" xfId="4495" applyFont="1" applyBorder="1" applyAlignment="1">
      <alignment horizontal="center"/>
    </xf>
    <xf numFmtId="0" fontId="18" fillId="0" borderId="5" xfId="4495" applyFont="1" applyBorder="1" applyAlignment="1">
      <alignment horizontal="center"/>
    </xf>
    <xf numFmtId="168" fontId="18" fillId="0" borderId="6" xfId="4496" applyNumberFormat="1" applyFont="1" applyBorder="1" applyAlignment="1">
      <alignment horizontal="center"/>
    </xf>
    <xf numFmtId="9" fontId="18" fillId="0" borderId="4" xfId="543" applyNumberFormat="1" applyBorder="1" applyAlignment="1">
      <alignment horizontal="center"/>
    </xf>
    <xf numFmtId="0" fontId="18" fillId="0" borderId="4" xfId="4496" applyFont="1" applyBorder="1" applyAlignment="1">
      <alignment horizontal="center"/>
    </xf>
    <xf numFmtId="0" fontId="18" fillId="0" borderId="5" xfId="4496" applyFont="1" applyBorder="1" applyAlignment="1">
      <alignment horizontal="center"/>
    </xf>
    <xf numFmtId="168" fontId="18" fillId="0" borderId="6" xfId="4495" applyNumberFormat="1" applyFont="1" applyBorder="1" applyAlignment="1">
      <alignment horizontal="right"/>
    </xf>
    <xf numFmtId="168" fontId="119" fillId="0" borderId="6" xfId="4495" applyNumberFormat="1" applyFont="1" applyBorder="1" applyAlignment="1">
      <alignment horizontal="right"/>
    </xf>
    <xf numFmtId="6" fontId="18" fillId="0" borderId="3" xfId="1192" applyNumberFormat="1" applyBorder="1" applyAlignment="1">
      <alignment horizontal="right"/>
    </xf>
    <xf numFmtId="6" fontId="18" fillId="0" borderId="4" xfId="1192" applyNumberFormat="1" applyBorder="1" applyAlignment="1">
      <alignment horizontal="right"/>
    </xf>
    <xf numFmtId="6" fontId="18" fillId="0" borderId="5" xfId="1192" applyNumberFormat="1" applyBorder="1" applyAlignment="1">
      <alignment horizontal="right"/>
    </xf>
    <xf numFmtId="168" fontId="18" fillId="0" borderId="4" xfId="4495" applyNumberFormat="1" applyFont="1" applyBorder="1" applyAlignment="1">
      <alignment horizontal="right"/>
    </xf>
    <xf numFmtId="165" fontId="18" fillId="43" borderId="3" xfId="4495" applyNumberFormat="1" applyFont="1" applyFill="1" applyBorder="1" applyAlignment="1" applyProtection="1">
      <alignment horizontal="center"/>
      <protection locked="0"/>
    </xf>
    <xf numFmtId="165" fontId="18" fillId="43" borderId="4" xfId="4495" applyNumberFormat="1" applyFont="1" applyFill="1" applyBorder="1" applyAlignment="1" applyProtection="1">
      <alignment horizontal="center"/>
      <protection locked="0"/>
    </xf>
    <xf numFmtId="165" fontId="18" fillId="43" borderId="5" xfId="4495" applyNumberFormat="1" applyFont="1" applyFill="1" applyBorder="1" applyAlignment="1" applyProtection="1">
      <alignment horizontal="center"/>
      <protection locked="0"/>
    </xf>
    <xf numFmtId="165" fontId="18" fillId="0" borderId="6" xfId="1192" applyNumberFormat="1" applyBorder="1" applyAlignment="1">
      <alignment horizontal="right"/>
    </xf>
    <xf numFmtId="168" fontId="18" fillId="0" borderId="2" xfId="1192" applyNumberFormat="1" applyBorder="1" applyAlignment="1">
      <alignment horizontal="right"/>
    </xf>
    <xf numFmtId="165" fontId="18" fillId="0" borderId="0" xfId="1192" applyNumberFormat="1" applyAlignment="1">
      <alignment horizontal="right"/>
    </xf>
    <xf numFmtId="0" fontId="18" fillId="0" borderId="53" xfId="4495" applyFont="1" applyBorder="1" applyAlignment="1">
      <alignment horizontal="left" vertical="top" wrapText="1"/>
    </xf>
    <xf numFmtId="0" fontId="18" fillId="0" borderId="0" xfId="4495" applyFont="1" applyAlignment="1">
      <alignment horizontal="left" vertical="top" wrapText="1"/>
    </xf>
    <xf numFmtId="0" fontId="18" fillId="0" borderId="54" xfId="4495" applyFont="1" applyBorder="1" applyAlignment="1">
      <alignment horizontal="left" vertical="top" wrapText="1"/>
    </xf>
    <xf numFmtId="0" fontId="18" fillId="0" borderId="57" xfId="4495" applyFont="1" applyBorder="1" applyAlignment="1">
      <alignment horizontal="left" vertical="top" wrapText="1"/>
    </xf>
    <xf numFmtId="0" fontId="18" fillId="0" borderId="58" xfId="4495" applyFont="1" applyBorder="1" applyAlignment="1">
      <alignment horizontal="left" vertical="top" wrapText="1"/>
    </xf>
    <xf numFmtId="0" fontId="18" fillId="0" borderId="59" xfId="4495" applyFont="1" applyBorder="1" applyAlignment="1">
      <alignment horizontal="left" vertical="top" wrapText="1"/>
    </xf>
    <xf numFmtId="0" fontId="18" fillId="0" borderId="50" xfId="4495" applyFont="1" applyBorder="1" applyAlignment="1">
      <alignment horizontal="left" vertical="top" wrapText="1"/>
    </xf>
    <xf numFmtId="0" fontId="18" fillId="0" borderId="51" xfId="4495" applyFont="1" applyBorder="1" applyAlignment="1">
      <alignment horizontal="left" vertical="top" wrapText="1"/>
    </xf>
    <xf numFmtId="0" fontId="18" fillId="0" borderId="52" xfId="4495" applyFont="1" applyBorder="1" applyAlignment="1">
      <alignment horizontal="left" vertical="top" wrapText="1"/>
    </xf>
    <xf numFmtId="0" fontId="25" fillId="0" borderId="0" xfId="4495" applyFont="1"/>
    <xf numFmtId="0" fontId="18" fillId="43" borderId="53" xfId="4495" applyFont="1" applyFill="1" applyBorder="1" applyAlignment="1" applyProtection="1">
      <alignment vertical="top" wrapText="1"/>
      <protection locked="0"/>
    </xf>
    <xf numFmtId="0" fontId="18" fillId="43" borderId="0" xfId="4495" applyFont="1" applyFill="1" applyAlignment="1" applyProtection="1">
      <alignment vertical="top" wrapText="1"/>
      <protection locked="0"/>
    </xf>
    <xf numFmtId="0" fontId="18" fillId="43" borderId="54" xfId="4495" applyFont="1" applyFill="1" applyBorder="1" applyAlignment="1" applyProtection="1">
      <alignment vertical="top" wrapText="1"/>
      <protection locked="0"/>
    </xf>
    <xf numFmtId="0" fontId="18" fillId="43" borderId="55" xfId="4495" applyFont="1" applyFill="1" applyBorder="1" applyAlignment="1" applyProtection="1">
      <alignment vertical="top" wrapText="1"/>
      <protection locked="0"/>
    </xf>
    <xf numFmtId="0" fontId="18" fillId="43" borderId="6" xfId="4495" applyFont="1" applyFill="1" applyBorder="1" applyAlignment="1" applyProtection="1">
      <alignment vertical="top" wrapText="1"/>
      <protection locked="0"/>
    </xf>
    <xf numFmtId="0" fontId="18" fillId="43" borderId="56" xfId="4495" applyFont="1" applyFill="1" applyBorder="1" applyAlignment="1" applyProtection="1">
      <alignment vertical="top" wrapText="1"/>
      <protection locked="0"/>
    </xf>
    <xf numFmtId="0" fontId="18" fillId="43" borderId="0" xfId="4495" applyFont="1" applyFill="1" applyAlignment="1" applyProtection="1">
      <alignment horizontal="left" vertical="center" wrapText="1"/>
      <protection locked="0"/>
    </xf>
    <xf numFmtId="0" fontId="18" fillId="43" borderId="54" xfId="4495" applyFont="1" applyFill="1" applyBorder="1" applyAlignment="1" applyProtection="1">
      <alignment horizontal="left" vertical="center" wrapText="1"/>
      <protection locked="0"/>
    </xf>
    <xf numFmtId="0" fontId="18" fillId="43" borderId="6" xfId="4495" applyFont="1" applyFill="1" applyBorder="1" applyAlignment="1" applyProtection="1">
      <alignment horizontal="left" vertical="center" wrapText="1"/>
      <protection locked="0"/>
    </xf>
    <xf numFmtId="0" fontId="18" fillId="43" borderId="56" xfId="4495" applyFont="1" applyFill="1" applyBorder="1" applyAlignment="1" applyProtection="1">
      <alignment horizontal="left" vertical="center" wrapText="1"/>
      <protection locked="0"/>
    </xf>
    <xf numFmtId="0" fontId="131" fillId="0" borderId="0" xfId="4495" applyFont="1" applyAlignment="1">
      <alignment horizontal="left" vertical="top" wrapText="1"/>
    </xf>
    <xf numFmtId="0" fontId="121" fillId="5" borderId="55" xfId="4495" applyFill="1" applyBorder="1" applyAlignment="1" applyProtection="1">
      <alignment horizontal="center"/>
      <protection locked="0"/>
    </xf>
    <xf numFmtId="0" fontId="25" fillId="0" borderId="0" xfId="4495" applyFont="1" applyAlignment="1">
      <alignment horizontal="center"/>
    </xf>
    <xf numFmtId="0" fontId="25" fillId="0" borderId="54" xfId="4495" applyFont="1" applyBorder="1" applyAlignment="1">
      <alignment horizontal="center"/>
    </xf>
    <xf numFmtId="0" fontId="26" fillId="0" borderId="51" xfId="4495" applyFont="1" applyBorder="1" applyAlignment="1">
      <alignment horizontal="left" vertical="top" wrapText="1"/>
    </xf>
    <xf numFmtId="0" fontId="26" fillId="0" borderId="0" xfId="4495" applyFont="1" applyAlignment="1">
      <alignment horizontal="left" vertical="top" wrapText="1"/>
    </xf>
    <xf numFmtId="0" fontId="25" fillId="0" borderId="54" xfId="4495" applyFont="1" applyBorder="1" applyAlignment="1">
      <alignment horizontal="center" vertical="top"/>
    </xf>
    <xf numFmtId="0" fontId="121" fillId="5" borderId="62" xfId="4495" applyFill="1" applyBorder="1" applyAlignment="1" applyProtection="1">
      <alignment horizontal="center"/>
      <protection locked="0"/>
    </xf>
    <xf numFmtId="0" fontId="121" fillId="5" borderId="63" xfId="4495" applyFill="1" applyBorder="1" applyAlignment="1" applyProtection="1">
      <alignment horizontal="center"/>
      <protection locked="0"/>
    </xf>
    <xf numFmtId="0" fontId="18" fillId="0" borderId="0" xfId="4495" applyFont="1" applyAlignment="1">
      <alignment horizontal="left" vertical="center" wrapText="1" shrinkToFit="1"/>
    </xf>
    <xf numFmtId="0" fontId="18" fillId="5" borderId="6" xfId="4495" applyFont="1" applyFill="1" applyBorder="1" applyAlignment="1" applyProtection="1">
      <alignment horizontal="center" vertical="center" wrapText="1" shrinkToFit="1"/>
      <protection locked="0"/>
    </xf>
    <xf numFmtId="0" fontId="18" fillId="5" borderId="6" xfId="4495" applyFont="1" applyFill="1" applyBorder="1" applyAlignment="1" applyProtection="1">
      <alignment horizontal="left" wrapText="1" shrinkToFit="1"/>
      <protection locked="0"/>
    </xf>
    <xf numFmtId="0" fontId="18" fillId="43" borderId="6" xfId="1192" applyFill="1" applyBorder="1" applyAlignment="1" applyProtection="1">
      <alignment horizontal="left" vertical="top"/>
      <protection locked="0"/>
    </xf>
    <xf numFmtId="0" fontId="158" fillId="0" borderId="0" xfId="0" applyFont="1" applyAlignment="1" applyProtection="1">
      <alignment horizontal="left"/>
      <protection locked="0"/>
    </xf>
    <xf numFmtId="168" fontId="157" fillId="0" borderId="0" xfId="0" applyNumberFormat="1" applyFont="1" applyAlignment="1">
      <alignment horizontal="center" vertical="top" wrapText="1"/>
    </xf>
    <xf numFmtId="168" fontId="157" fillId="0" borderId="12" xfId="0" applyNumberFormat="1" applyFont="1" applyBorder="1" applyAlignment="1">
      <alignment horizontal="center" vertical="top" wrapText="1"/>
    </xf>
    <xf numFmtId="0" fontId="26" fillId="0" borderId="0" xfId="4495" applyFont="1" applyAlignment="1">
      <alignment horizontal="center"/>
    </xf>
    <xf numFmtId="0" fontId="18" fillId="0" borderId="0" xfId="4495" applyFont="1" applyAlignment="1">
      <alignment wrapText="1"/>
    </xf>
    <xf numFmtId="0" fontId="18" fillId="0" borderId="0" xfId="4495" applyFont="1" applyAlignment="1">
      <alignment horizontal="left" vertical="top" wrapText="1" shrinkToFit="1"/>
    </xf>
    <xf numFmtId="44" fontId="18" fillId="0" borderId="0" xfId="707" applyFont="1" applyFill="1" applyBorder="1" applyAlignment="1" applyProtection="1">
      <alignment horizontal="left" vertical="top" wrapText="1"/>
    </xf>
    <xf numFmtId="0" fontId="25" fillId="0" borderId="0" xfId="4495" applyFont="1" applyAlignment="1">
      <alignment horizontal="left" vertical="top" wrapText="1"/>
    </xf>
    <xf numFmtId="0" fontId="18" fillId="45" borderId="11" xfId="4495" applyFont="1" applyFill="1" applyBorder="1" applyAlignment="1">
      <alignment horizontal="center"/>
    </xf>
    <xf numFmtId="0" fontId="131" fillId="0" borderId="0" xfId="4495" applyFont="1" applyAlignment="1">
      <alignment horizontal="left" vertical="center" wrapText="1"/>
    </xf>
    <xf numFmtId="0" fontId="25" fillId="0" borderId="11" xfId="4495" applyFont="1" applyBorder="1" applyAlignment="1">
      <alignment horizontal="center"/>
    </xf>
    <xf numFmtId="0" fontId="26" fillId="0" borderId="58" xfId="4495" applyFont="1" applyBorder="1" applyAlignment="1">
      <alignment horizontal="left" vertical="top" wrapText="1"/>
    </xf>
    <xf numFmtId="0" fontId="25" fillId="0" borderId="51" xfId="4495" applyFont="1" applyBorder="1" applyAlignment="1">
      <alignment horizontal="center" vertical="top"/>
    </xf>
    <xf numFmtId="0" fontId="25" fillId="0" borderId="52" xfId="4495" applyFont="1" applyBorder="1" applyAlignment="1">
      <alignment horizontal="center" vertical="top"/>
    </xf>
    <xf numFmtId="0" fontId="121" fillId="5" borderId="50" xfId="4495" applyFill="1" applyBorder="1" applyAlignment="1">
      <alignment horizontal="center"/>
    </xf>
    <xf numFmtId="0" fontId="121" fillId="5" borderId="51" xfId="4495" applyFill="1" applyBorder="1" applyAlignment="1">
      <alignment horizontal="center"/>
    </xf>
    <xf numFmtId="0" fontId="54" fillId="0" borderId="51" xfId="4495" applyFont="1" applyBorder="1" applyAlignment="1">
      <alignment horizontal="left" wrapText="1"/>
    </xf>
    <xf numFmtId="0" fontId="54" fillId="0" borderId="0" xfId="4495" applyFont="1" applyAlignment="1">
      <alignment horizontal="left" wrapText="1"/>
    </xf>
    <xf numFmtId="0" fontId="121" fillId="5" borderId="53" xfId="4495" applyFill="1" applyBorder="1" applyAlignment="1">
      <alignment horizontal="center"/>
    </xf>
    <xf numFmtId="0" fontId="121" fillId="5" borderId="0" xfId="4495" applyFill="1" applyAlignment="1">
      <alignment horizontal="center"/>
    </xf>
    <xf numFmtId="0" fontId="121" fillId="5" borderId="55" xfId="4495" applyFill="1" applyBorder="1" applyAlignment="1">
      <alignment horizontal="center"/>
    </xf>
    <xf numFmtId="0" fontId="121" fillId="5" borderId="6" xfId="4495" applyFill="1" applyBorder="1" applyAlignment="1">
      <alignment horizontal="center"/>
    </xf>
    <xf numFmtId="0" fontId="26" fillId="5" borderId="0" xfId="4495" applyFont="1" applyFill="1" applyAlignment="1">
      <alignment horizontal="left" vertical="top" wrapText="1"/>
    </xf>
    <xf numFmtId="0" fontId="26" fillId="5" borderId="58" xfId="4495" applyFont="1" applyFill="1" applyBorder="1" applyAlignment="1">
      <alignment horizontal="left" vertical="top" wrapText="1"/>
    </xf>
    <xf numFmtId="0" fontId="25" fillId="0" borderId="4" xfId="4495" applyFont="1" applyBorder="1" applyAlignment="1">
      <alignment horizontal="left"/>
    </xf>
    <xf numFmtId="0" fontId="25" fillId="0" borderId="5" xfId="4495" applyFont="1" applyBorder="1" applyAlignment="1">
      <alignment horizontal="left"/>
    </xf>
    <xf numFmtId="1" fontId="25" fillId="0" borderId="4" xfId="4495" applyNumberFormat="1" applyFont="1" applyBorder="1" applyAlignment="1">
      <alignment horizontal="center" wrapText="1"/>
    </xf>
    <xf numFmtId="0" fontId="25" fillId="0" borderId="4" xfId="4495" applyFont="1" applyBorder="1" applyAlignment="1">
      <alignment horizontal="center" wrapText="1"/>
    </xf>
    <xf numFmtId="0" fontId="25" fillId="0" borderId="5" xfId="4495" applyFont="1" applyBorder="1" applyAlignment="1">
      <alignment horizontal="center" wrapText="1"/>
    </xf>
    <xf numFmtId="0" fontId="25" fillId="0" borderId="3" xfId="4495" applyFont="1" applyBorder="1" applyAlignment="1">
      <alignment horizontal="center" wrapText="1"/>
    </xf>
    <xf numFmtId="0" fontId="18" fillId="0" borderId="50" xfId="4496" applyFont="1" applyBorder="1" applyAlignment="1">
      <alignment horizontal="left" wrapText="1"/>
    </xf>
    <xf numFmtId="0" fontId="18" fillId="0" borderId="51" xfId="4496" applyFont="1" applyBorder="1" applyAlignment="1">
      <alignment horizontal="left" wrapText="1"/>
    </xf>
    <xf numFmtId="0" fontId="18" fillId="0" borderId="52" xfId="4496" applyFont="1" applyBorder="1" applyAlignment="1">
      <alignment horizontal="left" wrapText="1"/>
    </xf>
    <xf numFmtId="0" fontId="18" fillId="0" borderId="53" xfId="4496" applyFont="1" applyBorder="1" applyAlignment="1">
      <alignment horizontal="left" wrapText="1"/>
    </xf>
    <xf numFmtId="0" fontId="18" fillId="0" borderId="0" xfId="4496" applyFont="1" applyAlignment="1">
      <alignment horizontal="left" wrapText="1"/>
    </xf>
    <xf numFmtId="0" fontId="18" fillId="0" borderId="54" xfId="4496" applyFont="1" applyBorder="1" applyAlignment="1">
      <alignment horizontal="left" wrapText="1"/>
    </xf>
    <xf numFmtId="0" fontId="18" fillId="0" borderId="57" xfId="4496" applyFont="1" applyBorder="1" applyAlignment="1">
      <alignment horizontal="left" wrapText="1"/>
    </xf>
    <xf numFmtId="0" fontId="18" fillId="0" borderId="58" xfId="4496" applyFont="1" applyBorder="1" applyAlignment="1">
      <alignment horizontal="left" wrapText="1"/>
    </xf>
    <xf numFmtId="0" fontId="18" fillId="0" borderId="59" xfId="4496" applyFont="1" applyBorder="1" applyAlignment="1">
      <alignment horizontal="left" wrapText="1"/>
    </xf>
    <xf numFmtId="1" fontId="18" fillId="0" borderId="4" xfId="4496" applyNumberFormat="1" applyFont="1" applyBorder="1" applyAlignment="1">
      <alignment horizontal="center"/>
    </xf>
    <xf numFmtId="1" fontId="18" fillId="0" borderId="5" xfId="4496" applyNumberFormat="1" applyFont="1" applyBorder="1" applyAlignment="1">
      <alignment horizontal="center"/>
    </xf>
    <xf numFmtId="49" fontId="24" fillId="3" borderId="2" xfId="4495" applyNumberFormat="1" applyFont="1" applyFill="1" applyBorder="1" applyAlignment="1">
      <alignment horizontal="center" vertical="center" wrapText="1"/>
    </xf>
    <xf numFmtId="49" fontId="24" fillId="3" borderId="2" xfId="4495" applyNumberFormat="1" applyFont="1" applyFill="1" applyBorder="1" applyAlignment="1">
      <alignment horizontal="center" vertical="center"/>
    </xf>
    <xf numFmtId="49" fontId="24" fillId="3" borderId="0" xfId="4495" applyNumberFormat="1" applyFont="1" applyFill="1" applyAlignment="1">
      <alignment horizontal="center" vertical="center"/>
    </xf>
    <xf numFmtId="0" fontId="25" fillId="0" borderId="1" xfId="4495" applyFont="1" applyBorder="1" applyAlignment="1">
      <alignment horizontal="center" wrapText="1"/>
    </xf>
    <xf numFmtId="0" fontId="25" fillId="0" borderId="2" xfId="4495" applyFont="1" applyBorder="1" applyAlignment="1">
      <alignment horizontal="center" wrapText="1"/>
    </xf>
    <xf numFmtId="0" fontId="25" fillId="0" borderId="7" xfId="4495" applyFont="1" applyBorder="1" applyAlignment="1">
      <alignment horizontal="center" wrapText="1"/>
    </xf>
    <xf numFmtId="0" fontId="25" fillId="0" borderId="9" xfId="4495" applyFont="1" applyBorder="1" applyAlignment="1">
      <alignment horizontal="center" wrapText="1"/>
    </xf>
    <xf numFmtId="0" fontId="25" fillId="0" borderId="6" xfId="4495" applyFont="1" applyBorder="1" applyAlignment="1">
      <alignment horizontal="center" wrapText="1"/>
    </xf>
    <xf numFmtId="0" fontId="25" fillId="0" borderId="10" xfId="4495" applyFont="1" applyBorder="1" applyAlignment="1">
      <alignment horizontal="center" wrapText="1"/>
    </xf>
    <xf numFmtId="1" fontId="25" fillId="0" borderId="11" xfId="4495" applyNumberFormat="1" applyFont="1" applyBorder="1" applyAlignment="1">
      <alignment horizontal="center"/>
    </xf>
    <xf numFmtId="0" fontId="18" fillId="0" borderId="4" xfId="4495" applyFont="1" applyBorder="1" applyAlignment="1">
      <alignment horizontal="left"/>
    </xf>
    <xf numFmtId="0" fontId="18" fillId="0" borderId="5" xfId="4495" applyFont="1" applyBorder="1" applyAlignment="1">
      <alignment horizontal="left"/>
    </xf>
    <xf numFmtId="1" fontId="18" fillId="46" borderId="11" xfId="4495" applyNumberFormat="1" applyFont="1" applyFill="1" applyBorder="1" applyAlignment="1">
      <alignment horizontal="center"/>
    </xf>
    <xf numFmtId="0" fontId="25" fillId="0" borderId="3" xfId="4495" applyFont="1" applyBorder="1" applyAlignment="1">
      <alignment horizontal="left"/>
    </xf>
    <xf numFmtId="0" fontId="18" fillId="5" borderId="11" xfId="4495" applyFont="1" applyFill="1" applyBorder="1" applyAlignment="1" applyProtection="1">
      <alignment horizontal="center"/>
      <protection locked="0"/>
    </xf>
    <xf numFmtId="0" fontId="25" fillId="0" borderId="3" xfId="4495" applyFont="1" applyBorder="1" applyAlignment="1">
      <alignment horizontal="center"/>
    </xf>
    <xf numFmtId="0" fontId="25" fillId="0" borderId="4" xfId="4495" applyFont="1" applyBorder="1" applyAlignment="1">
      <alignment horizontal="center"/>
    </xf>
    <xf numFmtId="0" fontId="25" fillId="0" borderId="5" xfId="4495" applyFont="1" applyBorder="1" applyAlignment="1">
      <alignment horizontal="center"/>
    </xf>
    <xf numFmtId="164" fontId="65" fillId="0" borderId="1" xfId="4495" applyNumberFormat="1" applyFont="1" applyBorder="1" applyAlignment="1">
      <alignment horizontal="right" vertical="center"/>
    </xf>
    <xf numFmtId="164" fontId="65" fillId="0" borderId="2" xfId="4495" applyNumberFormat="1" applyFont="1" applyBorder="1" applyAlignment="1">
      <alignment horizontal="right" vertical="center"/>
    </xf>
    <xf numFmtId="164" fontId="65" fillId="0" borderId="7" xfId="4495" applyNumberFormat="1" applyFont="1" applyBorder="1" applyAlignment="1">
      <alignment horizontal="right" vertical="center"/>
    </xf>
    <xf numFmtId="164" fontId="65" fillId="0" borderId="9" xfId="4495" applyNumberFormat="1" applyFont="1" applyBorder="1" applyAlignment="1">
      <alignment horizontal="right" vertical="center"/>
    </xf>
    <xf numFmtId="164" fontId="65" fillId="0" borderId="6" xfId="4495" applyNumberFormat="1" applyFont="1" applyBorder="1" applyAlignment="1">
      <alignment horizontal="right" vertical="center"/>
    </xf>
    <xf numFmtId="164" fontId="65" fillId="0" borderId="10" xfId="4495" applyNumberFormat="1" applyFont="1" applyBorder="1" applyAlignment="1">
      <alignment horizontal="right" vertical="center"/>
    </xf>
    <xf numFmtId="180" fontId="65" fillId="0" borderId="1" xfId="4495" applyNumberFormat="1" applyFont="1" applyBorder="1" applyAlignment="1">
      <alignment horizontal="center" vertical="center"/>
    </xf>
    <xf numFmtId="180" fontId="65" fillId="0" borderId="2" xfId="4495" applyNumberFormat="1" applyFont="1" applyBorder="1" applyAlignment="1">
      <alignment horizontal="center" vertical="center"/>
    </xf>
    <xf numFmtId="180" fontId="65" fillId="0" borderId="7" xfId="4495" applyNumberFormat="1" applyFont="1" applyBorder="1" applyAlignment="1">
      <alignment horizontal="center" vertical="center"/>
    </xf>
    <xf numFmtId="180" fontId="65" fillId="0" borderId="9" xfId="4495" applyNumberFormat="1" applyFont="1" applyBorder="1" applyAlignment="1">
      <alignment horizontal="center" vertical="center"/>
    </xf>
    <xf numFmtId="180" fontId="65" fillId="0" borderId="6" xfId="4495" applyNumberFormat="1" applyFont="1" applyBorder="1" applyAlignment="1">
      <alignment horizontal="center" vertical="center"/>
    </xf>
    <xf numFmtId="180" fontId="65" fillId="0" borderId="10" xfId="4495" applyNumberFormat="1" applyFont="1" applyBorder="1" applyAlignment="1">
      <alignment horizontal="center" vertical="center"/>
    </xf>
    <xf numFmtId="0" fontId="18" fillId="0" borderId="6" xfId="1192" applyBorder="1" applyAlignment="1">
      <alignment horizontal="right"/>
    </xf>
    <xf numFmtId="0" fontId="123" fillId="0" borderId="50" xfId="4496" applyFont="1" applyBorder="1" applyAlignment="1">
      <alignment horizontal="left" wrapText="1"/>
    </xf>
    <xf numFmtId="0" fontId="123" fillId="0" borderId="51" xfId="4496" applyFont="1" applyBorder="1" applyAlignment="1">
      <alignment horizontal="left" wrapText="1"/>
    </xf>
    <xf numFmtId="0" fontId="123" fillId="0" borderId="52" xfId="4496" applyFont="1" applyBorder="1" applyAlignment="1">
      <alignment horizontal="left" wrapText="1"/>
    </xf>
    <xf numFmtId="0" fontId="123" fillId="0" borderId="57" xfId="4496" applyFont="1" applyBorder="1" applyAlignment="1">
      <alignment horizontal="left" wrapText="1"/>
    </xf>
    <xf numFmtId="0" fontId="123" fillId="0" borderId="58" xfId="4496" applyFont="1" applyBorder="1" applyAlignment="1">
      <alignment horizontal="left" wrapText="1"/>
    </xf>
    <xf numFmtId="0" fontId="123" fillId="0" borderId="59" xfId="4496" applyFont="1" applyBorder="1" applyAlignment="1">
      <alignment horizontal="left" wrapText="1"/>
    </xf>
    <xf numFmtId="0" fontId="121" fillId="0" borderId="53" xfId="4495" applyBorder="1" applyAlignment="1">
      <alignment horizontal="center"/>
    </xf>
    <xf numFmtId="0" fontId="121" fillId="0" borderId="0" xfId="4495" applyAlignment="1">
      <alignment horizontal="center"/>
    </xf>
    <xf numFmtId="0" fontId="26" fillId="5" borderId="0" xfId="4495" applyFont="1" applyFill="1" applyAlignment="1">
      <alignment horizontal="left" vertical="top"/>
    </xf>
    <xf numFmtId="168" fontId="18" fillId="0" borderId="6" xfId="1192" applyNumberFormat="1" applyBorder="1" applyAlignment="1">
      <alignment horizontal="right"/>
    </xf>
    <xf numFmtId="0" fontId="119" fillId="0" borderId="4" xfId="1192" applyFont="1" applyBorder="1" applyAlignment="1">
      <alignment horizontal="left"/>
    </xf>
    <xf numFmtId="168" fontId="18" fillId="43" borderId="6" xfId="543" applyNumberFormat="1" applyFill="1" applyBorder="1" applyAlignment="1" applyProtection="1">
      <alignment horizontal="center"/>
      <protection locked="0"/>
    </xf>
    <xf numFmtId="168" fontId="18" fillId="43" borderId="6" xfId="1192" applyNumberFormat="1" applyFill="1" applyBorder="1" applyAlignment="1" applyProtection="1">
      <alignment horizontal="right"/>
      <protection locked="0"/>
    </xf>
    <xf numFmtId="0" fontId="26" fillId="5" borderId="58" xfId="4495" applyFont="1" applyFill="1" applyBorder="1" applyAlignment="1">
      <alignment horizontal="left"/>
    </xf>
    <xf numFmtId="0" fontId="54" fillId="0" borderId="51" xfId="4495" applyFont="1" applyBorder="1" applyAlignment="1">
      <alignment horizontal="left" vertical="top" wrapText="1"/>
    </xf>
    <xf numFmtId="0" fontId="54" fillId="0" borderId="0" xfId="4495" applyFont="1" applyAlignment="1">
      <alignment horizontal="left" vertical="top" wrapText="1"/>
    </xf>
    <xf numFmtId="9" fontId="26" fillId="5" borderId="58" xfId="4495" applyNumberFormat="1" applyFont="1" applyFill="1" applyBorder="1" applyAlignment="1">
      <alignment horizontal="left"/>
    </xf>
    <xf numFmtId="9" fontId="26" fillId="5" borderId="6" xfId="4495" applyNumberFormat="1" applyFont="1" applyFill="1" applyBorder="1" applyAlignment="1">
      <alignment horizontal="left"/>
    </xf>
    <xf numFmtId="0" fontId="26" fillId="5" borderId="6" xfId="4495" applyFont="1" applyFill="1" applyBorder="1" applyAlignment="1">
      <alignment horizontal="left"/>
    </xf>
    <xf numFmtId="0" fontId="121" fillId="5" borderId="62" xfId="4495" applyFill="1" applyBorder="1" applyAlignment="1">
      <alignment horizontal="center"/>
    </xf>
    <xf numFmtId="0" fontId="121" fillId="5" borderId="63" xfId="4495" applyFill="1" applyBorder="1" applyAlignment="1">
      <alignment horizontal="center"/>
    </xf>
    <xf numFmtId="10" fontId="26" fillId="0" borderId="2" xfId="4495" applyNumberFormat="1" applyFont="1" applyBorder="1" applyAlignment="1">
      <alignment horizontal="center"/>
    </xf>
    <xf numFmtId="4" fontId="26" fillId="0" borderId="0" xfId="4495" applyNumberFormat="1" applyFont="1" applyAlignment="1">
      <alignment horizontal="center"/>
    </xf>
    <xf numFmtId="0" fontId="34" fillId="42" borderId="2" xfId="4495" applyFont="1" applyFill="1" applyBorder="1" applyAlignment="1">
      <alignment horizontal="center"/>
    </xf>
    <xf numFmtId="0" fontId="34" fillId="42" borderId="6" xfId="4495" applyFont="1" applyFill="1" applyBorder="1" applyAlignment="1">
      <alignment horizontal="center"/>
    </xf>
    <xf numFmtId="4" fontId="26" fillId="0" borderId="6" xfId="4495" applyNumberFormat="1" applyFont="1" applyBorder="1" applyAlignment="1">
      <alignment horizontal="center"/>
    </xf>
    <xf numFmtId="168" fontId="18" fillId="0" borderId="4" xfId="1192" applyNumberFormat="1" applyBorder="1" applyAlignment="1">
      <alignment horizontal="right"/>
    </xf>
    <xf numFmtId="168" fontId="18" fillId="0" borderId="4" xfId="4496" applyNumberFormat="1" applyFont="1" applyBorder="1" applyAlignment="1">
      <alignment horizontal="center"/>
    </xf>
    <xf numFmtId="9" fontId="18" fillId="0" borderId="4" xfId="4496" applyNumberFormat="1" applyFont="1" applyBorder="1" applyAlignment="1">
      <alignment horizontal="center"/>
    </xf>
    <xf numFmtId="0" fontId="25" fillId="0" borderId="0" xfId="4495" applyFont="1" applyAlignment="1">
      <alignment horizontal="left" wrapText="1"/>
    </xf>
    <xf numFmtId="164" fontId="18" fillId="0" borderId="50" xfId="4495" applyNumberFormat="1" applyFont="1" applyBorder="1" applyAlignment="1">
      <alignment horizontal="left" vertical="top" wrapText="1"/>
    </xf>
    <xf numFmtId="164" fontId="18" fillId="0" borderId="51" xfId="4495" applyNumberFormat="1" applyFont="1" applyBorder="1" applyAlignment="1">
      <alignment horizontal="left" vertical="top" wrapText="1"/>
    </xf>
    <xf numFmtId="164" fontId="18" fillId="0" borderId="52" xfId="4495" applyNumberFormat="1" applyFont="1" applyBorder="1" applyAlignment="1">
      <alignment horizontal="left" vertical="top" wrapText="1"/>
    </xf>
    <xf numFmtId="164" fontId="18" fillId="0" borderId="53" xfId="4495" applyNumberFormat="1" applyFont="1" applyBorder="1" applyAlignment="1">
      <alignment horizontal="left" vertical="top" wrapText="1"/>
    </xf>
    <xf numFmtId="164" fontId="18" fillId="0" borderId="0" xfId="4495" applyNumberFormat="1" applyFont="1" applyAlignment="1">
      <alignment horizontal="left" vertical="top" wrapText="1"/>
    </xf>
    <xf numFmtId="164" fontId="18" fillId="0" borderId="54" xfId="4495" applyNumberFormat="1" applyFont="1" applyBorder="1" applyAlignment="1">
      <alignment horizontal="left" vertical="top" wrapText="1"/>
    </xf>
    <xf numFmtId="164" fontId="18" fillId="0" borderId="57" xfId="4495" applyNumberFormat="1" applyFont="1" applyBorder="1" applyAlignment="1">
      <alignment horizontal="left" vertical="top" wrapText="1"/>
    </xf>
    <xf numFmtId="164" fontId="18" fillId="0" borderId="58" xfId="4495" applyNumberFormat="1" applyFont="1" applyBorder="1" applyAlignment="1">
      <alignment horizontal="left" vertical="top" wrapText="1"/>
    </xf>
    <xf numFmtId="164" fontId="18" fillId="0" borderId="59" xfId="4495" applyNumberFormat="1" applyFont="1" applyBorder="1" applyAlignment="1">
      <alignment horizontal="left" vertical="top" wrapText="1"/>
    </xf>
    <xf numFmtId="4" fontId="26" fillId="0" borderId="3" xfId="4495" applyNumberFormat="1" applyFont="1" applyBorder="1" applyAlignment="1">
      <alignment horizontal="center"/>
    </xf>
    <xf numFmtId="4" fontId="26" fillId="0" borderId="4" xfId="4495" applyNumberFormat="1" applyFont="1" applyBorder="1" applyAlignment="1">
      <alignment horizontal="center"/>
    </xf>
    <xf numFmtId="4" fontId="26" fillId="0" borderId="5" xfId="4495" applyNumberFormat="1" applyFont="1" applyBorder="1" applyAlignment="1">
      <alignment horizontal="center"/>
    </xf>
    <xf numFmtId="165" fontId="123" fillId="0" borderId="3" xfId="4496" applyNumberFormat="1" applyFont="1" applyBorder="1" applyAlignment="1">
      <alignment horizontal="center" vertical="top" wrapText="1"/>
    </xf>
    <xf numFmtId="165" fontId="123" fillId="0" borderId="5" xfId="4496" applyNumberFormat="1" applyFont="1" applyBorder="1" applyAlignment="1">
      <alignment horizontal="center" vertical="top" wrapText="1"/>
    </xf>
    <xf numFmtId="3" fontId="18" fillId="43" borderId="6" xfId="1192" applyNumberFormat="1" applyFill="1" applyBorder="1" applyAlignment="1" applyProtection="1">
      <alignment horizontal="right"/>
      <protection locked="0"/>
    </xf>
    <xf numFmtId="0" fontId="143" fillId="0" borderId="0" xfId="1192" applyFont="1" applyAlignment="1">
      <alignment horizontal="center"/>
    </xf>
    <xf numFmtId="0" fontId="99" fillId="0" borderId="69" xfId="4496" applyFont="1" applyBorder="1" applyAlignment="1">
      <alignment horizontal="right"/>
    </xf>
    <xf numFmtId="0" fontId="99" fillId="0" borderId="70" xfId="4496" applyFont="1" applyBorder="1" applyAlignment="1">
      <alignment horizontal="right"/>
    </xf>
    <xf numFmtId="0" fontId="99" fillId="0" borderId="11" xfId="4496" applyFont="1" applyBorder="1"/>
    <xf numFmtId="0" fontId="99" fillId="0" borderId="76" xfId="4496" applyFont="1" applyBorder="1"/>
    <xf numFmtId="0" fontId="99" fillId="0" borderId="70" xfId="4496" applyFont="1" applyBorder="1"/>
    <xf numFmtId="0" fontId="99" fillId="0" borderId="77" xfId="4496" applyFont="1" applyBorder="1"/>
    <xf numFmtId="0" fontId="99" fillId="0" borderId="68" xfId="4496" applyFont="1" applyBorder="1"/>
    <xf numFmtId="0" fontId="99" fillId="0" borderId="71" xfId="4496" applyFont="1" applyBorder="1"/>
    <xf numFmtId="0" fontId="99" fillId="0" borderId="67" xfId="4496" applyFont="1" applyBorder="1" applyAlignment="1">
      <alignment horizontal="right"/>
    </xf>
    <xf numFmtId="0" fontId="99" fillId="0" borderId="68" xfId="4496" applyFont="1" applyBorder="1" applyAlignment="1">
      <alignment horizontal="right"/>
    </xf>
    <xf numFmtId="0" fontId="99" fillId="0" borderId="0" xfId="4496" applyFont="1" applyAlignment="1">
      <alignment horizontal="left" wrapText="1" indent="1"/>
    </xf>
    <xf numFmtId="49" fontId="137" fillId="3" borderId="0" xfId="1192" applyNumberFormat="1" applyFont="1" applyFill="1" applyAlignment="1">
      <alignment horizontal="center" vertical="center"/>
    </xf>
    <xf numFmtId="0" fontId="99" fillId="0" borderId="11" xfId="4496" applyFont="1" applyBorder="1" applyAlignment="1">
      <alignment horizontal="left" indent="1"/>
    </xf>
    <xf numFmtId="0" fontId="99" fillId="0" borderId="11" xfId="4496" applyFont="1" applyBorder="1" applyAlignment="1">
      <alignment horizontal="left" indent="2"/>
    </xf>
    <xf numFmtId="0" fontId="138" fillId="45" borderId="3" xfId="4496" applyFont="1" applyFill="1" applyBorder="1" applyAlignment="1">
      <alignment horizontal="center" vertical="center"/>
    </xf>
    <xf numFmtId="0" fontId="138" fillId="45" borderId="4" xfId="4496" applyFont="1" applyFill="1" applyBorder="1" applyAlignment="1">
      <alignment horizontal="center" vertical="center"/>
    </xf>
    <xf numFmtId="0" fontId="138" fillId="45" borderId="5" xfId="4496" applyFont="1" applyFill="1" applyBorder="1" applyAlignment="1">
      <alignment horizontal="center" vertical="center"/>
    </xf>
    <xf numFmtId="9" fontId="138" fillId="45" borderId="3" xfId="4499" applyFont="1" applyFill="1" applyBorder="1" applyAlignment="1" applyProtection="1">
      <alignment horizontal="center" vertical="center"/>
    </xf>
    <xf numFmtId="9" fontId="138" fillId="45" borderId="4" xfId="4499" applyFont="1" applyFill="1" applyBorder="1" applyAlignment="1" applyProtection="1">
      <alignment horizontal="center" vertical="center"/>
    </xf>
    <xf numFmtId="9" fontId="138" fillId="45" borderId="5" xfId="4499" applyFont="1" applyFill="1" applyBorder="1" applyAlignment="1" applyProtection="1">
      <alignment horizontal="center" vertical="center"/>
    </xf>
    <xf numFmtId="168" fontId="99" fillId="0" borderId="11" xfId="4499" applyNumberFormat="1" applyFont="1" applyFill="1" applyBorder="1" applyAlignment="1" applyProtection="1">
      <alignment horizontal="left" vertical="center" indent="1"/>
    </xf>
    <xf numFmtId="49" fontId="99" fillId="45" borderId="15" xfId="4496" applyNumberFormat="1" applyFont="1" applyFill="1" applyBorder="1" applyAlignment="1">
      <alignment horizontal="center" vertical="center" wrapText="1"/>
    </xf>
    <xf numFmtId="49" fontId="99" fillId="45" borderId="13" xfId="4496" applyNumberFormat="1" applyFont="1" applyFill="1" applyBorder="1" applyAlignment="1">
      <alignment horizontal="center" vertical="center" wrapText="1"/>
    </xf>
    <xf numFmtId="0" fontId="138" fillId="0" borderId="68" xfId="4496" applyFont="1" applyBorder="1" applyAlignment="1">
      <alignment horizontal="left" indent="1"/>
    </xf>
    <xf numFmtId="168" fontId="99" fillId="0" borderId="70" xfId="4499" applyNumberFormat="1" applyFont="1" applyFill="1" applyBorder="1" applyAlignment="1" applyProtection="1">
      <alignment horizontal="left" vertical="center" indent="1"/>
    </xf>
    <xf numFmtId="0" fontId="99" fillId="0" borderId="72" xfId="4496" applyFont="1" applyBorder="1" applyAlignment="1">
      <alignment horizontal="right"/>
    </xf>
    <xf numFmtId="0" fontId="99" fillId="0" borderId="11" xfId="4496" applyFont="1" applyBorder="1" applyAlignment="1">
      <alignment horizontal="right"/>
    </xf>
    <xf numFmtId="168" fontId="99" fillId="0" borderId="13" xfId="4499" applyNumberFormat="1" applyFont="1" applyFill="1" applyBorder="1" applyAlignment="1" applyProtection="1">
      <alignment horizontal="left" vertical="center" indent="1"/>
    </xf>
    <xf numFmtId="0" fontId="99" fillId="0" borderId="3" xfId="4496" applyFont="1" applyBorder="1" applyAlignment="1">
      <alignment horizontal="left" indent="1"/>
    </xf>
    <xf numFmtId="0" fontId="99" fillId="0" borderId="4" xfId="4496" applyFont="1" applyBorder="1" applyAlignment="1">
      <alignment horizontal="left" indent="1"/>
    </xf>
    <xf numFmtId="0" fontId="99" fillId="0" borderId="5" xfId="4496" applyFont="1" applyBorder="1" applyAlignment="1">
      <alignment horizontal="left" indent="1"/>
    </xf>
    <xf numFmtId="0" fontId="99" fillId="0" borderId="3" xfId="4496" applyFont="1" applyBorder="1" applyAlignment="1">
      <alignment horizontal="left" indent="2"/>
    </xf>
    <xf numFmtId="0" fontId="99" fillId="0" borderId="4" xfId="4496" applyFont="1" applyBorder="1" applyAlignment="1">
      <alignment horizontal="left" indent="2"/>
    </xf>
    <xf numFmtId="0" fontId="99" fillId="0" borderId="5" xfId="4496" applyFont="1" applyBorder="1" applyAlignment="1">
      <alignment horizontal="left" indent="2"/>
    </xf>
    <xf numFmtId="0" fontId="99" fillId="0" borderId="0" xfId="4496" applyFont="1" applyAlignment="1">
      <alignment wrapText="1"/>
    </xf>
    <xf numFmtId="0" fontId="138" fillId="0" borderId="75" xfId="4496" applyFont="1" applyBorder="1" applyAlignment="1">
      <alignment horizontal="center" vertical="top" wrapText="1"/>
    </xf>
    <xf numFmtId="0" fontId="138" fillId="0" borderId="74" xfId="4496" applyFont="1" applyBorder="1" applyAlignment="1">
      <alignment horizontal="center" vertical="top" wrapText="1"/>
    </xf>
    <xf numFmtId="0" fontId="99" fillId="0" borderId="0" xfId="4496" applyFont="1" applyAlignment="1">
      <alignment horizontal="left" wrapText="1"/>
    </xf>
    <xf numFmtId="0" fontId="99" fillId="0" borderId="0" xfId="4496" applyFont="1" applyAlignment="1">
      <alignment horizontal="center" vertical="center" wrapText="1"/>
    </xf>
    <xf numFmtId="0" fontId="99" fillId="43" borderId="0" xfId="4496" applyFont="1" applyFill="1" applyAlignment="1" applyProtection="1">
      <alignment horizontal="left" vertical="top" wrapText="1"/>
      <protection locked="0"/>
    </xf>
    <xf numFmtId="0" fontId="99" fillId="43" borderId="6" xfId="4496" applyFont="1" applyFill="1" applyBorder="1" applyAlignment="1" applyProtection="1">
      <alignment horizontal="left" vertical="top" wrapText="1"/>
      <protection locked="0"/>
    </xf>
    <xf numFmtId="0" fontId="23" fillId="0" borderId="6" xfId="271" applyFont="1" applyBorder="1" applyAlignment="1">
      <alignment horizontal="center"/>
    </xf>
    <xf numFmtId="0" fontId="23" fillId="0" borderId="0" xfId="0" applyFont="1" applyAlignment="1" applyProtection="1">
      <alignment wrapText="1"/>
      <protection locked="0"/>
    </xf>
    <xf numFmtId="3" fontId="18" fillId="0" borderId="0" xfId="0" applyNumberFormat="1" applyFont="1" applyAlignment="1">
      <alignment horizontal="left" vertical="top" wrapText="1"/>
    </xf>
    <xf numFmtId="3" fontId="27" fillId="0" borderId="0" xfId="0" applyNumberFormat="1" applyFont="1" applyAlignment="1">
      <alignment horizontal="left" vertical="top" wrapText="1"/>
    </xf>
    <xf numFmtId="0" fontId="18" fillId="43" borderId="0" xfId="0" applyFont="1" applyFill="1" applyAlignment="1">
      <alignment horizontal="left"/>
    </xf>
  </cellXfs>
  <cellStyles count="17184">
    <cellStyle name="20% - Accent1" xfId="1" builtinId="30" customBuiltin="1"/>
    <cellStyle name="20% - Accent1 10" xfId="4504" xr:uid="{00000000-0005-0000-0000-000001000000}"/>
    <cellStyle name="20% - Accent1 10 2" xfId="12954" xr:uid="{D1669AC2-9175-4041-BBD2-9AE3F0BDCA72}"/>
    <cellStyle name="20% - Accent1 11" xfId="8736" xr:uid="{5E7B37DE-2DC1-4BE8-9514-54E7FB0B1E5A}"/>
    <cellStyle name="20% - Accent1 2" xfId="2" xr:uid="{00000000-0005-0000-0000-000002000000}"/>
    <cellStyle name="20% - Accent1 2 10" xfId="8737" xr:uid="{57CC47E4-9900-4C4B-84BC-F15DFD3FFA3E}"/>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15516" xr:uid="{D681A3DD-AEC5-48B2-B3C7-7BF31154A88A}"/>
    <cellStyle name="20% - Accent1 2 2 2 2 2 3" xfId="11298" xr:uid="{42DC653E-D104-407D-8E5F-7F8FA861BF15}"/>
    <cellStyle name="20% - Accent1 2 2 2 2 3" xfId="4921" xr:uid="{00000000-0005-0000-0000-000008000000}"/>
    <cellStyle name="20% - Accent1 2 2 2 2 3 2" xfId="13371" xr:uid="{57666602-E5D6-4A0E-A699-D7810D149FE8}"/>
    <cellStyle name="20% - Accent1 2 2 2 2 4" xfId="9153" xr:uid="{1D4E4BE9-A43B-442E-A93C-C091E870A3B8}"/>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15929" xr:uid="{99F087B4-8361-4DB0-B582-E35E3EE0F75A}"/>
    <cellStyle name="20% - Accent1 2 2 2 3 2 3" xfId="11711" xr:uid="{7DFD4AE7-8B73-45AD-937C-4BF5358E23DC}"/>
    <cellStyle name="20% - Accent1 2 2 2 3 3" xfId="5334" xr:uid="{00000000-0005-0000-0000-00000C000000}"/>
    <cellStyle name="20% - Accent1 2 2 2 3 3 2" xfId="13784" xr:uid="{081E649C-A440-4BBA-A06A-9835C157C07C}"/>
    <cellStyle name="20% - Accent1 2 2 2 3 4" xfId="9566" xr:uid="{84187C71-99A1-41D8-A27E-C9EF12492CB6}"/>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16342" xr:uid="{7BAB4451-1C29-448C-A51B-A4320A074CA1}"/>
    <cellStyle name="20% - Accent1 2 2 2 4 2 3" xfId="12124" xr:uid="{E1274153-DE50-41C4-96F5-5F36084D357C}"/>
    <cellStyle name="20% - Accent1 2 2 2 4 3" xfId="5747" xr:uid="{00000000-0005-0000-0000-000010000000}"/>
    <cellStyle name="20% - Accent1 2 2 2 4 3 2" xfId="14197" xr:uid="{B2A68C2D-B772-4AC4-A9B0-632176DDDB9C}"/>
    <cellStyle name="20% - Accent1 2 2 2 4 4" xfId="9979" xr:uid="{3B636ADB-A2FD-4E68-888E-12D127C6FD59}"/>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16755" xr:uid="{0EFDCF42-5B87-4486-9070-9BC85487AA88}"/>
    <cellStyle name="20% - Accent1 2 2 2 5 2 3" xfId="12537" xr:uid="{301A4214-D4DC-4E9B-9E19-EF329C9D1FC7}"/>
    <cellStyle name="20% - Accent1 2 2 2 5 3" xfId="6160" xr:uid="{00000000-0005-0000-0000-000014000000}"/>
    <cellStyle name="20% - Accent1 2 2 2 5 3 2" xfId="14610" xr:uid="{E46D9C23-69B9-48D5-859C-6F3EC660A1E1}"/>
    <cellStyle name="20% - Accent1 2 2 2 5 4" xfId="10392" xr:uid="{8DF2D23F-F03F-4D20-A812-5BBC2EF0D8FB}"/>
    <cellStyle name="20% - Accent1 2 2 2 6" xfId="2267" xr:uid="{00000000-0005-0000-0000-000015000000}"/>
    <cellStyle name="20% - Accent1 2 2 2 6 2" xfId="6573" xr:uid="{00000000-0005-0000-0000-000016000000}"/>
    <cellStyle name="20% - Accent1 2 2 2 6 2 2" xfId="15023" xr:uid="{158234AF-EEAE-4735-9601-E07778AD9690}"/>
    <cellStyle name="20% - Accent1 2 2 2 6 3" xfId="10805" xr:uid="{D9C0A9BD-ABA4-4B88-9873-F514BD4CA076}"/>
    <cellStyle name="20% - Accent1 2 2 2 7" xfId="4507" xr:uid="{00000000-0005-0000-0000-000017000000}"/>
    <cellStyle name="20% - Accent1 2 2 2 7 2" xfId="12957" xr:uid="{50790D45-E42F-4E7F-BA4C-C0ED74F87939}"/>
    <cellStyle name="20% - Accent1 2 2 2 8" xfId="8739" xr:uid="{1CE5BC74-CC70-45D2-A4C3-F4CD59BDD4E3}"/>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15515" xr:uid="{4269B5AF-9ADF-429F-9438-3017175C8392}"/>
    <cellStyle name="20% - Accent1 2 2 3 2 3" xfId="11297" xr:uid="{57A73318-5734-4FB4-8A8B-779D545C95E9}"/>
    <cellStyle name="20% - Accent1 2 2 3 3" xfId="4920" xr:uid="{00000000-0005-0000-0000-00001B000000}"/>
    <cellStyle name="20% - Accent1 2 2 3 3 2" xfId="13370" xr:uid="{E7CBAB41-6535-4BF8-B22B-BEF16779ED5C}"/>
    <cellStyle name="20% - Accent1 2 2 3 4" xfId="9152" xr:uid="{817A7BE9-4C93-4443-B1E9-FF3C9DECB782}"/>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15928" xr:uid="{A9067EA0-8FE8-437C-83CD-5EB42202563B}"/>
    <cellStyle name="20% - Accent1 2 2 4 2 3" xfId="11710" xr:uid="{140368B4-1554-4DD4-B004-7A191381063E}"/>
    <cellStyle name="20% - Accent1 2 2 4 3" xfId="5333" xr:uid="{00000000-0005-0000-0000-00001F000000}"/>
    <cellStyle name="20% - Accent1 2 2 4 3 2" xfId="13783" xr:uid="{68BB619B-EC67-4B52-A475-EA69FAB9023A}"/>
    <cellStyle name="20% - Accent1 2 2 4 4" xfId="9565" xr:uid="{F10F63B0-DB0C-4E72-A037-FA3E8395094D}"/>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16341" xr:uid="{133BCE14-4422-4BBB-98C2-8202A3A164CF}"/>
    <cellStyle name="20% - Accent1 2 2 5 2 3" xfId="12123" xr:uid="{E94A54B5-E343-4056-82E7-7D68ABC317ED}"/>
    <cellStyle name="20% - Accent1 2 2 5 3" xfId="5746" xr:uid="{00000000-0005-0000-0000-000023000000}"/>
    <cellStyle name="20% - Accent1 2 2 5 3 2" xfId="14196" xr:uid="{C31C338E-77D3-42D8-A1B5-60CDAAD7FEE6}"/>
    <cellStyle name="20% - Accent1 2 2 5 4" xfId="9978" xr:uid="{D69F4B31-B748-4977-A634-753D67F6C2DD}"/>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16754" xr:uid="{FAF5CE30-5708-41B9-AFE7-4D87491731D1}"/>
    <cellStyle name="20% - Accent1 2 2 6 2 3" xfId="12536" xr:uid="{FCE4538F-556C-469E-BBFA-0EA46FAAB305}"/>
    <cellStyle name="20% - Accent1 2 2 6 3" xfId="6159" xr:uid="{00000000-0005-0000-0000-000027000000}"/>
    <cellStyle name="20% - Accent1 2 2 6 3 2" xfId="14609" xr:uid="{343BCAD0-C01A-44A8-8922-8DED4661846E}"/>
    <cellStyle name="20% - Accent1 2 2 6 4" xfId="10391" xr:uid="{F450957D-02CD-4EE7-A776-2E488FEEEEFE}"/>
    <cellStyle name="20% - Accent1 2 2 7" xfId="2266" xr:uid="{00000000-0005-0000-0000-000028000000}"/>
    <cellStyle name="20% - Accent1 2 2 7 2" xfId="6572" xr:uid="{00000000-0005-0000-0000-000029000000}"/>
    <cellStyle name="20% - Accent1 2 2 7 2 2" xfId="15022" xr:uid="{BB24EE23-6DED-41E9-98BA-0E449EE2FE2D}"/>
    <cellStyle name="20% - Accent1 2 2 7 3" xfId="10804" xr:uid="{465BE217-2C32-457C-AFC5-34E5927C1F24}"/>
    <cellStyle name="20% - Accent1 2 2 8" xfId="4506" xr:uid="{00000000-0005-0000-0000-00002A000000}"/>
    <cellStyle name="20% - Accent1 2 2 8 2" xfId="12956" xr:uid="{653EADAD-221E-4736-B7B2-A5BE1B0EBCAE}"/>
    <cellStyle name="20% - Accent1 2 2 9" xfId="8738" xr:uid="{39F73841-6002-4204-AAF2-6076F7DB14EE}"/>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15517" xr:uid="{4F2084EF-1489-4A19-BF5A-4F30234545DE}"/>
    <cellStyle name="20% - Accent1 2 3 2 2 3" xfId="11299" xr:uid="{B7A9112F-292D-41DD-B6F2-A47E3D6CD9E4}"/>
    <cellStyle name="20% - Accent1 2 3 2 3" xfId="4922" xr:uid="{00000000-0005-0000-0000-00002F000000}"/>
    <cellStyle name="20% - Accent1 2 3 2 3 2" xfId="13372" xr:uid="{9289ACD4-A649-4CCC-9DA1-ED4048F9F25E}"/>
    <cellStyle name="20% - Accent1 2 3 2 4" xfId="9154" xr:uid="{973FA874-C0FA-4CA4-8EDC-3B822ACDD6FE}"/>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15930" xr:uid="{0D066351-17A5-402B-8D05-6E9F4BFE06F7}"/>
    <cellStyle name="20% - Accent1 2 3 3 2 3" xfId="11712" xr:uid="{428DC0DA-C1CA-4C46-AF3F-699EB187AAAA}"/>
    <cellStyle name="20% - Accent1 2 3 3 3" xfId="5335" xr:uid="{00000000-0005-0000-0000-000033000000}"/>
    <cellStyle name="20% - Accent1 2 3 3 3 2" xfId="13785" xr:uid="{02705C98-7FE7-4353-BA1A-B8FEC2A6243D}"/>
    <cellStyle name="20% - Accent1 2 3 3 4" xfId="9567" xr:uid="{B7D99D18-CF2A-4B2E-81B8-32D856A2C6EF}"/>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16343" xr:uid="{8C0DA099-7C88-4F21-B054-F98F8D8CA026}"/>
    <cellStyle name="20% - Accent1 2 3 4 2 3" xfId="12125" xr:uid="{32C7CAD7-2F3C-461E-AE4F-00F0FE6F013B}"/>
    <cellStyle name="20% - Accent1 2 3 4 3" xfId="5748" xr:uid="{00000000-0005-0000-0000-000037000000}"/>
    <cellStyle name="20% - Accent1 2 3 4 3 2" xfId="14198" xr:uid="{0988DB61-172A-4232-9149-AA690C20FA07}"/>
    <cellStyle name="20% - Accent1 2 3 4 4" xfId="9980" xr:uid="{55AC1817-4AF4-4DB6-B22D-AAF3BDB48E5A}"/>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16756" xr:uid="{B6C721A2-386E-4654-9080-DD1F488AF880}"/>
    <cellStyle name="20% - Accent1 2 3 5 2 3" xfId="12538" xr:uid="{5FAC431D-DD5D-4BE7-9C9E-0A2F0EB983DB}"/>
    <cellStyle name="20% - Accent1 2 3 5 3" xfId="6161" xr:uid="{00000000-0005-0000-0000-00003B000000}"/>
    <cellStyle name="20% - Accent1 2 3 5 3 2" xfId="14611" xr:uid="{43978DA2-023A-4BDF-B7FA-C1141CC84C5E}"/>
    <cellStyle name="20% - Accent1 2 3 5 4" xfId="10393" xr:uid="{D4C315DF-2740-4BBA-8917-AA4B0AFC7F6B}"/>
    <cellStyle name="20% - Accent1 2 3 6" xfId="2268" xr:uid="{00000000-0005-0000-0000-00003C000000}"/>
    <cellStyle name="20% - Accent1 2 3 6 2" xfId="6574" xr:uid="{00000000-0005-0000-0000-00003D000000}"/>
    <cellStyle name="20% - Accent1 2 3 6 2 2" xfId="15024" xr:uid="{570C84A6-A475-4C9C-9692-4E9F79285A84}"/>
    <cellStyle name="20% - Accent1 2 3 6 3" xfId="10806" xr:uid="{EF4AC949-B08B-4CAE-BBFA-3363D62884FC}"/>
    <cellStyle name="20% - Accent1 2 3 7" xfId="4508" xr:uid="{00000000-0005-0000-0000-00003E000000}"/>
    <cellStyle name="20% - Accent1 2 3 7 2" xfId="12958" xr:uid="{91F6DB4A-F5DB-4A98-8B52-583580B0426E}"/>
    <cellStyle name="20% - Accent1 2 3 8" xfId="8740" xr:uid="{963EFF5D-5524-42BA-BF6A-2EA91E1BF75A}"/>
    <cellStyle name="20% - Accent1 2 4" xfId="571" xr:uid="{00000000-0005-0000-0000-00003F000000}"/>
    <cellStyle name="20% - Accent1 2 4 2" xfId="2842" xr:uid="{00000000-0005-0000-0000-000040000000}"/>
    <cellStyle name="20% - Accent1 2 4 2 2" xfId="7064" xr:uid="{00000000-0005-0000-0000-000041000000}"/>
    <cellStyle name="20% - Accent1 2 4 2 2 2" xfId="15514" xr:uid="{C21FABFB-81AB-498F-A67D-8E0461367B07}"/>
    <cellStyle name="20% - Accent1 2 4 2 3" xfId="11296" xr:uid="{29CBAC74-C65B-4098-90A1-25D2FE8682FA}"/>
    <cellStyle name="20% - Accent1 2 4 3" xfId="4919" xr:uid="{00000000-0005-0000-0000-000042000000}"/>
    <cellStyle name="20% - Accent1 2 4 3 2" xfId="13369" xr:uid="{90784E58-2E56-41FE-B7FC-969655D09A63}"/>
    <cellStyle name="20% - Accent1 2 4 4" xfId="9151" xr:uid="{AEAEAA70-7ED0-4F27-9FB1-3B04F44F7A34}"/>
    <cellStyle name="20% - Accent1 2 5" xfId="1024" xr:uid="{00000000-0005-0000-0000-000043000000}"/>
    <cellStyle name="20% - Accent1 2 5 2" xfId="3255" xr:uid="{00000000-0005-0000-0000-000044000000}"/>
    <cellStyle name="20% - Accent1 2 5 2 2" xfId="7477" xr:uid="{00000000-0005-0000-0000-000045000000}"/>
    <cellStyle name="20% - Accent1 2 5 2 2 2" xfId="15927" xr:uid="{CF8E788D-094F-47D9-BB63-E1E8DF41330B}"/>
    <cellStyle name="20% - Accent1 2 5 2 3" xfId="11709" xr:uid="{5272F47E-E1E3-4B96-B217-0D0ED4E45815}"/>
    <cellStyle name="20% - Accent1 2 5 3" xfId="5332" xr:uid="{00000000-0005-0000-0000-000046000000}"/>
    <cellStyle name="20% - Accent1 2 5 3 2" xfId="13782" xr:uid="{222B8E1F-E552-4373-907C-6A796CBD2899}"/>
    <cellStyle name="20% - Accent1 2 5 4" xfId="9564" xr:uid="{93912F41-FA4D-4966-94FC-A009A4F99414}"/>
    <cellStyle name="20% - Accent1 2 6" xfId="1438" xr:uid="{00000000-0005-0000-0000-000047000000}"/>
    <cellStyle name="20% - Accent1 2 6 2" xfId="3668" xr:uid="{00000000-0005-0000-0000-000048000000}"/>
    <cellStyle name="20% - Accent1 2 6 2 2" xfId="7890" xr:uid="{00000000-0005-0000-0000-000049000000}"/>
    <cellStyle name="20% - Accent1 2 6 2 2 2" xfId="16340" xr:uid="{AA19C715-FF9D-4135-9734-D1653EE2A63D}"/>
    <cellStyle name="20% - Accent1 2 6 2 3" xfId="12122" xr:uid="{474A06D8-AE9F-4754-9024-B7443B573158}"/>
    <cellStyle name="20% - Accent1 2 6 3" xfId="5745" xr:uid="{00000000-0005-0000-0000-00004A000000}"/>
    <cellStyle name="20% - Accent1 2 6 3 2" xfId="14195" xr:uid="{442D47B1-5349-4182-B47A-4FB963382484}"/>
    <cellStyle name="20% - Accent1 2 6 4" xfId="9977" xr:uid="{BE5B29FF-F7A0-492B-B0FD-489B26D87835}"/>
    <cellStyle name="20% - Accent1 2 7" xfId="1852" xr:uid="{00000000-0005-0000-0000-00004B000000}"/>
    <cellStyle name="20% - Accent1 2 7 2" xfId="4081" xr:uid="{00000000-0005-0000-0000-00004C000000}"/>
    <cellStyle name="20% - Accent1 2 7 2 2" xfId="8303" xr:uid="{00000000-0005-0000-0000-00004D000000}"/>
    <cellStyle name="20% - Accent1 2 7 2 2 2" xfId="16753" xr:uid="{316C268F-AEDA-4869-9DB6-3CC282657C88}"/>
    <cellStyle name="20% - Accent1 2 7 2 3" xfId="12535" xr:uid="{F5FDF5E8-B615-4DD2-AAEF-46C13EBAD60D}"/>
    <cellStyle name="20% - Accent1 2 7 3" xfId="6158" xr:uid="{00000000-0005-0000-0000-00004E000000}"/>
    <cellStyle name="20% - Accent1 2 7 3 2" xfId="14608" xr:uid="{489672FC-CD64-4D18-88EA-7000E3F7507C}"/>
    <cellStyle name="20% - Accent1 2 7 4" xfId="10390" xr:uid="{29F0AEE6-15C3-40A4-817E-CEB8B6BA5C22}"/>
    <cellStyle name="20% - Accent1 2 8" xfId="2265" xr:uid="{00000000-0005-0000-0000-00004F000000}"/>
    <cellStyle name="20% - Accent1 2 8 2" xfId="6571" xr:uid="{00000000-0005-0000-0000-000050000000}"/>
    <cellStyle name="20% - Accent1 2 8 2 2" xfId="15021" xr:uid="{D67427AD-0BF5-4AEA-A48E-D8B8DC99CA85}"/>
    <cellStyle name="20% - Accent1 2 8 3" xfId="10803" xr:uid="{FC195B43-250C-40F4-B7B9-8D4D4A08CEF6}"/>
    <cellStyle name="20% - Accent1 2 9" xfId="4505" xr:uid="{00000000-0005-0000-0000-000051000000}"/>
    <cellStyle name="20% - Accent1 2 9 2" xfId="12955" xr:uid="{69939ACE-C2FB-45D0-8EF1-6E7CBDFACE1E}"/>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15519" xr:uid="{B340DE7F-D23D-40FF-9361-87E2C6378DA1}"/>
    <cellStyle name="20% - Accent1 3 2 2 2 3" xfId="11301" xr:uid="{823F049B-B275-47E1-9CE9-245731C60BF6}"/>
    <cellStyle name="20% - Accent1 3 2 2 3" xfId="4924" xr:uid="{00000000-0005-0000-0000-000057000000}"/>
    <cellStyle name="20% - Accent1 3 2 2 3 2" xfId="13374" xr:uid="{82A05041-5381-4D32-ABE8-CD56223CC7AE}"/>
    <cellStyle name="20% - Accent1 3 2 2 4" xfId="9156" xr:uid="{2C801A60-132A-4D4B-9B99-4D1F18D4F27C}"/>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15932" xr:uid="{61C4BA89-85AC-40CA-AC2A-8EE1B49B87E4}"/>
    <cellStyle name="20% - Accent1 3 2 3 2 3" xfId="11714" xr:uid="{AB67255E-EF4C-4785-A668-76A7006FF055}"/>
    <cellStyle name="20% - Accent1 3 2 3 3" xfId="5337" xr:uid="{00000000-0005-0000-0000-00005B000000}"/>
    <cellStyle name="20% - Accent1 3 2 3 3 2" xfId="13787" xr:uid="{B223242E-C72A-4AD9-BAEF-FB622F60E516}"/>
    <cellStyle name="20% - Accent1 3 2 3 4" xfId="9569" xr:uid="{8066CB48-9128-456C-8021-28AB50020537}"/>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16345" xr:uid="{BF49E344-0E7C-44E7-A747-C9BDD12FDA06}"/>
    <cellStyle name="20% - Accent1 3 2 4 2 3" xfId="12127" xr:uid="{4CE10E2C-4C99-4F21-BDC6-D4D9E345A1D4}"/>
    <cellStyle name="20% - Accent1 3 2 4 3" xfId="5750" xr:uid="{00000000-0005-0000-0000-00005F000000}"/>
    <cellStyle name="20% - Accent1 3 2 4 3 2" xfId="14200" xr:uid="{2B8BC8A6-4E0F-4CAA-9B9C-5B7921E019CF}"/>
    <cellStyle name="20% - Accent1 3 2 4 4" xfId="9982" xr:uid="{D5FF9454-2B97-4826-A5A1-9F51D070EAFB}"/>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16758" xr:uid="{C6FF4754-D508-4610-A4EA-D9E5B33B6A9F}"/>
    <cellStyle name="20% - Accent1 3 2 5 2 3" xfId="12540" xr:uid="{22969950-FD0C-4BA8-A87F-1F38785FC711}"/>
    <cellStyle name="20% - Accent1 3 2 5 3" xfId="6163" xr:uid="{00000000-0005-0000-0000-000063000000}"/>
    <cellStyle name="20% - Accent1 3 2 5 3 2" xfId="14613" xr:uid="{F59D7CFA-AAA8-4187-8645-E8CEA40C5509}"/>
    <cellStyle name="20% - Accent1 3 2 5 4" xfId="10395" xr:uid="{B496E8C5-18A2-4C40-A56E-E0DFB4AF98FE}"/>
    <cellStyle name="20% - Accent1 3 2 6" xfId="2270" xr:uid="{00000000-0005-0000-0000-000064000000}"/>
    <cellStyle name="20% - Accent1 3 2 6 2" xfId="6576" xr:uid="{00000000-0005-0000-0000-000065000000}"/>
    <cellStyle name="20% - Accent1 3 2 6 2 2" xfId="15026" xr:uid="{DDE60058-9C83-4BE7-8723-B10265420475}"/>
    <cellStyle name="20% - Accent1 3 2 6 3" xfId="10808" xr:uid="{F1B0D591-5C72-4FE9-ADCC-7A746E1B79F9}"/>
    <cellStyle name="20% - Accent1 3 2 7" xfId="4510" xr:uid="{00000000-0005-0000-0000-000066000000}"/>
    <cellStyle name="20% - Accent1 3 2 7 2" xfId="12960" xr:uid="{619413EE-F16E-4506-AA4C-1F75DD2EC0EA}"/>
    <cellStyle name="20% - Accent1 3 2 8" xfId="8742" xr:uid="{6DAE83ED-3431-427C-9A52-2685B864D3FE}"/>
    <cellStyle name="20% - Accent1 3 3" xfId="575" xr:uid="{00000000-0005-0000-0000-000067000000}"/>
    <cellStyle name="20% - Accent1 3 3 2" xfId="2846" xr:uid="{00000000-0005-0000-0000-000068000000}"/>
    <cellStyle name="20% - Accent1 3 3 2 2" xfId="7068" xr:uid="{00000000-0005-0000-0000-000069000000}"/>
    <cellStyle name="20% - Accent1 3 3 2 2 2" xfId="15518" xr:uid="{57909C5D-8208-496C-A2D4-CF80975B97A2}"/>
    <cellStyle name="20% - Accent1 3 3 2 3" xfId="11300" xr:uid="{E917326D-1560-4A34-B8D8-E521B2C5A789}"/>
    <cellStyle name="20% - Accent1 3 3 3" xfId="4923" xr:uid="{00000000-0005-0000-0000-00006A000000}"/>
    <cellStyle name="20% - Accent1 3 3 3 2" xfId="13373" xr:uid="{7FEC2E3B-3FE8-4FEE-9DE4-97C50AB0340A}"/>
    <cellStyle name="20% - Accent1 3 3 4" xfId="9155" xr:uid="{BD657E5B-7E15-480D-9730-6F06193CC169}"/>
    <cellStyle name="20% - Accent1 3 4" xfId="1028" xr:uid="{00000000-0005-0000-0000-00006B000000}"/>
    <cellStyle name="20% - Accent1 3 4 2" xfId="3259" xr:uid="{00000000-0005-0000-0000-00006C000000}"/>
    <cellStyle name="20% - Accent1 3 4 2 2" xfId="7481" xr:uid="{00000000-0005-0000-0000-00006D000000}"/>
    <cellStyle name="20% - Accent1 3 4 2 2 2" xfId="15931" xr:uid="{FB65583C-0BFF-4B65-997E-5FCCCFA21EE5}"/>
    <cellStyle name="20% - Accent1 3 4 2 3" xfId="11713" xr:uid="{F83ABD79-C914-453C-B827-A421578CEB13}"/>
    <cellStyle name="20% - Accent1 3 4 3" xfId="5336" xr:uid="{00000000-0005-0000-0000-00006E000000}"/>
    <cellStyle name="20% - Accent1 3 4 3 2" xfId="13786" xr:uid="{5AAF2F36-5902-41EA-901F-0C914CBCE914}"/>
    <cellStyle name="20% - Accent1 3 4 4" xfId="9568" xr:uid="{354F1497-26E4-4958-B1F0-FCA577627F5E}"/>
    <cellStyle name="20% - Accent1 3 5" xfId="1442" xr:uid="{00000000-0005-0000-0000-00006F000000}"/>
    <cellStyle name="20% - Accent1 3 5 2" xfId="3672" xr:uid="{00000000-0005-0000-0000-000070000000}"/>
    <cellStyle name="20% - Accent1 3 5 2 2" xfId="7894" xr:uid="{00000000-0005-0000-0000-000071000000}"/>
    <cellStyle name="20% - Accent1 3 5 2 2 2" xfId="16344" xr:uid="{113D079C-43E7-448A-A300-52EE80A03907}"/>
    <cellStyle name="20% - Accent1 3 5 2 3" xfId="12126" xr:uid="{7000F85F-0D20-4033-BD86-E3A6F8920CD5}"/>
    <cellStyle name="20% - Accent1 3 5 3" xfId="5749" xr:uid="{00000000-0005-0000-0000-000072000000}"/>
    <cellStyle name="20% - Accent1 3 5 3 2" xfId="14199" xr:uid="{455AED5D-E7B9-4E46-B73F-865FF36D3170}"/>
    <cellStyle name="20% - Accent1 3 5 4" xfId="9981" xr:uid="{BA35F405-FD4A-4318-B71B-7B61B587F9D4}"/>
    <cellStyle name="20% - Accent1 3 6" xfId="1856" xr:uid="{00000000-0005-0000-0000-000073000000}"/>
    <cellStyle name="20% - Accent1 3 6 2" xfId="4085" xr:uid="{00000000-0005-0000-0000-000074000000}"/>
    <cellStyle name="20% - Accent1 3 6 2 2" xfId="8307" xr:uid="{00000000-0005-0000-0000-000075000000}"/>
    <cellStyle name="20% - Accent1 3 6 2 2 2" xfId="16757" xr:uid="{B6C4004A-921E-421F-910C-1673B506CEFA}"/>
    <cellStyle name="20% - Accent1 3 6 2 3" xfId="12539" xr:uid="{FE1C0833-DE90-493F-BDA6-4E7B8B6AB2CF}"/>
    <cellStyle name="20% - Accent1 3 6 3" xfId="6162" xr:uid="{00000000-0005-0000-0000-000076000000}"/>
    <cellStyle name="20% - Accent1 3 6 3 2" xfId="14612" xr:uid="{10E993E2-9098-4BD0-A460-8E9E668FB5F1}"/>
    <cellStyle name="20% - Accent1 3 6 4" xfId="10394" xr:uid="{C997E36F-90CE-4EE2-BFC2-574E304DAB8A}"/>
    <cellStyle name="20% - Accent1 3 7" xfId="2269" xr:uid="{00000000-0005-0000-0000-000077000000}"/>
    <cellStyle name="20% - Accent1 3 7 2" xfId="6575" xr:uid="{00000000-0005-0000-0000-000078000000}"/>
    <cellStyle name="20% - Accent1 3 7 2 2" xfId="15025" xr:uid="{B9EAD31E-91EE-4D59-AB79-EA897696D6C7}"/>
    <cellStyle name="20% - Accent1 3 7 3" xfId="10807" xr:uid="{DBB7DD47-8D11-4267-B415-8E960252B41D}"/>
    <cellStyle name="20% - Accent1 3 8" xfId="4509" xr:uid="{00000000-0005-0000-0000-000079000000}"/>
    <cellStyle name="20% - Accent1 3 8 2" xfId="12959" xr:uid="{7DF01F82-3B34-4D16-A178-6FC49DF60A9D}"/>
    <cellStyle name="20% - Accent1 3 9" xfId="8741" xr:uid="{19CF424B-F2B8-4DAE-B62F-A4EF0C102122}"/>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2 2 2" xfId="15520" xr:uid="{2F98CC32-EDB9-447F-AE50-165107FC6D7B}"/>
    <cellStyle name="20% - Accent1 4 2 2 3" xfId="11302" xr:uid="{371F4A58-38C0-4F51-A293-DF6D09AB2186}"/>
    <cellStyle name="20% - Accent1 4 2 3" xfId="4925" xr:uid="{00000000-0005-0000-0000-00007E000000}"/>
    <cellStyle name="20% - Accent1 4 2 3 2" xfId="13375" xr:uid="{B20951FC-6582-4C9D-82C3-6DD5162E5A2F}"/>
    <cellStyle name="20% - Accent1 4 2 4" xfId="9157" xr:uid="{D70CFED4-599C-4A76-A150-1B0D47AC0FD8}"/>
    <cellStyle name="20% - Accent1 4 3" xfId="1030" xr:uid="{00000000-0005-0000-0000-00007F000000}"/>
    <cellStyle name="20% - Accent1 4 3 2" xfId="3261" xr:uid="{00000000-0005-0000-0000-000080000000}"/>
    <cellStyle name="20% - Accent1 4 3 2 2" xfId="7483" xr:uid="{00000000-0005-0000-0000-000081000000}"/>
    <cellStyle name="20% - Accent1 4 3 2 2 2" xfId="15933" xr:uid="{165B59C8-A39A-480D-91AC-03539270F27B}"/>
    <cellStyle name="20% - Accent1 4 3 2 3" xfId="11715" xr:uid="{F0F1CAA8-E94A-4CF3-8A82-23DDB33F8300}"/>
    <cellStyle name="20% - Accent1 4 3 3" xfId="5338" xr:uid="{00000000-0005-0000-0000-000082000000}"/>
    <cellStyle name="20% - Accent1 4 3 3 2" xfId="13788" xr:uid="{EDAF44F9-ACAD-4422-9892-66FEC4FC4733}"/>
    <cellStyle name="20% - Accent1 4 3 4" xfId="9570" xr:uid="{1C340B4F-F592-4C6B-81F4-1F1F9B43B18C}"/>
    <cellStyle name="20% - Accent1 4 4" xfId="1444" xr:uid="{00000000-0005-0000-0000-000083000000}"/>
    <cellStyle name="20% - Accent1 4 4 2" xfId="3674" xr:uid="{00000000-0005-0000-0000-000084000000}"/>
    <cellStyle name="20% - Accent1 4 4 2 2" xfId="7896" xr:uid="{00000000-0005-0000-0000-000085000000}"/>
    <cellStyle name="20% - Accent1 4 4 2 2 2" xfId="16346" xr:uid="{6CF890A9-D711-45B5-967D-7DB15B30B663}"/>
    <cellStyle name="20% - Accent1 4 4 2 3" xfId="12128" xr:uid="{BE9226E4-3684-4A35-8DE0-BE4A627EE745}"/>
    <cellStyle name="20% - Accent1 4 4 3" xfId="5751" xr:uid="{00000000-0005-0000-0000-000086000000}"/>
    <cellStyle name="20% - Accent1 4 4 3 2" xfId="14201" xr:uid="{D057C102-BA72-49CC-97E4-FF6555AD2E83}"/>
    <cellStyle name="20% - Accent1 4 4 4" xfId="9983" xr:uid="{7F59ECA0-E3D5-46DE-A691-0EF04F64FB60}"/>
    <cellStyle name="20% - Accent1 4 5" xfId="1858" xr:uid="{00000000-0005-0000-0000-000087000000}"/>
    <cellStyle name="20% - Accent1 4 5 2" xfId="4087" xr:uid="{00000000-0005-0000-0000-000088000000}"/>
    <cellStyle name="20% - Accent1 4 5 2 2" xfId="8309" xr:uid="{00000000-0005-0000-0000-000089000000}"/>
    <cellStyle name="20% - Accent1 4 5 2 2 2" xfId="16759" xr:uid="{DBBB6192-696E-4F82-A5CF-8978CD00CF3C}"/>
    <cellStyle name="20% - Accent1 4 5 2 3" xfId="12541" xr:uid="{091A9717-4FD9-4308-97A7-3645EEEBB587}"/>
    <cellStyle name="20% - Accent1 4 5 3" xfId="6164" xr:uid="{00000000-0005-0000-0000-00008A000000}"/>
    <cellStyle name="20% - Accent1 4 5 3 2" xfId="14614" xr:uid="{EC95DECE-2B01-43CC-935A-5E12E1FF2430}"/>
    <cellStyle name="20% - Accent1 4 5 4" xfId="10396" xr:uid="{858FA56E-49A0-48FC-A790-C1EED88067DA}"/>
    <cellStyle name="20% - Accent1 4 6" xfId="2271" xr:uid="{00000000-0005-0000-0000-00008B000000}"/>
    <cellStyle name="20% - Accent1 4 6 2" xfId="6577" xr:uid="{00000000-0005-0000-0000-00008C000000}"/>
    <cellStyle name="20% - Accent1 4 6 2 2" xfId="15027" xr:uid="{0BCE4FF9-6B8B-462A-80F4-AECDD8858DE0}"/>
    <cellStyle name="20% - Accent1 4 6 3" xfId="10809" xr:uid="{0FE5209E-5C87-4BF9-A499-1ECCC169898C}"/>
    <cellStyle name="20% - Accent1 4 7" xfId="4511" xr:uid="{00000000-0005-0000-0000-00008D000000}"/>
    <cellStyle name="20% - Accent1 4 7 2" xfId="12961" xr:uid="{B7724D80-8001-40AB-962C-4D525E53B007}"/>
    <cellStyle name="20% - Accent1 4 8" xfId="8743" xr:uid="{2AA2EE65-6D9C-41A1-A37A-EB511D14A7E3}"/>
    <cellStyle name="20% - Accent1 5" xfId="570" xr:uid="{00000000-0005-0000-0000-00008E000000}"/>
    <cellStyle name="20% - Accent1 5 2" xfId="2841" xr:uid="{00000000-0005-0000-0000-00008F000000}"/>
    <cellStyle name="20% - Accent1 5 2 2" xfId="7063" xr:uid="{00000000-0005-0000-0000-000090000000}"/>
    <cellStyle name="20% - Accent1 5 2 2 2" xfId="15513" xr:uid="{C8EE2967-7677-49E8-A27F-64194345F247}"/>
    <cellStyle name="20% - Accent1 5 2 3" xfId="11295" xr:uid="{E1ECD7CA-4139-46BA-A130-A1A91FD02CE6}"/>
    <cellStyle name="20% - Accent1 5 3" xfId="4918" xr:uid="{00000000-0005-0000-0000-000091000000}"/>
    <cellStyle name="20% - Accent1 5 3 2" xfId="13368" xr:uid="{1836E852-799D-46E9-A426-C107000700C2}"/>
    <cellStyle name="20% - Accent1 5 4" xfId="9150" xr:uid="{020FB8A9-1DDC-4EE4-958B-8D4E3A100062}"/>
    <cellStyle name="20% - Accent1 6" xfId="1023" xr:uid="{00000000-0005-0000-0000-000092000000}"/>
    <cellStyle name="20% - Accent1 6 2" xfId="3254" xr:uid="{00000000-0005-0000-0000-000093000000}"/>
    <cellStyle name="20% - Accent1 6 2 2" xfId="7476" xr:uid="{00000000-0005-0000-0000-000094000000}"/>
    <cellStyle name="20% - Accent1 6 2 2 2" xfId="15926" xr:uid="{38515092-270B-4856-AB7D-0E9461345AA4}"/>
    <cellStyle name="20% - Accent1 6 2 3" xfId="11708" xr:uid="{7160F2D6-6C98-4431-90EC-E941DA7F1609}"/>
    <cellStyle name="20% - Accent1 6 3" xfId="5331" xr:uid="{00000000-0005-0000-0000-000095000000}"/>
    <cellStyle name="20% - Accent1 6 3 2" xfId="13781" xr:uid="{71835C95-0696-496E-ABCA-F0F01CF23AA5}"/>
    <cellStyle name="20% - Accent1 6 4" xfId="9563" xr:uid="{2FAB4193-177D-4704-B616-FC714B96D6F6}"/>
    <cellStyle name="20% - Accent1 7" xfId="1437" xr:uid="{00000000-0005-0000-0000-000096000000}"/>
    <cellStyle name="20% - Accent1 7 2" xfId="3667" xr:uid="{00000000-0005-0000-0000-000097000000}"/>
    <cellStyle name="20% - Accent1 7 2 2" xfId="7889" xr:uid="{00000000-0005-0000-0000-000098000000}"/>
    <cellStyle name="20% - Accent1 7 2 2 2" xfId="16339" xr:uid="{14B980CA-9EC2-4328-98D8-B0E43431C508}"/>
    <cellStyle name="20% - Accent1 7 2 3" xfId="12121" xr:uid="{F0C40418-4C4A-4BF8-A9AA-9994D9149276}"/>
    <cellStyle name="20% - Accent1 7 3" xfId="5744" xr:uid="{00000000-0005-0000-0000-000099000000}"/>
    <cellStyle name="20% - Accent1 7 3 2" xfId="14194" xr:uid="{AC281C3D-9287-4EB4-AB54-896E526E1FB6}"/>
    <cellStyle name="20% - Accent1 7 4" xfId="9976" xr:uid="{9C22D278-426A-4F1F-A505-C9B567E3CD2E}"/>
    <cellStyle name="20% - Accent1 8" xfId="1851" xr:uid="{00000000-0005-0000-0000-00009A000000}"/>
    <cellStyle name="20% - Accent1 8 2" xfId="4080" xr:uid="{00000000-0005-0000-0000-00009B000000}"/>
    <cellStyle name="20% - Accent1 8 2 2" xfId="8302" xr:uid="{00000000-0005-0000-0000-00009C000000}"/>
    <cellStyle name="20% - Accent1 8 2 2 2" xfId="16752" xr:uid="{FC2D01EC-308E-4650-A690-D4CEBC49DE88}"/>
    <cellStyle name="20% - Accent1 8 2 3" xfId="12534" xr:uid="{F53FD21B-E6DC-435D-A579-0E83F65E3BB6}"/>
    <cellStyle name="20% - Accent1 8 3" xfId="6157" xr:uid="{00000000-0005-0000-0000-00009D000000}"/>
    <cellStyle name="20% - Accent1 8 3 2" xfId="14607" xr:uid="{EE196725-F305-45E6-B678-BA32D3E02B9B}"/>
    <cellStyle name="20% - Accent1 8 4" xfId="10389" xr:uid="{CBDB8C57-6292-4FAE-B9EE-6A598EB9239E}"/>
    <cellStyle name="20% - Accent1 9" xfId="2264" xr:uid="{00000000-0005-0000-0000-00009E000000}"/>
    <cellStyle name="20% - Accent1 9 2" xfId="6570" xr:uid="{00000000-0005-0000-0000-00009F000000}"/>
    <cellStyle name="20% - Accent1 9 2 2" xfId="15020" xr:uid="{25BC80BF-2B4E-496A-B30C-598F428BF398}"/>
    <cellStyle name="20% - Accent1 9 3" xfId="10802" xr:uid="{DCBEBE9B-2721-44C6-B649-AEC5CB9611FD}"/>
    <cellStyle name="20% - Accent2" xfId="9" builtinId="34" customBuiltin="1"/>
    <cellStyle name="20% - Accent2 10" xfId="4512" xr:uid="{00000000-0005-0000-0000-0000A1000000}"/>
    <cellStyle name="20% - Accent2 10 2" xfId="12962" xr:uid="{AE811BEF-D91C-4E95-BAD5-E9E34A88648F}"/>
    <cellStyle name="20% - Accent2 11" xfId="8744" xr:uid="{AD1BFB75-ABDD-4CCC-83B1-8289007AC484}"/>
    <cellStyle name="20% - Accent2 2" xfId="10" xr:uid="{00000000-0005-0000-0000-0000A2000000}"/>
    <cellStyle name="20% - Accent2 2 10" xfId="8745" xr:uid="{3629BE94-6C07-48FC-A2EB-80DECA5A84EC}"/>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15524" xr:uid="{17E31B4E-6BED-4B46-B9DC-1D5CAA3B72FB}"/>
    <cellStyle name="20% - Accent2 2 2 2 2 2 3" xfId="11306" xr:uid="{905CCC9B-ACED-44A7-BC9A-47B9BE12780B}"/>
    <cellStyle name="20% - Accent2 2 2 2 2 3" xfId="4929" xr:uid="{00000000-0005-0000-0000-0000A8000000}"/>
    <cellStyle name="20% - Accent2 2 2 2 2 3 2" xfId="13379" xr:uid="{7F61EBAE-C606-499B-8D7D-7CB303FA2BCA}"/>
    <cellStyle name="20% - Accent2 2 2 2 2 4" xfId="9161" xr:uid="{B85E1096-6DDF-4AB1-A174-1242ADC124C7}"/>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15937" xr:uid="{57394EBD-8E59-40E5-B19B-57DAB1672253}"/>
    <cellStyle name="20% - Accent2 2 2 2 3 2 3" xfId="11719" xr:uid="{AD44320F-B809-48FC-886A-F50AD38C515E}"/>
    <cellStyle name="20% - Accent2 2 2 2 3 3" xfId="5342" xr:uid="{00000000-0005-0000-0000-0000AC000000}"/>
    <cellStyle name="20% - Accent2 2 2 2 3 3 2" xfId="13792" xr:uid="{8E878E3D-A27C-4A5E-B16D-F67044192CB6}"/>
    <cellStyle name="20% - Accent2 2 2 2 3 4" xfId="9574" xr:uid="{AC23337F-14BE-4190-A85E-0EAEF051B20F}"/>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16350" xr:uid="{83A9B227-3851-43EB-92FC-9236D2C5E96B}"/>
    <cellStyle name="20% - Accent2 2 2 2 4 2 3" xfId="12132" xr:uid="{FA8E90C9-58A0-4E79-9A69-4E693705DCA2}"/>
    <cellStyle name="20% - Accent2 2 2 2 4 3" xfId="5755" xr:uid="{00000000-0005-0000-0000-0000B0000000}"/>
    <cellStyle name="20% - Accent2 2 2 2 4 3 2" xfId="14205" xr:uid="{BA43BCE3-A000-4027-A52F-8DDA54CE5116}"/>
    <cellStyle name="20% - Accent2 2 2 2 4 4" xfId="9987" xr:uid="{17A227C2-451C-47B6-B5BB-ABB8D6C47E73}"/>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16763" xr:uid="{6D5F3550-7A0F-479F-8FE4-8CAE862ABC46}"/>
    <cellStyle name="20% - Accent2 2 2 2 5 2 3" xfId="12545" xr:uid="{A1516E25-F3D4-4743-BCFF-BED28FCC56C2}"/>
    <cellStyle name="20% - Accent2 2 2 2 5 3" xfId="6168" xr:uid="{00000000-0005-0000-0000-0000B4000000}"/>
    <cellStyle name="20% - Accent2 2 2 2 5 3 2" xfId="14618" xr:uid="{5C4CC211-61B1-4FC0-ACC4-4E57D5C06BD7}"/>
    <cellStyle name="20% - Accent2 2 2 2 5 4" xfId="10400" xr:uid="{2E7B6DC1-D46F-4BDA-BB1F-866842369CE7}"/>
    <cellStyle name="20% - Accent2 2 2 2 6" xfId="2275" xr:uid="{00000000-0005-0000-0000-0000B5000000}"/>
    <cellStyle name="20% - Accent2 2 2 2 6 2" xfId="6581" xr:uid="{00000000-0005-0000-0000-0000B6000000}"/>
    <cellStyle name="20% - Accent2 2 2 2 6 2 2" xfId="15031" xr:uid="{5A58B29D-17EE-47F0-9094-EF112AEF2C15}"/>
    <cellStyle name="20% - Accent2 2 2 2 6 3" xfId="10813" xr:uid="{4758492C-1994-4D8A-8C1F-A255D3F27F11}"/>
    <cellStyle name="20% - Accent2 2 2 2 7" xfId="4515" xr:uid="{00000000-0005-0000-0000-0000B7000000}"/>
    <cellStyle name="20% - Accent2 2 2 2 7 2" xfId="12965" xr:uid="{4B01E401-976F-4EF4-ABC4-7EB2A58760DC}"/>
    <cellStyle name="20% - Accent2 2 2 2 8" xfId="8747" xr:uid="{D41B5B96-64CA-4533-A7D2-94DD51CC0CC4}"/>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15523" xr:uid="{38E822C1-53F7-4B07-8886-F5B04504E58F}"/>
    <cellStyle name="20% - Accent2 2 2 3 2 3" xfId="11305" xr:uid="{D91EB677-A0B9-41DB-809D-45E9BB2CC8A6}"/>
    <cellStyle name="20% - Accent2 2 2 3 3" xfId="4928" xr:uid="{00000000-0005-0000-0000-0000BB000000}"/>
    <cellStyle name="20% - Accent2 2 2 3 3 2" xfId="13378" xr:uid="{08AD1C4B-CE63-4DA5-BA83-CB29ACE54219}"/>
    <cellStyle name="20% - Accent2 2 2 3 4" xfId="9160" xr:uid="{B31C849D-1B58-4722-985C-AFA30BDC51C9}"/>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15936" xr:uid="{60EB6D65-C83C-4576-8436-7E76FF7861FE}"/>
    <cellStyle name="20% - Accent2 2 2 4 2 3" xfId="11718" xr:uid="{2A50BDE0-5D45-42F9-A7A9-6529AFB56AE3}"/>
    <cellStyle name="20% - Accent2 2 2 4 3" xfId="5341" xr:uid="{00000000-0005-0000-0000-0000BF000000}"/>
    <cellStyle name="20% - Accent2 2 2 4 3 2" xfId="13791" xr:uid="{D3F17A74-D21F-40CD-B609-266B64CB2EAF}"/>
    <cellStyle name="20% - Accent2 2 2 4 4" xfId="9573" xr:uid="{F8B52D87-6379-4DA6-A865-BFBF8902A892}"/>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16349" xr:uid="{0A10DFB6-F155-48F6-ABAF-D2B13D5DBD23}"/>
    <cellStyle name="20% - Accent2 2 2 5 2 3" xfId="12131" xr:uid="{C8174A06-6A0E-4EF8-8DCA-305210E0C1C5}"/>
    <cellStyle name="20% - Accent2 2 2 5 3" xfId="5754" xr:uid="{00000000-0005-0000-0000-0000C3000000}"/>
    <cellStyle name="20% - Accent2 2 2 5 3 2" xfId="14204" xr:uid="{D3A50143-678D-4500-8AA4-8DF1F03F50DD}"/>
    <cellStyle name="20% - Accent2 2 2 5 4" xfId="9986" xr:uid="{FAFA53B6-E5CB-43B8-B4B6-C1BE8FDE9B79}"/>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16762" xr:uid="{93D88A64-05E9-4CCC-AE67-73B09DB5E35A}"/>
    <cellStyle name="20% - Accent2 2 2 6 2 3" xfId="12544" xr:uid="{EA61ED82-C8EA-4833-B5F8-3F8281566F2D}"/>
    <cellStyle name="20% - Accent2 2 2 6 3" xfId="6167" xr:uid="{00000000-0005-0000-0000-0000C7000000}"/>
    <cellStyle name="20% - Accent2 2 2 6 3 2" xfId="14617" xr:uid="{1316D97C-7EB9-4AC1-A8D8-3FC6394D3B20}"/>
    <cellStyle name="20% - Accent2 2 2 6 4" xfId="10399" xr:uid="{632C73C4-5550-4585-B2BB-4EA440BA67DB}"/>
    <cellStyle name="20% - Accent2 2 2 7" xfId="2274" xr:uid="{00000000-0005-0000-0000-0000C8000000}"/>
    <cellStyle name="20% - Accent2 2 2 7 2" xfId="6580" xr:uid="{00000000-0005-0000-0000-0000C9000000}"/>
    <cellStyle name="20% - Accent2 2 2 7 2 2" xfId="15030" xr:uid="{73A56F87-C36E-4835-8873-D6CB59CCD2DA}"/>
    <cellStyle name="20% - Accent2 2 2 7 3" xfId="10812" xr:uid="{A912FF17-36B8-49E0-966F-472977775949}"/>
    <cellStyle name="20% - Accent2 2 2 8" xfId="4514" xr:uid="{00000000-0005-0000-0000-0000CA000000}"/>
    <cellStyle name="20% - Accent2 2 2 8 2" xfId="12964" xr:uid="{0007354D-0456-42E3-B42C-C9D00207E80D}"/>
    <cellStyle name="20% - Accent2 2 2 9" xfId="8746" xr:uid="{0B804BFF-23A2-4B47-8BC6-31E9D1E5C2D9}"/>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15525" xr:uid="{6B33F28C-9595-4CB5-8233-8546E4B955A4}"/>
    <cellStyle name="20% - Accent2 2 3 2 2 3" xfId="11307" xr:uid="{E5F63C97-FDF6-429F-9DB4-12FB553A9066}"/>
    <cellStyle name="20% - Accent2 2 3 2 3" xfId="4930" xr:uid="{00000000-0005-0000-0000-0000CF000000}"/>
    <cellStyle name="20% - Accent2 2 3 2 3 2" xfId="13380" xr:uid="{385A2D28-076E-457E-9938-A0690B0E8B43}"/>
    <cellStyle name="20% - Accent2 2 3 2 4" xfId="9162" xr:uid="{37E154C7-E8D9-48A4-89E5-ACF9D14C3049}"/>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15938" xr:uid="{6063AADF-7849-435E-9038-98F056ADBB4F}"/>
    <cellStyle name="20% - Accent2 2 3 3 2 3" xfId="11720" xr:uid="{8D6C7EF6-0070-4011-9917-E6BFD7166F20}"/>
    <cellStyle name="20% - Accent2 2 3 3 3" xfId="5343" xr:uid="{00000000-0005-0000-0000-0000D3000000}"/>
    <cellStyle name="20% - Accent2 2 3 3 3 2" xfId="13793" xr:uid="{64CD5409-5088-448E-BBF1-31964721B00C}"/>
    <cellStyle name="20% - Accent2 2 3 3 4" xfId="9575" xr:uid="{F9B111E3-D27B-47CF-A49D-06B722E1A17B}"/>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16351" xr:uid="{CE5D5F16-5669-4795-A9D4-0EC0198AF4F5}"/>
    <cellStyle name="20% - Accent2 2 3 4 2 3" xfId="12133" xr:uid="{42214CB1-546B-4057-82AE-965E5AD86A8D}"/>
    <cellStyle name="20% - Accent2 2 3 4 3" xfId="5756" xr:uid="{00000000-0005-0000-0000-0000D7000000}"/>
    <cellStyle name="20% - Accent2 2 3 4 3 2" xfId="14206" xr:uid="{6F65313E-9B79-4677-8009-21FE78EAAD4B}"/>
    <cellStyle name="20% - Accent2 2 3 4 4" xfId="9988" xr:uid="{D0793710-7950-4328-BA70-EF8150FFD8AC}"/>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16764" xr:uid="{6DD49710-9380-4CB3-AA00-4A799DBA379A}"/>
    <cellStyle name="20% - Accent2 2 3 5 2 3" xfId="12546" xr:uid="{441484A4-AB1F-479B-857B-2634AE8D714C}"/>
    <cellStyle name="20% - Accent2 2 3 5 3" xfId="6169" xr:uid="{00000000-0005-0000-0000-0000DB000000}"/>
    <cellStyle name="20% - Accent2 2 3 5 3 2" xfId="14619" xr:uid="{527220B2-0F13-49A1-B2DF-A049AF77ED5B}"/>
    <cellStyle name="20% - Accent2 2 3 5 4" xfId="10401" xr:uid="{F956AAF7-5C61-4198-991B-BCF32E74231E}"/>
    <cellStyle name="20% - Accent2 2 3 6" xfId="2276" xr:uid="{00000000-0005-0000-0000-0000DC000000}"/>
    <cellStyle name="20% - Accent2 2 3 6 2" xfId="6582" xr:uid="{00000000-0005-0000-0000-0000DD000000}"/>
    <cellStyle name="20% - Accent2 2 3 6 2 2" xfId="15032" xr:uid="{0F1EF114-AC82-4259-B187-558ED1CAF46B}"/>
    <cellStyle name="20% - Accent2 2 3 6 3" xfId="10814" xr:uid="{85D0AC55-B629-45E1-822C-185D37052733}"/>
    <cellStyle name="20% - Accent2 2 3 7" xfId="4516" xr:uid="{00000000-0005-0000-0000-0000DE000000}"/>
    <cellStyle name="20% - Accent2 2 3 7 2" xfId="12966" xr:uid="{46D34D52-294D-4B3D-95A9-C7AD234F2A50}"/>
    <cellStyle name="20% - Accent2 2 3 8" xfId="8748" xr:uid="{7C9F4459-654E-4536-B85A-97EADC7D706E}"/>
    <cellStyle name="20% - Accent2 2 4" xfId="579" xr:uid="{00000000-0005-0000-0000-0000DF000000}"/>
    <cellStyle name="20% - Accent2 2 4 2" xfId="2850" xr:uid="{00000000-0005-0000-0000-0000E0000000}"/>
    <cellStyle name="20% - Accent2 2 4 2 2" xfId="7072" xr:uid="{00000000-0005-0000-0000-0000E1000000}"/>
    <cellStyle name="20% - Accent2 2 4 2 2 2" xfId="15522" xr:uid="{09C84425-B677-40D7-8791-0BE09807A67D}"/>
    <cellStyle name="20% - Accent2 2 4 2 3" xfId="11304" xr:uid="{244A305B-EE6D-466C-8CA8-CDD309454102}"/>
    <cellStyle name="20% - Accent2 2 4 3" xfId="4927" xr:uid="{00000000-0005-0000-0000-0000E2000000}"/>
    <cellStyle name="20% - Accent2 2 4 3 2" xfId="13377" xr:uid="{D88305E6-2615-4220-ABE0-F6B4FA3106A3}"/>
    <cellStyle name="20% - Accent2 2 4 4" xfId="9159" xr:uid="{0D8F617F-E996-4E45-85D5-9971444F86DC}"/>
    <cellStyle name="20% - Accent2 2 5" xfId="1032" xr:uid="{00000000-0005-0000-0000-0000E3000000}"/>
    <cellStyle name="20% - Accent2 2 5 2" xfId="3263" xr:uid="{00000000-0005-0000-0000-0000E4000000}"/>
    <cellStyle name="20% - Accent2 2 5 2 2" xfId="7485" xr:uid="{00000000-0005-0000-0000-0000E5000000}"/>
    <cellStyle name="20% - Accent2 2 5 2 2 2" xfId="15935" xr:uid="{E3A782B8-FC7C-4438-B209-952CC28A04ED}"/>
    <cellStyle name="20% - Accent2 2 5 2 3" xfId="11717" xr:uid="{E9E7566A-5DC1-44B1-8612-7D36FC8F7A64}"/>
    <cellStyle name="20% - Accent2 2 5 3" xfId="5340" xr:uid="{00000000-0005-0000-0000-0000E6000000}"/>
    <cellStyle name="20% - Accent2 2 5 3 2" xfId="13790" xr:uid="{C8FE7859-6320-4D76-BF61-FDB13EC355D6}"/>
    <cellStyle name="20% - Accent2 2 5 4" xfId="9572" xr:uid="{96243F6B-CD3B-4BA7-86DB-967F08D5C7F8}"/>
    <cellStyle name="20% - Accent2 2 6" xfId="1446" xr:uid="{00000000-0005-0000-0000-0000E7000000}"/>
    <cellStyle name="20% - Accent2 2 6 2" xfId="3676" xr:uid="{00000000-0005-0000-0000-0000E8000000}"/>
    <cellStyle name="20% - Accent2 2 6 2 2" xfId="7898" xr:uid="{00000000-0005-0000-0000-0000E9000000}"/>
    <cellStyle name="20% - Accent2 2 6 2 2 2" xfId="16348" xr:uid="{1B1932FD-AB11-49B4-93A9-646EFE18C6F4}"/>
    <cellStyle name="20% - Accent2 2 6 2 3" xfId="12130" xr:uid="{062FC080-C347-46DD-B565-997F223FBA75}"/>
    <cellStyle name="20% - Accent2 2 6 3" xfId="5753" xr:uid="{00000000-0005-0000-0000-0000EA000000}"/>
    <cellStyle name="20% - Accent2 2 6 3 2" xfId="14203" xr:uid="{BC296BB2-923E-4C24-89BE-C16D21446418}"/>
    <cellStyle name="20% - Accent2 2 6 4" xfId="9985" xr:uid="{2C7782FC-F567-4C7E-AB4F-D3915D1152FA}"/>
    <cellStyle name="20% - Accent2 2 7" xfId="1860" xr:uid="{00000000-0005-0000-0000-0000EB000000}"/>
    <cellStyle name="20% - Accent2 2 7 2" xfId="4089" xr:uid="{00000000-0005-0000-0000-0000EC000000}"/>
    <cellStyle name="20% - Accent2 2 7 2 2" xfId="8311" xr:uid="{00000000-0005-0000-0000-0000ED000000}"/>
    <cellStyle name="20% - Accent2 2 7 2 2 2" xfId="16761" xr:uid="{91ABCBF6-D2B4-4817-934B-64F6FB5C957B}"/>
    <cellStyle name="20% - Accent2 2 7 2 3" xfId="12543" xr:uid="{B69883AD-EE5C-4FB6-B40D-00526ABCF812}"/>
    <cellStyle name="20% - Accent2 2 7 3" xfId="6166" xr:uid="{00000000-0005-0000-0000-0000EE000000}"/>
    <cellStyle name="20% - Accent2 2 7 3 2" xfId="14616" xr:uid="{E5285CF4-0044-4140-A909-CFB515F2364A}"/>
    <cellStyle name="20% - Accent2 2 7 4" xfId="10398" xr:uid="{F7C9ABE8-C8D6-4175-ABF4-536E9550BF68}"/>
    <cellStyle name="20% - Accent2 2 8" xfId="2273" xr:uid="{00000000-0005-0000-0000-0000EF000000}"/>
    <cellStyle name="20% - Accent2 2 8 2" xfId="6579" xr:uid="{00000000-0005-0000-0000-0000F0000000}"/>
    <cellStyle name="20% - Accent2 2 8 2 2" xfId="15029" xr:uid="{69D536D3-2056-4015-BD11-6702B1F2360D}"/>
    <cellStyle name="20% - Accent2 2 8 3" xfId="10811" xr:uid="{2EC7102C-EE32-4B58-8A1C-D0BEDCB466FE}"/>
    <cellStyle name="20% - Accent2 2 9" xfId="4513" xr:uid="{00000000-0005-0000-0000-0000F1000000}"/>
    <cellStyle name="20% - Accent2 2 9 2" xfId="12963" xr:uid="{CE67DE00-7DDC-45F0-9974-173ED9997C8D}"/>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15527" xr:uid="{3EF78C41-D224-4715-8108-91AAE83CAAD9}"/>
    <cellStyle name="20% - Accent2 3 2 2 2 3" xfId="11309" xr:uid="{5869FE04-106C-41EE-B45D-989BE866D33A}"/>
    <cellStyle name="20% - Accent2 3 2 2 3" xfId="4932" xr:uid="{00000000-0005-0000-0000-0000F7000000}"/>
    <cellStyle name="20% - Accent2 3 2 2 3 2" xfId="13382" xr:uid="{43B49EC3-A7D8-438F-8474-ACA37C06E453}"/>
    <cellStyle name="20% - Accent2 3 2 2 4" xfId="9164" xr:uid="{3CCEE6D0-0754-45CE-AF32-3A4CDDD19F6E}"/>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15940" xr:uid="{FA7A7E8C-5626-448D-A085-CC3AA583C30E}"/>
    <cellStyle name="20% - Accent2 3 2 3 2 3" xfId="11722" xr:uid="{1778E514-C5FE-48D8-AED6-CF9A9E87C7C0}"/>
    <cellStyle name="20% - Accent2 3 2 3 3" xfId="5345" xr:uid="{00000000-0005-0000-0000-0000FB000000}"/>
    <cellStyle name="20% - Accent2 3 2 3 3 2" xfId="13795" xr:uid="{2577DFBE-8FCA-41A4-A80F-8F58697D6D34}"/>
    <cellStyle name="20% - Accent2 3 2 3 4" xfId="9577" xr:uid="{253C50FC-CEA3-4EFC-87C6-419D4A2B4F5D}"/>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16353" xr:uid="{F7006CD7-AD3B-4099-9C23-C07F52782BE2}"/>
    <cellStyle name="20% - Accent2 3 2 4 2 3" xfId="12135" xr:uid="{65CB580B-9838-4D81-99B1-A6017A1D56E0}"/>
    <cellStyle name="20% - Accent2 3 2 4 3" xfId="5758" xr:uid="{00000000-0005-0000-0000-0000FF000000}"/>
    <cellStyle name="20% - Accent2 3 2 4 3 2" xfId="14208" xr:uid="{84C1D385-5627-4D53-A530-2131AB885DDE}"/>
    <cellStyle name="20% - Accent2 3 2 4 4" xfId="9990" xr:uid="{58DB5935-8004-42C8-9444-465B4B8CD40F}"/>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16766" xr:uid="{EAB280EA-70DD-4124-A451-4BC7F7386302}"/>
    <cellStyle name="20% - Accent2 3 2 5 2 3" xfId="12548" xr:uid="{67D8CDEA-620F-4472-B919-1ECA0A7B3320}"/>
    <cellStyle name="20% - Accent2 3 2 5 3" xfId="6171" xr:uid="{00000000-0005-0000-0000-000003010000}"/>
    <cellStyle name="20% - Accent2 3 2 5 3 2" xfId="14621" xr:uid="{53872793-1781-48DF-99FF-9B784FF1D8C2}"/>
    <cellStyle name="20% - Accent2 3 2 5 4" xfId="10403" xr:uid="{FF610F64-8C1E-4A49-9042-E5B086889802}"/>
    <cellStyle name="20% - Accent2 3 2 6" xfId="2278" xr:uid="{00000000-0005-0000-0000-000004010000}"/>
    <cellStyle name="20% - Accent2 3 2 6 2" xfId="6584" xr:uid="{00000000-0005-0000-0000-000005010000}"/>
    <cellStyle name="20% - Accent2 3 2 6 2 2" xfId="15034" xr:uid="{9E41A661-A8CE-46C3-A9C5-04FA987AFA27}"/>
    <cellStyle name="20% - Accent2 3 2 6 3" xfId="10816" xr:uid="{5A1315FB-7C25-49D3-BC4D-EFF566B10999}"/>
    <cellStyle name="20% - Accent2 3 2 7" xfId="4518" xr:uid="{00000000-0005-0000-0000-000006010000}"/>
    <cellStyle name="20% - Accent2 3 2 7 2" xfId="12968" xr:uid="{A1519E42-C705-4794-BBCF-1198278C912F}"/>
    <cellStyle name="20% - Accent2 3 2 8" xfId="8750" xr:uid="{9D178CCC-D55B-4383-B01A-8B4E8725D725}"/>
    <cellStyle name="20% - Accent2 3 3" xfId="583" xr:uid="{00000000-0005-0000-0000-000007010000}"/>
    <cellStyle name="20% - Accent2 3 3 2" xfId="2854" xr:uid="{00000000-0005-0000-0000-000008010000}"/>
    <cellStyle name="20% - Accent2 3 3 2 2" xfId="7076" xr:uid="{00000000-0005-0000-0000-000009010000}"/>
    <cellStyle name="20% - Accent2 3 3 2 2 2" xfId="15526" xr:uid="{266FE6D6-0A96-4D1B-9817-3771954EE69D}"/>
    <cellStyle name="20% - Accent2 3 3 2 3" xfId="11308" xr:uid="{3E149C9E-8E6B-418D-9D1D-4AB042612171}"/>
    <cellStyle name="20% - Accent2 3 3 3" xfId="4931" xr:uid="{00000000-0005-0000-0000-00000A010000}"/>
    <cellStyle name="20% - Accent2 3 3 3 2" xfId="13381" xr:uid="{A2568BE4-93B7-47EA-A020-E22B2571AABD}"/>
    <cellStyle name="20% - Accent2 3 3 4" xfId="9163" xr:uid="{C9D75EF9-BD90-4BFC-A8DA-D40B3CC35715}"/>
    <cellStyle name="20% - Accent2 3 4" xfId="1036" xr:uid="{00000000-0005-0000-0000-00000B010000}"/>
    <cellStyle name="20% - Accent2 3 4 2" xfId="3267" xr:uid="{00000000-0005-0000-0000-00000C010000}"/>
    <cellStyle name="20% - Accent2 3 4 2 2" xfId="7489" xr:uid="{00000000-0005-0000-0000-00000D010000}"/>
    <cellStyle name="20% - Accent2 3 4 2 2 2" xfId="15939" xr:uid="{5583EF88-6482-4386-8768-535F2E4BD8BD}"/>
    <cellStyle name="20% - Accent2 3 4 2 3" xfId="11721" xr:uid="{8FB02328-69DC-4B67-9544-E131E91F715B}"/>
    <cellStyle name="20% - Accent2 3 4 3" xfId="5344" xr:uid="{00000000-0005-0000-0000-00000E010000}"/>
    <cellStyle name="20% - Accent2 3 4 3 2" xfId="13794" xr:uid="{880062E8-FAC2-484E-91A1-4A6C823DB729}"/>
    <cellStyle name="20% - Accent2 3 4 4" xfId="9576" xr:uid="{1C4D6652-E6B4-47C8-93E0-FB544A80F88D}"/>
    <cellStyle name="20% - Accent2 3 5" xfId="1450" xr:uid="{00000000-0005-0000-0000-00000F010000}"/>
    <cellStyle name="20% - Accent2 3 5 2" xfId="3680" xr:uid="{00000000-0005-0000-0000-000010010000}"/>
    <cellStyle name="20% - Accent2 3 5 2 2" xfId="7902" xr:uid="{00000000-0005-0000-0000-000011010000}"/>
    <cellStyle name="20% - Accent2 3 5 2 2 2" xfId="16352" xr:uid="{F1878F2E-34DD-4447-A830-C79E54FAE6DE}"/>
    <cellStyle name="20% - Accent2 3 5 2 3" xfId="12134" xr:uid="{7219F31D-F4B0-4E77-BC19-38A02E541D42}"/>
    <cellStyle name="20% - Accent2 3 5 3" xfId="5757" xr:uid="{00000000-0005-0000-0000-000012010000}"/>
    <cellStyle name="20% - Accent2 3 5 3 2" xfId="14207" xr:uid="{DFB4221F-2F77-43E8-A9A7-794DF4C6960B}"/>
    <cellStyle name="20% - Accent2 3 5 4" xfId="9989" xr:uid="{FFE052C8-1332-4204-AA80-707BCC38FF76}"/>
    <cellStyle name="20% - Accent2 3 6" xfId="1864" xr:uid="{00000000-0005-0000-0000-000013010000}"/>
    <cellStyle name="20% - Accent2 3 6 2" xfId="4093" xr:uid="{00000000-0005-0000-0000-000014010000}"/>
    <cellStyle name="20% - Accent2 3 6 2 2" xfId="8315" xr:uid="{00000000-0005-0000-0000-000015010000}"/>
    <cellStyle name="20% - Accent2 3 6 2 2 2" xfId="16765" xr:uid="{C17309ED-342C-41E7-9A31-0A30D274F5C3}"/>
    <cellStyle name="20% - Accent2 3 6 2 3" xfId="12547" xr:uid="{A8A1C0BB-8187-4314-8F40-83863AF554B8}"/>
    <cellStyle name="20% - Accent2 3 6 3" xfId="6170" xr:uid="{00000000-0005-0000-0000-000016010000}"/>
    <cellStyle name="20% - Accent2 3 6 3 2" xfId="14620" xr:uid="{37C1E2F4-8AB1-40BA-BE84-0FEBEAD0D683}"/>
    <cellStyle name="20% - Accent2 3 6 4" xfId="10402" xr:uid="{73357FAA-3689-4565-AA4D-11FB8C9FD4CA}"/>
    <cellStyle name="20% - Accent2 3 7" xfId="2277" xr:uid="{00000000-0005-0000-0000-000017010000}"/>
    <cellStyle name="20% - Accent2 3 7 2" xfId="6583" xr:uid="{00000000-0005-0000-0000-000018010000}"/>
    <cellStyle name="20% - Accent2 3 7 2 2" xfId="15033" xr:uid="{B30A316F-0197-4B13-AFE6-161A6BAAF5A0}"/>
    <cellStyle name="20% - Accent2 3 7 3" xfId="10815" xr:uid="{552D0A02-3FBC-4346-827C-1FAE13057875}"/>
    <cellStyle name="20% - Accent2 3 8" xfId="4517" xr:uid="{00000000-0005-0000-0000-000019010000}"/>
    <cellStyle name="20% - Accent2 3 8 2" xfId="12967" xr:uid="{4EAE8004-E1A5-4C81-8E34-46998C8D4336}"/>
    <cellStyle name="20% - Accent2 3 9" xfId="8749" xr:uid="{A325B171-D4EC-49FF-975C-B6A27907B7DF}"/>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2 2 2" xfId="15528" xr:uid="{8B767667-9090-4A8B-AD62-1504091742F9}"/>
    <cellStyle name="20% - Accent2 4 2 2 3" xfId="11310" xr:uid="{E0449CCE-54FB-4EFD-ADEC-EE5132C1AB44}"/>
    <cellStyle name="20% - Accent2 4 2 3" xfId="4933" xr:uid="{00000000-0005-0000-0000-00001E010000}"/>
    <cellStyle name="20% - Accent2 4 2 3 2" xfId="13383" xr:uid="{267319B0-3859-4EFE-8E90-9BC3A3040911}"/>
    <cellStyle name="20% - Accent2 4 2 4" xfId="9165" xr:uid="{7B300FA5-86F0-41E6-A260-5423C47C24A4}"/>
    <cellStyle name="20% - Accent2 4 3" xfId="1038" xr:uid="{00000000-0005-0000-0000-00001F010000}"/>
    <cellStyle name="20% - Accent2 4 3 2" xfId="3269" xr:uid="{00000000-0005-0000-0000-000020010000}"/>
    <cellStyle name="20% - Accent2 4 3 2 2" xfId="7491" xr:uid="{00000000-0005-0000-0000-000021010000}"/>
    <cellStyle name="20% - Accent2 4 3 2 2 2" xfId="15941" xr:uid="{56A87050-1DEB-4FEC-B194-980ABDAEEFA7}"/>
    <cellStyle name="20% - Accent2 4 3 2 3" xfId="11723" xr:uid="{80413775-8B9D-4A24-A2CA-D88E8A32BDE6}"/>
    <cellStyle name="20% - Accent2 4 3 3" xfId="5346" xr:uid="{00000000-0005-0000-0000-000022010000}"/>
    <cellStyle name="20% - Accent2 4 3 3 2" xfId="13796" xr:uid="{A0BD29E3-16F5-4B7F-A172-FAF2214F8BE5}"/>
    <cellStyle name="20% - Accent2 4 3 4" xfId="9578" xr:uid="{319C726B-70DA-45A2-BA3B-81AA99E01F79}"/>
    <cellStyle name="20% - Accent2 4 4" xfId="1452" xr:uid="{00000000-0005-0000-0000-000023010000}"/>
    <cellStyle name="20% - Accent2 4 4 2" xfId="3682" xr:uid="{00000000-0005-0000-0000-000024010000}"/>
    <cellStyle name="20% - Accent2 4 4 2 2" xfId="7904" xr:uid="{00000000-0005-0000-0000-000025010000}"/>
    <cellStyle name="20% - Accent2 4 4 2 2 2" xfId="16354" xr:uid="{FFD67564-A530-44D1-802E-E79998711F9D}"/>
    <cellStyle name="20% - Accent2 4 4 2 3" xfId="12136" xr:uid="{9866C1C7-BA4D-452D-BBE3-445083C056AD}"/>
    <cellStyle name="20% - Accent2 4 4 3" xfId="5759" xr:uid="{00000000-0005-0000-0000-000026010000}"/>
    <cellStyle name="20% - Accent2 4 4 3 2" xfId="14209" xr:uid="{DCD2F8E0-2B48-455C-B7CA-259A776EAAC5}"/>
    <cellStyle name="20% - Accent2 4 4 4" xfId="9991" xr:uid="{7843DE7D-BB6B-4FE0-A7AF-F1BCAC91A308}"/>
    <cellStyle name="20% - Accent2 4 5" xfId="1866" xr:uid="{00000000-0005-0000-0000-000027010000}"/>
    <cellStyle name="20% - Accent2 4 5 2" xfId="4095" xr:uid="{00000000-0005-0000-0000-000028010000}"/>
    <cellStyle name="20% - Accent2 4 5 2 2" xfId="8317" xr:uid="{00000000-0005-0000-0000-000029010000}"/>
    <cellStyle name="20% - Accent2 4 5 2 2 2" xfId="16767" xr:uid="{CFB92113-FD0C-49F0-A6FD-D7BDB8D7D222}"/>
    <cellStyle name="20% - Accent2 4 5 2 3" xfId="12549" xr:uid="{AE60BF10-B476-48B3-A572-B9240884AEAD}"/>
    <cellStyle name="20% - Accent2 4 5 3" xfId="6172" xr:uid="{00000000-0005-0000-0000-00002A010000}"/>
    <cellStyle name="20% - Accent2 4 5 3 2" xfId="14622" xr:uid="{58AAFA5B-46B6-4BF4-98F6-AD4FB15054F2}"/>
    <cellStyle name="20% - Accent2 4 5 4" xfId="10404" xr:uid="{13CD2D2D-A7BD-4033-B665-A90194184CF7}"/>
    <cellStyle name="20% - Accent2 4 6" xfId="2279" xr:uid="{00000000-0005-0000-0000-00002B010000}"/>
    <cellStyle name="20% - Accent2 4 6 2" xfId="6585" xr:uid="{00000000-0005-0000-0000-00002C010000}"/>
    <cellStyle name="20% - Accent2 4 6 2 2" xfId="15035" xr:uid="{E15ADA71-E3D3-4866-AC18-12CFB2202DB8}"/>
    <cellStyle name="20% - Accent2 4 6 3" xfId="10817" xr:uid="{4B6CA3F5-7AEE-4169-9048-CB99544533EE}"/>
    <cellStyle name="20% - Accent2 4 7" xfId="4519" xr:uid="{00000000-0005-0000-0000-00002D010000}"/>
    <cellStyle name="20% - Accent2 4 7 2" xfId="12969" xr:uid="{92B8BC64-6C79-4D9E-8219-F3CB1EF81C8E}"/>
    <cellStyle name="20% - Accent2 4 8" xfId="8751" xr:uid="{08ACF4E4-C2D1-434E-8365-EC03A12E9334}"/>
    <cellStyle name="20% - Accent2 5" xfId="578" xr:uid="{00000000-0005-0000-0000-00002E010000}"/>
    <cellStyle name="20% - Accent2 5 2" xfId="2849" xr:uid="{00000000-0005-0000-0000-00002F010000}"/>
    <cellStyle name="20% - Accent2 5 2 2" xfId="7071" xr:uid="{00000000-0005-0000-0000-000030010000}"/>
    <cellStyle name="20% - Accent2 5 2 2 2" xfId="15521" xr:uid="{B77424D0-EFFA-4678-81EA-4F303DAC82C2}"/>
    <cellStyle name="20% - Accent2 5 2 3" xfId="11303" xr:uid="{392E5C7F-6480-43B5-A2CC-555E87698F8C}"/>
    <cellStyle name="20% - Accent2 5 3" xfId="4926" xr:uid="{00000000-0005-0000-0000-000031010000}"/>
    <cellStyle name="20% - Accent2 5 3 2" xfId="13376" xr:uid="{5F6E41E5-C6C8-4FD8-A38D-A26E6715CAA1}"/>
    <cellStyle name="20% - Accent2 5 4" xfId="9158" xr:uid="{20ED89AB-8E8C-47DC-84A9-298CA00B2B01}"/>
    <cellStyle name="20% - Accent2 6" xfId="1031" xr:uid="{00000000-0005-0000-0000-000032010000}"/>
    <cellStyle name="20% - Accent2 6 2" xfId="3262" xr:uid="{00000000-0005-0000-0000-000033010000}"/>
    <cellStyle name="20% - Accent2 6 2 2" xfId="7484" xr:uid="{00000000-0005-0000-0000-000034010000}"/>
    <cellStyle name="20% - Accent2 6 2 2 2" xfId="15934" xr:uid="{2AF26268-D54C-4120-8FBE-ECAB612E4DD7}"/>
    <cellStyle name="20% - Accent2 6 2 3" xfId="11716" xr:uid="{9D6261FA-C734-4CF2-869E-3F76E88F8D18}"/>
    <cellStyle name="20% - Accent2 6 3" xfId="5339" xr:uid="{00000000-0005-0000-0000-000035010000}"/>
    <cellStyle name="20% - Accent2 6 3 2" xfId="13789" xr:uid="{ADC78007-EB14-4403-9333-7586A5BE91CA}"/>
    <cellStyle name="20% - Accent2 6 4" xfId="9571" xr:uid="{1A3F62DD-C731-43E9-A787-AE9AEED27F57}"/>
    <cellStyle name="20% - Accent2 7" xfId="1445" xr:uid="{00000000-0005-0000-0000-000036010000}"/>
    <cellStyle name="20% - Accent2 7 2" xfId="3675" xr:uid="{00000000-0005-0000-0000-000037010000}"/>
    <cellStyle name="20% - Accent2 7 2 2" xfId="7897" xr:uid="{00000000-0005-0000-0000-000038010000}"/>
    <cellStyle name="20% - Accent2 7 2 2 2" xfId="16347" xr:uid="{852DFCDC-C138-4540-90D3-BB1D623E58ED}"/>
    <cellStyle name="20% - Accent2 7 2 3" xfId="12129" xr:uid="{A3E67173-9E1C-48B2-A947-45B177449F13}"/>
    <cellStyle name="20% - Accent2 7 3" xfId="5752" xr:uid="{00000000-0005-0000-0000-000039010000}"/>
    <cellStyle name="20% - Accent2 7 3 2" xfId="14202" xr:uid="{7DCAD026-2C18-4DA6-9BD3-95853F76A42E}"/>
    <cellStyle name="20% - Accent2 7 4" xfId="9984" xr:uid="{D24A0C0E-9411-4BC0-9576-893CCD76F88A}"/>
    <cellStyle name="20% - Accent2 8" xfId="1859" xr:uid="{00000000-0005-0000-0000-00003A010000}"/>
    <cellStyle name="20% - Accent2 8 2" xfId="4088" xr:uid="{00000000-0005-0000-0000-00003B010000}"/>
    <cellStyle name="20% - Accent2 8 2 2" xfId="8310" xr:uid="{00000000-0005-0000-0000-00003C010000}"/>
    <cellStyle name="20% - Accent2 8 2 2 2" xfId="16760" xr:uid="{9A86D933-FF67-434A-AA0C-2A4DF22E3F0D}"/>
    <cellStyle name="20% - Accent2 8 2 3" xfId="12542" xr:uid="{170CDACD-1FF3-4003-9020-2799DC8A3442}"/>
    <cellStyle name="20% - Accent2 8 3" xfId="6165" xr:uid="{00000000-0005-0000-0000-00003D010000}"/>
    <cellStyle name="20% - Accent2 8 3 2" xfId="14615" xr:uid="{D456E86F-F5AB-44D4-BF56-272DB955BBE1}"/>
    <cellStyle name="20% - Accent2 8 4" xfId="10397" xr:uid="{F9DA3392-E9A6-4269-8F72-73ECCDD55969}"/>
    <cellStyle name="20% - Accent2 9" xfId="2272" xr:uid="{00000000-0005-0000-0000-00003E010000}"/>
    <cellStyle name="20% - Accent2 9 2" xfId="6578" xr:uid="{00000000-0005-0000-0000-00003F010000}"/>
    <cellStyle name="20% - Accent2 9 2 2" xfId="15028" xr:uid="{CC3BE84A-963A-4979-A933-D9AEB75966D5}"/>
    <cellStyle name="20% - Accent2 9 3" xfId="10810" xr:uid="{D71F4C58-19DB-4802-9E6E-D1B171A6CBDE}"/>
    <cellStyle name="20% - Accent3" xfId="17" builtinId="38" customBuiltin="1"/>
    <cellStyle name="20% - Accent3 10" xfId="4520" xr:uid="{00000000-0005-0000-0000-000041010000}"/>
    <cellStyle name="20% - Accent3 10 2" xfId="12970" xr:uid="{2E6BDEF4-1E48-4157-8D9A-788E2B9E14B0}"/>
    <cellStyle name="20% - Accent3 11" xfId="8752" xr:uid="{704B1ECF-AA72-477E-B294-098CA3970F9C}"/>
    <cellStyle name="20% - Accent3 2" xfId="18" xr:uid="{00000000-0005-0000-0000-000042010000}"/>
    <cellStyle name="20% - Accent3 2 10" xfId="8753" xr:uid="{F62A7DC3-145A-4C4D-BF4B-939234BD3453}"/>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15532" xr:uid="{D2F0B381-0690-4C1B-B832-744AB7890564}"/>
    <cellStyle name="20% - Accent3 2 2 2 2 2 3" xfId="11314" xr:uid="{F1B28FA8-DBC0-44DB-819C-5C43A557F31A}"/>
    <cellStyle name="20% - Accent3 2 2 2 2 3" xfId="4937" xr:uid="{00000000-0005-0000-0000-000048010000}"/>
    <cellStyle name="20% - Accent3 2 2 2 2 3 2" xfId="13387" xr:uid="{0C8F89B8-6C83-41A8-A08C-A7C47A5B6A44}"/>
    <cellStyle name="20% - Accent3 2 2 2 2 4" xfId="9169" xr:uid="{431D03A6-FBE1-4E40-91F9-67D2940AD69D}"/>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15945" xr:uid="{FABC35DD-5D31-42C1-8A2E-7145919E9BBD}"/>
    <cellStyle name="20% - Accent3 2 2 2 3 2 3" xfId="11727" xr:uid="{79C2EABB-37EB-40BA-BFD6-E3D251007BBF}"/>
    <cellStyle name="20% - Accent3 2 2 2 3 3" xfId="5350" xr:uid="{00000000-0005-0000-0000-00004C010000}"/>
    <cellStyle name="20% - Accent3 2 2 2 3 3 2" xfId="13800" xr:uid="{B5CFC78E-B131-4972-A6DF-A974E7087C3D}"/>
    <cellStyle name="20% - Accent3 2 2 2 3 4" xfId="9582" xr:uid="{49B5104D-956B-48D6-91B1-577B72218814}"/>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16358" xr:uid="{376D42CB-800A-4F51-B3D0-6A2234E57B23}"/>
    <cellStyle name="20% - Accent3 2 2 2 4 2 3" xfId="12140" xr:uid="{75CD5169-A79A-4C17-800C-42C00B17FD1F}"/>
    <cellStyle name="20% - Accent3 2 2 2 4 3" xfId="5763" xr:uid="{00000000-0005-0000-0000-000050010000}"/>
    <cellStyle name="20% - Accent3 2 2 2 4 3 2" xfId="14213" xr:uid="{8E49FEC7-F47B-4C8D-9CF0-ED2997273627}"/>
    <cellStyle name="20% - Accent3 2 2 2 4 4" xfId="9995" xr:uid="{74B51FA6-D55A-4754-9ADB-6543A137B992}"/>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16771" xr:uid="{71F0BDA7-922E-4AE5-9A8E-66C71C5700AF}"/>
    <cellStyle name="20% - Accent3 2 2 2 5 2 3" xfId="12553" xr:uid="{933E81C5-1FC9-47EA-824C-6377C6EDB12D}"/>
    <cellStyle name="20% - Accent3 2 2 2 5 3" xfId="6176" xr:uid="{00000000-0005-0000-0000-000054010000}"/>
    <cellStyle name="20% - Accent3 2 2 2 5 3 2" xfId="14626" xr:uid="{C665568A-CD29-4B9E-9F00-4A196188BE58}"/>
    <cellStyle name="20% - Accent3 2 2 2 5 4" xfId="10408" xr:uid="{84BD49C7-F36F-40B0-A2A7-62302DBDFF47}"/>
    <cellStyle name="20% - Accent3 2 2 2 6" xfId="2283" xr:uid="{00000000-0005-0000-0000-000055010000}"/>
    <cellStyle name="20% - Accent3 2 2 2 6 2" xfId="6589" xr:uid="{00000000-0005-0000-0000-000056010000}"/>
    <cellStyle name="20% - Accent3 2 2 2 6 2 2" xfId="15039" xr:uid="{B7BF904C-A4EE-488F-8E1E-83E044878873}"/>
    <cellStyle name="20% - Accent3 2 2 2 6 3" xfId="10821" xr:uid="{0CC92F5C-E982-4762-A8C1-B0CF575ADB6C}"/>
    <cellStyle name="20% - Accent3 2 2 2 7" xfId="4523" xr:uid="{00000000-0005-0000-0000-000057010000}"/>
    <cellStyle name="20% - Accent3 2 2 2 7 2" xfId="12973" xr:uid="{5D6F00D1-D6FD-4186-8EE4-D608C33688F9}"/>
    <cellStyle name="20% - Accent3 2 2 2 8" xfId="8755" xr:uid="{54CBCDB6-95E5-4A62-B57D-F7E49115634E}"/>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15531" xr:uid="{D4248C07-DC99-4BC9-8FD5-1B56142B0BED}"/>
    <cellStyle name="20% - Accent3 2 2 3 2 3" xfId="11313" xr:uid="{BC3545F5-66CE-4927-A88A-A9221F0A0EE7}"/>
    <cellStyle name="20% - Accent3 2 2 3 3" xfId="4936" xr:uid="{00000000-0005-0000-0000-00005B010000}"/>
    <cellStyle name="20% - Accent3 2 2 3 3 2" xfId="13386" xr:uid="{AF2C893E-A36E-4B7C-ADF8-C2C5F2B61537}"/>
    <cellStyle name="20% - Accent3 2 2 3 4" xfId="9168" xr:uid="{819D1C07-6129-40E4-AC1B-0E69BF482760}"/>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15944" xr:uid="{58844DA9-2935-45CB-9E89-A8A18A20E50C}"/>
    <cellStyle name="20% - Accent3 2 2 4 2 3" xfId="11726" xr:uid="{D0C45856-CCCC-4F70-8C67-E18F5A87B424}"/>
    <cellStyle name="20% - Accent3 2 2 4 3" xfId="5349" xr:uid="{00000000-0005-0000-0000-00005F010000}"/>
    <cellStyle name="20% - Accent3 2 2 4 3 2" xfId="13799" xr:uid="{D8C3E9DD-32D6-4312-B567-A9BB4A048ABB}"/>
    <cellStyle name="20% - Accent3 2 2 4 4" xfId="9581" xr:uid="{251C9F6A-BD70-47E2-9E0C-9AF68EB0C1A5}"/>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16357" xr:uid="{A3103331-007B-41B8-85BC-FF299D1FEB40}"/>
    <cellStyle name="20% - Accent3 2 2 5 2 3" xfId="12139" xr:uid="{9B136433-54B2-4C3A-AC46-9A43BD27A45E}"/>
    <cellStyle name="20% - Accent3 2 2 5 3" xfId="5762" xr:uid="{00000000-0005-0000-0000-000063010000}"/>
    <cellStyle name="20% - Accent3 2 2 5 3 2" xfId="14212" xr:uid="{9D84711E-A01A-4E9B-AD72-F460F1318E09}"/>
    <cellStyle name="20% - Accent3 2 2 5 4" xfId="9994" xr:uid="{000A52DA-1056-4EA0-9412-658EF746938B}"/>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16770" xr:uid="{1CF20F72-DEDE-4207-898D-E9DEC9E6478E}"/>
    <cellStyle name="20% - Accent3 2 2 6 2 3" xfId="12552" xr:uid="{205439D0-A586-40A4-8125-676A46D3FD76}"/>
    <cellStyle name="20% - Accent3 2 2 6 3" xfId="6175" xr:uid="{00000000-0005-0000-0000-000067010000}"/>
    <cellStyle name="20% - Accent3 2 2 6 3 2" xfId="14625" xr:uid="{EDFE7EE8-4340-4FD0-8220-0D01D739D533}"/>
    <cellStyle name="20% - Accent3 2 2 6 4" xfId="10407" xr:uid="{078A2992-66F7-4F86-94A0-72D0843E0EDE}"/>
    <cellStyle name="20% - Accent3 2 2 7" xfId="2282" xr:uid="{00000000-0005-0000-0000-000068010000}"/>
    <cellStyle name="20% - Accent3 2 2 7 2" xfId="6588" xr:uid="{00000000-0005-0000-0000-000069010000}"/>
    <cellStyle name="20% - Accent3 2 2 7 2 2" xfId="15038" xr:uid="{39CD82FB-92B2-4F96-9AEC-97BE8A8941CD}"/>
    <cellStyle name="20% - Accent3 2 2 7 3" xfId="10820" xr:uid="{65111253-D3E1-449D-B7A9-B8C2B7B2B6C6}"/>
    <cellStyle name="20% - Accent3 2 2 8" xfId="4522" xr:uid="{00000000-0005-0000-0000-00006A010000}"/>
    <cellStyle name="20% - Accent3 2 2 8 2" xfId="12972" xr:uid="{71F6F60F-DC39-4519-A83F-6C592333977D}"/>
    <cellStyle name="20% - Accent3 2 2 9" xfId="8754" xr:uid="{77F5395B-1E28-4D93-812C-51E27DB080EA}"/>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15533" xr:uid="{46AAAF18-E72A-4095-B8E5-5C2F9977BB21}"/>
    <cellStyle name="20% - Accent3 2 3 2 2 3" xfId="11315" xr:uid="{5CBDAC41-F01D-4A92-BD77-C2DDCFF87822}"/>
    <cellStyle name="20% - Accent3 2 3 2 3" xfId="4938" xr:uid="{00000000-0005-0000-0000-00006F010000}"/>
    <cellStyle name="20% - Accent3 2 3 2 3 2" xfId="13388" xr:uid="{41D0B082-DF59-4639-9BAB-B77778599E30}"/>
    <cellStyle name="20% - Accent3 2 3 2 4" xfId="9170" xr:uid="{69F8C391-C601-44C5-A5C7-249F05B75BEE}"/>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15946" xr:uid="{A2E4035F-19C1-470D-B539-CF66D501E823}"/>
    <cellStyle name="20% - Accent3 2 3 3 2 3" xfId="11728" xr:uid="{539D9D6B-7EAC-4BE1-A2F9-D4E9394E890E}"/>
    <cellStyle name="20% - Accent3 2 3 3 3" xfId="5351" xr:uid="{00000000-0005-0000-0000-000073010000}"/>
    <cellStyle name="20% - Accent3 2 3 3 3 2" xfId="13801" xr:uid="{ECD5F8E1-9EDB-4A57-AB39-01B20E1509FE}"/>
    <cellStyle name="20% - Accent3 2 3 3 4" xfId="9583" xr:uid="{F7CDB326-15B6-4443-BB60-4677A4E51F58}"/>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16359" xr:uid="{0A4D8A89-4033-450D-BC56-3C41CCDD2E91}"/>
    <cellStyle name="20% - Accent3 2 3 4 2 3" xfId="12141" xr:uid="{2D2D1631-4E1E-41E3-B28C-B526DE04613F}"/>
    <cellStyle name="20% - Accent3 2 3 4 3" xfId="5764" xr:uid="{00000000-0005-0000-0000-000077010000}"/>
    <cellStyle name="20% - Accent3 2 3 4 3 2" xfId="14214" xr:uid="{DF681696-7A02-41B9-BCE2-03B690850228}"/>
    <cellStyle name="20% - Accent3 2 3 4 4" xfId="9996" xr:uid="{DF353451-940C-4177-B898-11CC5130C06E}"/>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16772" xr:uid="{F9970596-BBEB-4CB8-8D6B-8386EB56B718}"/>
    <cellStyle name="20% - Accent3 2 3 5 2 3" xfId="12554" xr:uid="{2FDF6B8B-770E-4BFA-AD14-4AD4B5C51EF8}"/>
    <cellStyle name="20% - Accent3 2 3 5 3" xfId="6177" xr:uid="{00000000-0005-0000-0000-00007B010000}"/>
    <cellStyle name="20% - Accent3 2 3 5 3 2" xfId="14627" xr:uid="{7291DE07-11E4-49E4-9D59-BD7EB584B283}"/>
    <cellStyle name="20% - Accent3 2 3 5 4" xfId="10409" xr:uid="{EC16A279-0A0E-4C31-AA11-07353764FED9}"/>
    <cellStyle name="20% - Accent3 2 3 6" xfId="2284" xr:uid="{00000000-0005-0000-0000-00007C010000}"/>
    <cellStyle name="20% - Accent3 2 3 6 2" xfId="6590" xr:uid="{00000000-0005-0000-0000-00007D010000}"/>
    <cellStyle name="20% - Accent3 2 3 6 2 2" xfId="15040" xr:uid="{9E62A73D-A331-41D9-843A-D001DEA14C28}"/>
    <cellStyle name="20% - Accent3 2 3 6 3" xfId="10822" xr:uid="{5C2021FE-F606-43C9-BA37-8DD0B0CE537B}"/>
    <cellStyle name="20% - Accent3 2 3 7" xfId="4524" xr:uid="{00000000-0005-0000-0000-00007E010000}"/>
    <cellStyle name="20% - Accent3 2 3 7 2" xfId="12974" xr:uid="{438665D3-8DB6-433C-A864-0B43AE933970}"/>
    <cellStyle name="20% - Accent3 2 3 8" xfId="8756" xr:uid="{5B28860A-3D83-4531-9057-7AA662918696}"/>
    <cellStyle name="20% - Accent3 2 4" xfId="587" xr:uid="{00000000-0005-0000-0000-00007F010000}"/>
    <cellStyle name="20% - Accent3 2 4 2" xfId="2858" xr:uid="{00000000-0005-0000-0000-000080010000}"/>
    <cellStyle name="20% - Accent3 2 4 2 2" xfId="7080" xr:uid="{00000000-0005-0000-0000-000081010000}"/>
    <cellStyle name="20% - Accent3 2 4 2 2 2" xfId="15530" xr:uid="{2567F8E9-3287-4C45-AB0F-6241494733C3}"/>
    <cellStyle name="20% - Accent3 2 4 2 3" xfId="11312" xr:uid="{703485C9-04E4-48D6-A779-0E9FB1441514}"/>
    <cellStyle name="20% - Accent3 2 4 3" xfId="4935" xr:uid="{00000000-0005-0000-0000-000082010000}"/>
    <cellStyle name="20% - Accent3 2 4 3 2" xfId="13385" xr:uid="{EC68635A-3E9D-47C3-9533-9FB169AB5DC0}"/>
    <cellStyle name="20% - Accent3 2 4 4" xfId="9167" xr:uid="{CEDF2464-B8FB-4B18-96CA-3D135757AEF5}"/>
    <cellStyle name="20% - Accent3 2 5" xfId="1040" xr:uid="{00000000-0005-0000-0000-000083010000}"/>
    <cellStyle name="20% - Accent3 2 5 2" xfId="3271" xr:uid="{00000000-0005-0000-0000-000084010000}"/>
    <cellStyle name="20% - Accent3 2 5 2 2" xfId="7493" xr:uid="{00000000-0005-0000-0000-000085010000}"/>
    <cellStyle name="20% - Accent3 2 5 2 2 2" xfId="15943" xr:uid="{A21285C8-E489-4D19-A4F4-5C22D933A188}"/>
    <cellStyle name="20% - Accent3 2 5 2 3" xfId="11725" xr:uid="{849CD193-C42D-42FF-A818-E6A6BFEB5FD8}"/>
    <cellStyle name="20% - Accent3 2 5 3" xfId="5348" xr:uid="{00000000-0005-0000-0000-000086010000}"/>
    <cellStyle name="20% - Accent3 2 5 3 2" xfId="13798" xr:uid="{F27EC137-D000-4759-B889-C571B7D4530F}"/>
    <cellStyle name="20% - Accent3 2 5 4" xfId="9580" xr:uid="{7815F924-195F-492B-9266-050B9DD20A0A}"/>
    <cellStyle name="20% - Accent3 2 6" xfId="1454" xr:uid="{00000000-0005-0000-0000-000087010000}"/>
    <cellStyle name="20% - Accent3 2 6 2" xfId="3684" xr:uid="{00000000-0005-0000-0000-000088010000}"/>
    <cellStyle name="20% - Accent3 2 6 2 2" xfId="7906" xr:uid="{00000000-0005-0000-0000-000089010000}"/>
    <cellStyle name="20% - Accent3 2 6 2 2 2" xfId="16356" xr:uid="{754B9052-96F6-48E6-BA07-6DF6FD22E6BE}"/>
    <cellStyle name="20% - Accent3 2 6 2 3" xfId="12138" xr:uid="{A2B40C61-F696-471F-9E6C-5CD97430F6DE}"/>
    <cellStyle name="20% - Accent3 2 6 3" xfId="5761" xr:uid="{00000000-0005-0000-0000-00008A010000}"/>
    <cellStyle name="20% - Accent3 2 6 3 2" xfId="14211" xr:uid="{D3920044-97DA-46BA-AE4A-63F98738BC4F}"/>
    <cellStyle name="20% - Accent3 2 6 4" xfId="9993" xr:uid="{ED758D8C-7799-40C1-B540-119AD8E765A6}"/>
    <cellStyle name="20% - Accent3 2 7" xfId="1868" xr:uid="{00000000-0005-0000-0000-00008B010000}"/>
    <cellStyle name="20% - Accent3 2 7 2" xfId="4097" xr:uid="{00000000-0005-0000-0000-00008C010000}"/>
    <cellStyle name="20% - Accent3 2 7 2 2" xfId="8319" xr:uid="{00000000-0005-0000-0000-00008D010000}"/>
    <cellStyle name="20% - Accent3 2 7 2 2 2" xfId="16769" xr:uid="{12D354BB-5050-49A0-96B2-5ED2AAA3662D}"/>
    <cellStyle name="20% - Accent3 2 7 2 3" xfId="12551" xr:uid="{BCDDCA22-051B-452F-A1E1-00E484F3BEB5}"/>
    <cellStyle name="20% - Accent3 2 7 3" xfId="6174" xr:uid="{00000000-0005-0000-0000-00008E010000}"/>
    <cellStyle name="20% - Accent3 2 7 3 2" xfId="14624" xr:uid="{90F9B1D9-978A-461E-8124-B1A4CF7D97CD}"/>
    <cellStyle name="20% - Accent3 2 7 4" xfId="10406" xr:uid="{B5FF43CF-9CA6-4248-881E-53466FB0C1B5}"/>
    <cellStyle name="20% - Accent3 2 8" xfId="2281" xr:uid="{00000000-0005-0000-0000-00008F010000}"/>
    <cellStyle name="20% - Accent3 2 8 2" xfId="6587" xr:uid="{00000000-0005-0000-0000-000090010000}"/>
    <cellStyle name="20% - Accent3 2 8 2 2" xfId="15037" xr:uid="{AC35BED0-166A-4838-BC8E-B56B2F75E302}"/>
    <cellStyle name="20% - Accent3 2 8 3" xfId="10819" xr:uid="{FB74E4D4-96AE-4FA0-963F-166C5F38BD60}"/>
    <cellStyle name="20% - Accent3 2 9" xfId="4521" xr:uid="{00000000-0005-0000-0000-000091010000}"/>
    <cellStyle name="20% - Accent3 2 9 2" xfId="12971" xr:uid="{8D985AE9-1160-413D-9601-1F255589FACB}"/>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15535" xr:uid="{DC3894B3-2A6D-4B1D-86A1-E4F128CDCA76}"/>
    <cellStyle name="20% - Accent3 3 2 2 2 3" xfId="11317" xr:uid="{F83A6943-5291-4981-B35E-8C2B4FB58722}"/>
    <cellStyle name="20% - Accent3 3 2 2 3" xfId="4940" xr:uid="{00000000-0005-0000-0000-000097010000}"/>
    <cellStyle name="20% - Accent3 3 2 2 3 2" xfId="13390" xr:uid="{A1B65118-5091-4D3F-A351-8E0F6BD228E3}"/>
    <cellStyle name="20% - Accent3 3 2 2 4" xfId="9172" xr:uid="{D525B09C-22CC-4575-8FF4-104EDF86534C}"/>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15948" xr:uid="{092E25C6-872A-4B2A-B072-EE2E8D4F1F7F}"/>
    <cellStyle name="20% - Accent3 3 2 3 2 3" xfId="11730" xr:uid="{B4A5DE62-0A4B-46CE-90CF-87F0EF17F1B3}"/>
    <cellStyle name="20% - Accent3 3 2 3 3" xfId="5353" xr:uid="{00000000-0005-0000-0000-00009B010000}"/>
    <cellStyle name="20% - Accent3 3 2 3 3 2" xfId="13803" xr:uid="{B5D76AF0-8257-4F69-AC1B-B92217448D50}"/>
    <cellStyle name="20% - Accent3 3 2 3 4" xfId="9585" xr:uid="{6DA6448A-E8A9-49F4-B83A-07B297821686}"/>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16361" xr:uid="{39D993C0-62B8-43B0-99D7-1A6F67B791D3}"/>
    <cellStyle name="20% - Accent3 3 2 4 2 3" xfId="12143" xr:uid="{1ABB4864-3F65-4A07-91C8-DED5EC2DC4B9}"/>
    <cellStyle name="20% - Accent3 3 2 4 3" xfId="5766" xr:uid="{00000000-0005-0000-0000-00009F010000}"/>
    <cellStyle name="20% - Accent3 3 2 4 3 2" xfId="14216" xr:uid="{951D4E73-2B52-433E-A115-6AE43205FBE7}"/>
    <cellStyle name="20% - Accent3 3 2 4 4" xfId="9998" xr:uid="{5987F206-8D07-4A67-8146-565F8CAA0064}"/>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16774" xr:uid="{175BEB02-1875-42DD-AFDA-D2F928824F0B}"/>
    <cellStyle name="20% - Accent3 3 2 5 2 3" xfId="12556" xr:uid="{CDE0AFFB-A199-4AA1-B336-156E5C60F7AF}"/>
    <cellStyle name="20% - Accent3 3 2 5 3" xfId="6179" xr:uid="{00000000-0005-0000-0000-0000A3010000}"/>
    <cellStyle name="20% - Accent3 3 2 5 3 2" xfId="14629" xr:uid="{3857ABDA-9610-4A1F-A110-FDFABA2D3CB2}"/>
    <cellStyle name="20% - Accent3 3 2 5 4" xfId="10411" xr:uid="{F8034F38-F335-49E2-8737-4061A9FF4F9F}"/>
    <cellStyle name="20% - Accent3 3 2 6" xfId="2286" xr:uid="{00000000-0005-0000-0000-0000A4010000}"/>
    <cellStyle name="20% - Accent3 3 2 6 2" xfId="6592" xr:uid="{00000000-0005-0000-0000-0000A5010000}"/>
    <cellStyle name="20% - Accent3 3 2 6 2 2" xfId="15042" xr:uid="{1B20F662-1FA4-4F64-A093-FB70D792108F}"/>
    <cellStyle name="20% - Accent3 3 2 6 3" xfId="10824" xr:uid="{3983B7A5-FC7E-4EA2-9402-07C959BB26F0}"/>
    <cellStyle name="20% - Accent3 3 2 7" xfId="4526" xr:uid="{00000000-0005-0000-0000-0000A6010000}"/>
    <cellStyle name="20% - Accent3 3 2 7 2" xfId="12976" xr:uid="{0EC4AC3D-9126-412B-BFC3-416A1A68BC26}"/>
    <cellStyle name="20% - Accent3 3 2 8" xfId="8758" xr:uid="{2585A078-09FA-492E-B3F9-7A306928BBB9}"/>
    <cellStyle name="20% - Accent3 3 3" xfId="591" xr:uid="{00000000-0005-0000-0000-0000A7010000}"/>
    <cellStyle name="20% - Accent3 3 3 2" xfId="2862" xr:uid="{00000000-0005-0000-0000-0000A8010000}"/>
    <cellStyle name="20% - Accent3 3 3 2 2" xfId="7084" xr:uid="{00000000-0005-0000-0000-0000A9010000}"/>
    <cellStyle name="20% - Accent3 3 3 2 2 2" xfId="15534" xr:uid="{CBC90183-1076-4A03-A6EF-C18BB63F4F52}"/>
    <cellStyle name="20% - Accent3 3 3 2 3" xfId="11316" xr:uid="{C8B5C4B2-6DAF-4127-B108-58FDEBD0EE23}"/>
    <cellStyle name="20% - Accent3 3 3 3" xfId="4939" xr:uid="{00000000-0005-0000-0000-0000AA010000}"/>
    <cellStyle name="20% - Accent3 3 3 3 2" xfId="13389" xr:uid="{B1862180-41F7-4B6F-A158-5C4FB52CD18A}"/>
    <cellStyle name="20% - Accent3 3 3 4" xfId="9171" xr:uid="{5BA8394E-B7C7-4698-9BBB-9804F962766F}"/>
    <cellStyle name="20% - Accent3 3 4" xfId="1044" xr:uid="{00000000-0005-0000-0000-0000AB010000}"/>
    <cellStyle name="20% - Accent3 3 4 2" xfId="3275" xr:uid="{00000000-0005-0000-0000-0000AC010000}"/>
    <cellStyle name="20% - Accent3 3 4 2 2" xfId="7497" xr:uid="{00000000-0005-0000-0000-0000AD010000}"/>
    <cellStyle name="20% - Accent3 3 4 2 2 2" xfId="15947" xr:uid="{73555ECE-3B2E-4019-8308-D20065E14334}"/>
    <cellStyle name="20% - Accent3 3 4 2 3" xfId="11729" xr:uid="{74A456C4-AB75-4510-819F-BF9112505316}"/>
    <cellStyle name="20% - Accent3 3 4 3" xfId="5352" xr:uid="{00000000-0005-0000-0000-0000AE010000}"/>
    <cellStyle name="20% - Accent3 3 4 3 2" xfId="13802" xr:uid="{3D61D033-5718-4373-8818-8F827D1081AE}"/>
    <cellStyle name="20% - Accent3 3 4 4" xfId="9584" xr:uid="{931F9423-FFBF-4C8A-B8C7-2D20B714719A}"/>
    <cellStyle name="20% - Accent3 3 5" xfId="1458" xr:uid="{00000000-0005-0000-0000-0000AF010000}"/>
    <cellStyle name="20% - Accent3 3 5 2" xfId="3688" xr:uid="{00000000-0005-0000-0000-0000B0010000}"/>
    <cellStyle name="20% - Accent3 3 5 2 2" xfId="7910" xr:uid="{00000000-0005-0000-0000-0000B1010000}"/>
    <cellStyle name="20% - Accent3 3 5 2 2 2" xfId="16360" xr:uid="{C4AC5CB6-3C9F-4102-8F44-A8FEE9BB4B2B}"/>
    <cellStyle name="20% - Accent3 3 5 2 3" xfId="12142" xr:uid="{1387F901-6355-4BB1-96F2-0C6923921069}"/>
    <cellStyle name="20% - Accent3 3 5 3" xfId="5765" xr:uid="{00000000-0005-0000-0000-0000B2010000}"/>
    <cellStyle name="20% - Accent3 3 5 3 2" xfId="14215" xr:uid="{72CF2295-0C61-42FD-99EF-938722899193}"/>
    <cellStyle name="20% - Accent3 3 5 4" xfId="9997" xr:uid="{33654AE6-9B2E-46BB-9E26-2AB31F892DC2}"/>
    <cellStyle name="20% - Accent3 3 6" xfId="1872" xr:uid="{00000000-0005-0000-0000-0000B3010000}"/>
    <cellStyle name="20% - Accent3 3 6 2" xfId="4101" xr:uid="{00000000-0005-0000-0000-0000B4010000}"/>
    <cellStyle name="20% - Accent3 3 6 2 2" xfId="8323" xr:uid="{00000000-0005-0000-0000-0000B5010000}"/>
    <cellStyle name="20% - Accent3 3 6 2 2 2" xfId="16773" xr:uid="{9B6BD9DA-CED2-4222-ADFC-3DABBC0EBCD8}"/>
    <cellStyle name="20% - Accent3 3 6 2 3" xfId="12555" xr:uid="{F934B645-BEB8-46AD-8557-F0F39E9F705D}"/>
    <cellStyle name="20% - Accent3 3 6 3" xfId="6178" xr:uid="{00000000-0005-0000-0000-0000B6010000}"/>
    <cellStyle name="20% - Accent3 3 6 3 2" xfId="14628" xr:uid="{01C0680C-C711-4F26-AB0B-0463C08E99DA}"/>
    <cellStyle name="20% - Accent3 3 6 4" xfId="10410" xr:uid="{4E2E16C7-D4F9-4C35-8812-2D7DB364DAED}"/>
    <cellStyle name="20% - Accent3 3 7" xfId="2285" xr:uid="{00000000-0005-0000-0000-0000B7010000}"/>
    <cellStyle name="20% - Accent3 3 7 2" xfId="6591" xr:uid="{00000000-0005-0000-0000-0000B8010000}"/>
    <cellStyle name="20% - Accent3 3 7 2 2" xfId="15041" xr:uid="{818C4FCC-E416-4866-9C2E-60B6FE169ACD}"/>
    <cellStyle name="20% - Accent3 3 7 3" xfId="10823" xr:uid="{D036FD4D-A64E-4877-8D95-14DB57D1D680}"/>
    <cellStyle name="20% - Accent3 3 8" xfId="4525" xr:uid="{00000000-0005-0000-0000-0000B9010000}"/>
    <cellStyle name="20% - Accent3 3 8 2" xfId="12975" xr:uid="{0431925A-1A75-4FE6-A34C-00E4D7C62C55}"/>
    <cellStyle name="20% - Accent3 3 9" xfId="8757" xr:uid="{FAECBE74-82C7-4135-9103-5D9C272DAD61}"/>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2 2 2" xfId="15536" xr:uid="{0E8383F7-5C9C-4722-9424-3386B4046D42}"/>
    <cellStyle name="20% - Accent3 4 2 2 3" xfId="11318" xr:uid="{2BC8CE62-A3BD-4143-9D71-C2EF460D7940}"/>
    <cellStyle name="20% - Accent3 4 2 3" xfId="4941" xr:uid="{00000000-0005-0000-0000-0000BE010000}"/>
    <cellStyle name="20% - Accent3 4 2 3 2" xfId="13391" xr:uid="{4B2573DE-8235-4A8C-A6CC-27971E3CEB3B}"/>
    <cellStyle name="20% - Accent3 4 2 4" xfId="9173" xr:uid="{38558E1D-7DA3-4B6E-8F52-EFBA8A12A565}"/>
    <cellStyle name="20% - Accent3 4 3" xfId="1046" xr:uid="{00000000-0005-0000-0000-0000BF010000}"/>
    <cellStyle name="20% - Accent3 4 3 2" xfId="3277" xr:uid="{00000000-0005-0000-0000-0000C0010000}"/>
    <cellStyle name="20% - Accent3 4 3 2 2" xfId="7499" xr:uid="{00000000-0005-0000-0000-0000C1010000}"/>
    <cellStyle name="20% - Accent3 4 3 2 2 2" xfId="15949" xr:uid="{04B4BC86-80BC-42AA-879A-B2EDE6030E8E}"/>
    <cellStyle name="20% - Accent3 4 3 2 3" xfId="11731" xr:uid="{7691357D-C9D1-4A72-A6F4-03AD080E2701}"/>
    <cellStyle name="20% - Accent3 4 3 3" xfId="5354" xr:uid="{00000000-0005-0000-0000-0000C2010000}"/>
    <cellStyle name="20% - Accent3 4 3 3 2" xfId="13804" xr:uid="{ECCEF4DF-5BE2-4253-96A0-0E00045F886B}"/>
    <cellStyle name="20% - Accent3 4 3 4" xfId="9586" xr:uid="{4C07F775-F651-414B-8E6D-244FD34619A3}"/>
    <cellStyle name="20% - Accent3 4 4" xfId="1460" xr:uid="{00000000-0005-0000-0000-0000C3010000}"/>
    <cellStyle name="20% - Accent3 4 4 2" xfId="3690" xr:uid="{00000000-0005-0000-0000-0000C4010000}"/>
    <cellStyle name="20% - Accent3 4 4 2 2" xfId="7912" xr:uid="{00000000-0005-0000-0000-0000C5010000}"/>
    <cellStyle name="20% - Accent3 4 4 2 2 2" xfId="16362" xr:uid="{E4CFFF59-3EED-40ED-912F-6B788FA30B84}"/>
    <cellStyle name="20% - Accent3 4 4 2 3" xfId="12144" xr:uid="{8605FDF6-9D33-4D78-AE66-368F85791750}"/>
    <cellStyle name="20% - Accent3 4 4 3" xfId="5767" xr:uid="{00000000-0005-0000-0000-0000C6010000}"/>
    <cellStyle name="20% - Accent3 4 4 3 2" xfId="14217" xr:uid="{57496304-548A-4348-AA65-F9D21D1A99D9}"/>
    <cellStyle name="20% - Accent3 4 4 4" xfId="9999" xr:uid="{B4C37880-70D5-42F7-82F0-7737E6EE26BB}"/>
    <cellStyle name="20% - Accent3 4 5" xfId="1874" xr:uid="{00000000-0005-0000-0000-0000C7010000}"/>
    <cellStyle name="20% - Accent3 4 5 2" xfId="4103" xr:uid="{00000000-0005-0000-0000-0000C8010000}"/>
    <cellStyle name="20% - Accent3 4 5 2 2" xfId="8325" xr:uid="{00000000-0005-0000-0000-0000C9010000}"/>
    <cellStyle name="20% - Accent3 4 5 2 2 2" xfId="16775" xr:uid="{CD9D07C1-9CBD-44B0-AD59-4EC2B963E6B5}"/>
    <cellStyle name="20% - Accent3 4 5 2 3" xfId="12557" xr:uid="{52218C30-0D2F-4A75-97DC-6015C27540AC}"/>
    <cellStyle name="20% - Accent3 4 5 3" xfId="6180" xr:uid="{00000000-0005-0000-0000-0000CA010000}"/>
    <cellStyle name="20% - Accent3 4 5 3 2" xfId="14630" xr:uid="{C7FBFDCF-AD88-4D1A-A49B-371B2FD3FD51}"/>
    <cellStyle name="20% - Accent3 4 5 4" xfId="10412" xr:uid="{4DDE1B08-BCE4-4A80-94C0-B72ED80E9420}"/>
    <cellStyle name="20% - Accent3 4 6" xfId="2287" xr:uid="{00000000-0005-0000-0000-0000CB010000}"/>
    <cellStyle name="20% - Accent3 4 6 2" xfId="6593" xr:uid="{00000000-0005-0000-0000-0000CC010000}"/>
    <cellStyle name="20% - Accent3 4 6 2 2" xfId="15043" xr:uid="{86F4B985-D369-4165-86DB-ECA6F4626ADC}"/>
    <cellStyle name="20% - Accent3 4 6 3" xfId="10825" xr:uid="{3039F473-9DF5-435F-A037-F9C6763967C3}"/>
    <cellStyle name="20% - Accent3 4 7" xfId="4527" xr:uid="{00000000-0005-0000-0000-0000CD010000}"/>
    <cellStyle name="20% - Accent3 4 7 2" xfId="12977" xr:uid="{2792F7E8-F1E1-43FC-93DE-DBF648E53669}"/>
    <cellStyle name="20% - Accent3 4 8" xfId="8759" xr:uid="{493C7AEB-E50C-45C2-B169-091CF0FF6CE5}"/>
    <cellStyle name="20% - Accent3 5" xfId="586" xr:uid="{00000000-0005-0000-0000-0000CE010000}"/>
    <cellStyle name="20% - Accent3 5 2" xfId="2857" xr:uid="{00000000-0005-0000-0000-0000CF010000}"/>
    <cellStyle name="20% - Accent3 5 2 2" xfId="7079" xr:uid="{00000000-0005-0000-0000-0000D0010000}"/>
    <cellStyle name="20% - Accent3 5 2 2 2" xfId="15529" xr:uid="{1048DF9F-DB4A-4269-926B-FE8F548464D9}"/>
    <cellStyle name="20% - Accent3 5 2 3" xfId="11311" xr:uid="{CB88F535-42C8-445F-B985-AE94F6266DF8}"/>
    <cellStyle name="20% - Accent3 5 3" xfId="4934" xr:uid="{00000000-0005-0000-0000-0000D1010000}"/>
    <cellStyle name="20% - Accent3 5 3 2" xfId="13384" xr:uid="{9E1065CA-06A8-4F66-9731-D904F7687A1C}"/>
    <cellStyle name="20% - Accent3 5 4" xfId="9166" xr:uid="{4B18C60E-607D-40A6-91F7-1AA54620BB28}"/>
    <cellStyle name="20% - Accent3 6" xfId="1039" xr:uid="{00000000-0005-0000-0000-0000D2010000}"/>
    <cellStyle name="20% - Accent3 6 2" xfId="3270" xr:uid="{00000000-0005-0000-0000-0000D3010000}"/>
    <cellStyle name="20% - Accent3 6 2 2" xfId="7492" xr:uid="{00000000-0005-0000-0000-0000D4010000}"/>
    <cellStyle name="20% - Accent3 6 2 2 2" xfId="15942" xr:uid="{3CCCDD42-A4FE-436F-8A50-F7D04636D153}"/>
    <cellStyle name="20% - Accent3 6 2 3" xfId="11724" xr:uid="{B29C4E2C-9205-4054-BEFB-00A34F7D0D6F}"/>
    <cellStyle name="20% - Accent3 6 3" xfId="5347" xr:uid="{00000000-0005-0000-0000-0000D5010000}"/>
    <cellStyle name="20% - Accent3 6 3 2" xfId="13797" xr:uid="{21E49B14-FD6B-4987-B8B2-52AB0AB82FDC}"/>
    <cellStyle name="20% - Accent3 6 4" xfId="9579" xr:uid="{66D86802-BB12-45F2-997A-56CCFB3F8A07}"/>
    <cellStyle name="20% - Accent3 7" xfId="1453" xr:uid="{00000000-0005-0000-0000-0000D6010000}"/>
    <cellStyle name="20% - Accent3 7 2" xfId="3683" xr:uid="{00000000-0005-0000-0000-0000D7010000}"/>
    <cellStyle name="20% - Accent3 7 2 2" xfId="7905" xr:uid="{00000000-0005-0000-0000-0000D8010000}"/>
    <cellStyle name="20% - Accent3 7 2 2 2" xfId="16355" xr:uid="{F21584CF-FE86-4769-B8F3-E143BADAF0BC}"/>
    <cellStyle name="20% - Accent3 7 2 3" xfId="12137" xr:uid="{0C8FD75D-5A4A-4A14-A40A-40A92861F24F}"/>
    <cellStyle name="20% - Accent3 7 3" xfId="5760" xr:uid="{00000000-0005-0000-0000-0000D9010000}"/>
    <cellStyle name="20% - Accent3 7 3 2" xfId="14210" xr:uid="{92E6993F-33D5-4F72-8B44-069564DEABE7}"/>
    <cellStyle name="20% - Accent3 7 4" xfId="9992" xr:uid="{BF4D9FB2-E490-4BF0-A2F1-1DA0192B55A2}"/>
    <cellStyle name="20% - Accent3 8" xfId="1867" xr:uid="{00000000-0005-0000-0000-0000DA010000}"/>
    <cellStyle name="20% - Accent3 8 2" xfId="4096" xr:uid="{00000000-0005-0000-0000-0000DB010000}"/>
    <cellStyle name="20% - Accent3 8 2 2" xfId="8318" xr:uid="{00000000-0005-0000-0000-0000DC010000}"/>
    <cellStyle name="20% - Accent3 8 2 2 2" xfId="16768" xr:uid="{495ADA74-3C1D-4F58-8C7F-3DBB844BA850}"/>
    <cellStyle name="20% - Accent3 8 2 3" xfId="12550" xr:uid="{D9D164F1-2219-4E18-A38A-DADF5AEF12F6}"/>
    <cellStyle name="20% - Accent3 8 3" xfId="6173" xr:uid="{00000000-0005-0000-0000-0000DD010000}"/>
    <cellStyle name="20% - Accent3 8 3 2" xfId="14623" xr:uid="{FF28A9AD-AD0D-4E50-AF9A-2D1262D3FF75}"/>
    <cellStyle name="20% - Accent3 8 4" xfId="10405" xr:uid="{FF45453D-91EC-4782-B690-1AF122FF0026}"/>
    <cellStyle name="20% - Accent3 9" xfId="2280" xr:uid="{00000000-0005-0000-0000-0000DE010000}"/>
    <cellStyle name="20% - Accent3 9 2" xfId="6586" xr:uid="{00000000-0005-0000-0000-0000DF010000}"/>
    <cellStyle name="20% - Accent3 9 2 2" xfId="15036" xr:uid="{6AACEE8B-83AD-4A40-9434-E62EB1727997}"/>
    <cellStyle name="20% - Accent3 9 3" xfId="10818" xr:uid="{77632482-C497-4AAE-97C5-008A9548CD62}"/>
    <cellStyle name="20% - Accent4" xfId="25" builtinId="42" customBuiltin="1"/>
    <cellStyle name="20% - Accent4 10" xfId="4528" xr:uid="{00000000-0005-0000-0000-0000E1010000}"/>
    <cellStyle name="20% - Accent4 10 2" xfId="12978" xr:uid="{96745F6B-E542-4424-822E-1C6F71959384}"/>
    <cellStyle name="20% - Accent4 11" xfId="8760" xr:uid="{75377810-6EAA-4C7D-A167-311AC3DE0F9A}"/>
    <cellStyle name="20% - Accent4 2" xfId="26" xr:uid="{00000000-0005-0000-0000-0000E2010000}"/>
    <cellStyle name="20% - Accent4 2 10" xfId="8761" xr:uid="{F56C197A-69E8-4733-B179-FF0882E46BF1}"/>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15540" xr:uid="{958A172F-EC90-4ECA-A2D9-B6D9F48F5B45}"/>
    <cellStyle name="20% - Accent4 2 2 2 2 2 3" xfId="11322" xr:uid="{476AC32C-EAAB-4167-A52B-ED903F1F76F2}"/>
    <cellStyle name="20% - Accent4 2 2 2 2 3" xfId="4945" xr:uid="{00000000-0005-0000-0000-0000E8010000}"/>
    <cellStyle name="20% - Accent4 2 2 2 2 3 2" xfId="13395" xr:uid="{D92BFD80-7E6E-4365-8BA9-95BCB5210EB0}"/>
    <cellStyle name="20% - Accent4 2 2 2 2 4" xfId="9177" xr:uid="{F04036F7-89F2-490A-8F89-40386C8D7675}"/>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15953" xr:uid="{2BA85F16-F08A-401C-898B-C5B2220D8F95}"/>
    <cellStyle name="20% - Accent4 2 2 2 3 2 3" xfId="11735" xr:uid="{F07732E4-5323-4150-96F8-8F4C43739AFF}"/>
    <cellStyle name="20% - Accent4 2 2 2 3 3" xfId="5358" xr:uid="{00000000-0005-0000-0000-0000EC010000}"/>
    <cellStyle name="20% - Accent4 2 2 2 3 3 2" xfId="13808" xr:uid="{CC0A254E-4B0B-4664-BFBF-431CB483AF11}"/>
    <cellStyle name="20% - Accent4 2 2 2 3 4" xfId="9590" xr:uid="{4546D8AF-DA40-40B8-B317-05E547F04BBD}"/>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16366" xr:uid="{F36DC85F-55FD-45A7-A049-F37D79DC5517}"/>
    <cellStyle name="20% - Accent4 2 2 2 4 2 3" xfId="12148" xr:uid="{9498C745-9BB8-4A1D-9A42-36631DC99567}"/>
    <cellStyle name="20% - Accent4 2 2 2 4 3" xfId="5771" xr:uid="{00000000-0005-0000-0000-0000F0010000}"/>
    <cellStyle name="20% - Accent4 2 2 2 4 3 2" xfId="14221" xr:uid="{B29C8AEF-5F47-4A8E-AFAE-36D9C7C101F7}"/>
    <cellStyle name="20% - Accent4 2 2 2 4 4" xfId="10003" xr:uid="{08986C4C-4ABC-4752-9194-7327E0BD7823}"/>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16779" xr:uid="{EA3A2B99-BABC-4BCE-A8A5-2E433A7693A7}"/>
    <cellStyle name="20% - Accent4 2 2 2 5 2 3" xfId="12561" xr:uid="{6B6D11EE-82C3-4D63-B2CA-A569D81C080B}"/>
    <cellStyle name="20% - Accent4 2 2 2 5 3" xfId="6184" xr:uid="{00000000-0005-0000-0000-0000F4010000}"/>
    <cellStyle name="20% - Accent4 2 2 2 5 3 2" xfId="14634" xr:uid="{7690EC60-8344-4CFB-BF9C-587BD6889699}"/>
    <cellStyle name="20% - Accent4 2 2 2 5 4" xfId="10416" xr:uid="{FE67990A-7961-438C-8507-6D479E4F98C2}"/>
    <cellStyle name="20% - Accent4 2 2 2 6" xfId="2291" xr:uid="{00000000-0005-0000-0000-0000F5010000}"/>
    <cellStyle name="20% - Accent4 2 2 2 6 2" xfId="6597" xr:uid="{00000000-0005-0000-0000-0000F6010000}"/>
    <cellStyle name="20% - Accent4 2 2 2 6 2 2" xfId="15047" xr:uid="{E59B14C3-20D2-4C8D-809E-F24027926581}"/>
    <cellStyle name="20% - Accent4 2 2 2 6 3" xfId="10829" xr:uid="{31014FC8-AB83-4791-AF1C-8DD1A0636FF9}"/>
    <cellStyle name="20% - Accent4 2 2 2 7" xfId="4531" xr:uid="{00000000-0005-0000-0000-0000F7010000}"/>
    <cellStyle name="20% - Accent4 2 2 2 7 2" xfId="12981" xr:uid="{A028578B-332B-4DFB-83A3-FD83F4F4C730}"/>
    <cellStyle name="20% - Accent4 2 2 2 8" xfId="8763" xr:uid="{D46CC26A-7B2B-4BB5-9E1E-251B750C513C}"/>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15539" xr:uid="{D50A4C99-34AB-4EEA-B33B-06C4128913B2}"/>
    <cellStyle name="20% - Accent4 2 2 3 2 3" xfId="11321" xr:uid="{F10824D8-8EEA-4A98-ADF5-96799857B7BD}"/>
    <cellStyle name="20% - Accent4 2 2 3 3" xfId="4944" xr:uid="{00000000-0005-0000-0000-0000FB010000}"/>
    <cellStyle name="20% - Accent4 2 2 3 3 2" xfId="13394" xr:uid="{D3C4FE4E-E8C0-4676-80E3-95E6B69F37BD}"/>
    <cellStyle name="20% - Accent4 2 2 3 4" xfId="9176" xr:uid="{B573AC22-7534-4857-A4C3-12CC82327A94}"/>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15952" xr:uid="{E06C4A26-F5F2-47F7-BAD1-225A793BA0C2}"/>
    <cellStyle name="20% - Accent4 2 2 4 2 3" xfId="11734" xr:uid="{70B55655-806E-4CB7-8D6A-34EDFDF21DD8}"/>
    <cellStyle name="20% - Accent4 2 2 4 3" xfId="5357" xr:uid="{00000000-0005-0000-0000-0000FF010000}"/>
    <cellStyle name="20% - Accent4 2 2 4 3 2" xfId="13807" xr:uid="{15D1D4A8-F454-4C5C-9149-2C6975815CF4}"/>
    <cellStyle name="20% - Accent4 2 2 4 4" xfId="9589" xr:uid="{382B1E31-DED2-4131-8F79-F7A3D3D5A55B}"/>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16365" xr:uid="{CF6E0768-92B4-4A71-926B-07746F4AF974}"/>
    <cellStyle name="20% - Accent4 2 2 5 2 3" xfId="12147" xr:uid="{E92821FF-889A-4F07-BEDD-68B66F8D8F84}"/>
    <cellStyle name="20% - Accent4 2 2 5 3" xfId="5770" xr:uid="{00000000-0005-0000-0000-000003020000}"/>
    <cellStyle name="20% - Accent4 2 2 5 3 2" xfId="14220" xr:uid="{5766063F-D7AF-43C9-87DC-A26350415224}"/>
    <cellStyle name="20% - Accent4 2 2 5 4" xfId="10002" xr:uid="{FD85053F-FAAA-4B0C-BF75-A8B2440DD962}"/>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16778" xr:uid="{EA4CE84C-73B0-47F7-8EA2-FB7BE15F616C}"/>
    <cellStyle name="20% - Accent4 2 2 6 2 3" xfId="12560" xr:uid="{5437B767-9D46-4A4A-B7D2-FA4C1BB42D13}"/>
    <cellStyle name="20% - Accent4 2 2 6 3" xfId="6183" xr:uid="{00000000-0005-0000-0000-000007020000}"/>
    <cellStyle name="20% - Accent4 2 2 6 3 2" xfId="14633" xr:uid="{7AF0479F-B882-4074-A929-7C2B93346538}"/>
    <cellStyle name="20% - Accent4 2 2 6 4" xfId="10415" xr:uid="{6AC9BE08-B323-4D7B-BB42-3E5FF7D3595A}"/>
    <cellStyle name="20% - Accent4 2 2 7" xfId="2290" xr:uid="{00000000-0005-0000-0000-000008020000}"/>
    <cellStyle name="20% - Accent4 2 2 7 2" xfId="6596" xr:uid="{00000000-0005-0000-0000-000009020000}"/>
    <cellStyle name="20% - Accent4 2 2 7 2 2" xfId="15046" xr:uid="{F98A8D07-D9BA-4349-B493-92B3EF45E3CB}"/>
    <cellStyle name="20% - Accent4 2 2 7 3" xfId="10828" xr:uid="{6660D494-5A30-4EF0-8869-5CD57D1D7774}"/>
    <cellStyle name="20% - Accent4 2 2 8" xfId="4530" xr:uid="{00000000-0005-0000-0000-00000A020000}"/>
    <cellStyle name="20% - Accent4 2 2 8 2" xfId="12980" xr:uid="{BBC19DF2-C0BA-4962-8215-3BFD5F2147DD}"/>
    <cellStyle name="20% - Accent4 2 2 9" xfId="8762" xr:uid="{34C478A9-ED54-4368-9428-6D94DDA2C2E2}"/>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15541" xr:uid="{068AE400-A3D7-435C-993B-589FA9896BC6}"/>
    <cellStyle name="20% - Accent4 2 3 2 2 3" xfId="11323" xr:uid="{6EEC7CE5-AC7D-4EE2-86EF-524574024455}"/>
    <cellStyle name="20% - Accent4 2 3 2 3" xfId="4946" xr:uid="{00000000-0005-0000-0000-00000F020000}"/>
    <cellStyle name="20% - Accent4 2 3 2 3 2" xfId="13396" xr:uid="{465918DF-B131-468F-AF7D-B89F743A7F89}"/>
    <cellStyle name="20% - Accent4 2 3 2 4" xfId="9178" xr:uid="{65EE36A3-99DD-4620-92C0-A5DFC2F084AF}"/>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15954" xr:uid="{54FA09A5-00C9-43D0-9E94-1B325FFB5D00}"/>
    <cellStyle name="20% - Accent4 2 3 3 2 3" xfId="11736" xr:uid="{D99C6633-F245-4AA7-B587-F9A308A69101}"/>
    <cellStyle name="20% - Accent4 2 3 3 3" xfId="5359" xr:uid="{00000000-0005-0000-0000-000013020000}"/>
    <cellStyle name="20% - Accent4 2 3 3 3 2" xfId="13809" xr:uid="{3A540C00-C176-41AF-A6E8-1887AF088281}"/>
    <cellStyle name="20% - Accent4 2 3 3 4" xfId="9591" xr:uid="{850F1738-CFB2-4408-BFB1-6EB27190A722}"/>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16367" xr:uid="{6D7656A2-A292-4F12-B1F6-A11C5997F2CD}"/>
    <cellStyle name="20% - Accent4 2 3 4 2 3" xfId="12149" xr:uid="{B54000A3-7E66-486B-B091-A0324957B1CF}"/>
    <cellStyle name="20% - Accent4 2 3 4 3" xfId="5772" xr:uid="{00000000-0005-0000-0000-000017020000}"/>
    <cellStyle name="20% - Accent4 2 3 4 3 2" xfId="14222" xr:uid="{79D910B6-2C00-4022-B223-B5EC7216F930}"/>
    <cellStyle name="20% - Accent4 2 3 4 4" xfId="10004" xr:uid="{6B00A0E7-56FE-47F1-844C-B93C3563F1B4}"/>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16780" xr:uid="{FB05240B-2CAF-44F6-B0CA-941D2D7FB172}"/>
    <cellStyle name="20% - Accent4 2 3 5 2 3" xfId="12562" xr:uid="{3D7BF185-77DF-420E-981C-50C83E35580A}"/>
    <cellStyle name="20% - Accent4 2 3 5 3" xfId="6185" xr:uid="{00000000-0005-0000-0000-00001B020000}"/>
    <cellStyle name="20% - Accent4 2 3 5 3 2" xfId="14635" xr:uid="{112C5466-FEAF-4DA3-8287-05358E383B07}"/>
    <cellStyle name="20% - Accent4 2 3 5 4" xfId="10417" xr:uid="{25E9BECF-CDAA-4931-9361-B23514FF451F}"/>
    <cellStyle name="20% - Accent4 2 3 6" xfId="2292" xr:uid="{00000000-0005-0000-0000-00001C020000}"/>
    <cellStyle name="20% - Accent4 2 3 6 2" xfId="6598" xr:uid="{00000000-0005-0000-0000-00001D020000}"/>
    <cellStyle name="20% - Accent4 2 3 6 2 2" xfId="15048" xr:uid="{1211BFAE-23CE-4B2A-88D1-55CDF80FF1E6}"/>
    <cellStyle name="20% - Accent4 2 3 6 3" xfId="10830" xr:uid="{8F2A47A8-6FE6-44B9-9AB2-46CB4E4D3E7D}"/>
    <cellStyle name="20% - Accent4 2 3 7" xfId="4532" xr:uid="{00000000-0005-0000-0000-00001E020000}"/>
    <cellStyle name="20% - Accent4 2 3 7 2" xfId="12982" xr:uid="{7C3FACA6-9978-4548-BF6B-128CAE385229}"/>
    <cellStyle name="20% - Accent4 2 3 8" xfId="8764" xr:uid="{0F370309-8096-4E5A-90B6-6651CED8A2F1}"/>
    <cellStyle name="20% - Accent4 2 4" xfId="595" xr:uid="{00000000-0005-0000-0000-00001F020000}"/>
    <cellStyle name="20% - Accent4 2 4 2" xfId="2866" xr:uid="{00000000-0005-0000-0000-000020020000}"/>
    <cellStyle name="20% - Accent4 2 4 2 2" xfId="7088" xr:uid="{00000000-0005-0000-0000-000021020000}"/>
    <cellStyle name="20% - Accent4 2 4 2 2 2" xfId="15538" xr:uid="{CFAF896C-04F4-41C1-B3C2-A1397990DD9B}"/>
    <cellStyle name="20% - Accent4 2 4 2 3" xfId="11320" xr:uid="{503D41C5-B376-447A-BCC2-0690C8459CD2}"/>
    <cellStyle name="20% - Accent4 2 4 3" xfId="4943" xr:uid="{00000000-0005-0000-0000-000022020000}"/>
    <cellStyle name="20% - Accent4 2 4 3 2" xfId="13393" xr:uid="{CE421C47-D776-4891-9DBC-C6738071387A}"/>
    <cellStyle name="20% - Accent4 2 4 4" xfId="9175" xr:uid="{45B03CF7-01A4-4A5D-ADBF-A0B2A8E72557}"/>
    <cellStyle name="20% - Accent4 2 5" xfId="1048" xr:uid="{00000000-0005-0000-0000-000023020000}"/>
    <cellStyle name="20% - Accent4 2 5 2" xfId="3279" xr:uid="{00000000-0005-0000-0000-000024020000}"/>
    <cellStyle name="20% - Accent4 2 5 2 2" xfId="7501" xr:uid="{00000000-0005-0000-0000-000025020000}"/>
    <cellStyle name="20% - Accent4 2 5 2 2 2" xfId="15951" xr:uid="{305A39AA-784A-47BF-92ED-D1E98BA474C9}"/>
    <cellStyle name="20% - Accent4 2 5 2 3" xfId="11733" xr:uid="{49B3EEA2-8273-4DB4-A3A7-8C943EF9F82E}"/>
    <cellStyle name="20% - Accent4 2 5 3" xfId="5356" xr:uid="{00000000-0005-0000-0000-000026020000}"/>
    <cellStyle name="20% - Accent4 2 5 3 2" xfId="13806" xr:uid="{1E287580-6003-4EA3-B14D-297F8763C1DD}"/>
    <cellStyle name="20% - Accent4 2 5 4" xfId="9588" xr:uid="{873FDA9B-BA85-4AA6-B1BB-1D8C76142C1E}"/>
    <cellStyle name="20% - Accent4 2 6" xfId="1462" xr:uid="{00000000-0005-0000-0000-000027020000}"/>
    <cellStyle name="20% - Accent4 2 6 2" xfId="3692" xr:uid="{00000000-0005-0000-0000-000028020000}"/>
    <cellStyle name="20% - Accent4 2 6 2 2" xfId="7914" xr:uid="{00000000-0005-0000-0000-000029020000}"/>
    <cellStyle name="20% - Accent4 2 6 2 2 2" xfId="16364" xr:uid="{C223BC77-000E-46AB-99E2-24DD56FB5965}"/>
    <cellStyle name="20% - Accent4 2 6 2 3" xfId="12146" xr:uid="{BD93324A-5E23-4BEE-A6DA-A5E5C107777E}"/>
    <cellStyle name="20% - Accent4 2 6 3" xfId="5769" xr:uid="{00000000-0005-0000-0000-00002A020000}"/>
    <cellStyle name="20% - Accent4 2 6 3 2" xfId="14219" xr:uid="{1027FC8B-4782-44F6-A921-6E506748D36A}"/>
    <cellStyle name="20% - Accent4 2 6 4" xfId="10001" xr:uid="{5504CDD2-AD2A-4F14-AFD2-44CEEA4E78EF}"/>
    <cellStyle name="20% - Accent4 2 7" xfId="1876" xr:uid="{00000000-0005-0000-0000-00002B020000}"/>
    <cellStyle name="20% - Accent4 2 7 2" xfId="4105" xr:uid="{00000000-0005-0000-0000-00002C020000}"/>
    <cellStyle name="20% - Accent4 2 7 2 2" xfId="8327" xr:uid="{00000000-0005-0000-0000-00002D020000}"/>
    <cellStyle name="20% - Accent4 2 7 2 2 2" xfId="16777" xr:uid="{8F239560-FC42-4711-B3DC-24CA4A8B3E91}"/>
    <cellStyle name="20% - Accent4 2 7 2 3" xfId="12559" xr:uid="{F211DC1B-3B89-47D0-AC99-2109E1344532}"/>
    <cellStyle name="20% - Accent4 2 7 3" xfId="6182" xr:uid="{00000000-0005-0000-0000-00002E020000}"/>
    <cellStyle name="20% - Accent4 2 7 3 2" xfId="14632" xr:uid="{95DE5ED0-E77D-4E65-A166-168440B4AA7F}"/>
    <cellStyle name="20% - Accent4 2 7 4" xfId="10414" xr:uid="{1ED96709-3CE3-4E9F-A31D-DBF385248AC1}"/>
    <cellStyle name="20% - Accent4 2 8" xfId="2289" xr:uid="{00000000-0005-0000-0000-00002F020000}"/>
    <cellStyle name="20% - Accent4 2 8 2" xfId="6595" xr:uid="{00000000-0005-0000-0000-000030020000}"/>
    <cellStyle name="20% - Accent4 2 8 2 2" xfId="15045" xr:uid="{D43190F9-8C6F-4364-8F3E-83B935B3ECE6}"/>
    <cellStyle name="20% - Accent4 2 8 3" xfId="10827" xr:uid="{E0F8A509-3F91-4FED-85D9-60C6F9471F83}"/>
    <cellStyle name="20% - Accent4 2 9" xfId="4529" xr:uid="{00000000-0005-0000-0000-000031020000}"/>
    <cellStyle name="20% - Accent4 2 9 2" xfId="12979" xr:uid="{2CEB7A8C-0A4F-4AE2-AAF7-BF7205211C1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15543" xr:uid="{BC25865E-FBA0-45AA-9F83-5FA2BDD24AA3}"/>
    <cellStyle name="20% - Accent4 3 2 2 2 3" xfId="11325" xr:uid="{0B39993F-BA18-4F5D-ABDE-63A645D8F8FF}"/>
    <cellStyle name="20% - Accent4 3 2 2 3" xfId="4948" xr:uid="{00000000-0005-0000-0000-000037020000}"/>
    <cellStyle name="20% - Accent4 3 2 2 3 2" xfId="13398" xr:uid="{5A9FEB5B-38DB-408C-A2D2-BD43E0FE4534}"/>
    <cellStyle name="20% - Accent4 3 2 2 4" xfId="9180" xr:uid="{B1A1E979-8E6F-40B7-BAEC-0564876546E0}"/>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15956" xr:uid="{B80895F3-09E2-4170-81F9-AC4125A848D5}"/>
    <cellStyle name="20% - Accent4 3 2 3 2 3" xfId="11738" xr:uid="{B6E577A7-AE03-4DE5-8D81-85FC4980A1C9}"/>
    <cellStyle name="20% - Accent4 3 2 3 3" xfId="5361" xr:uid="{00000000-0005-0000-0000-00003B020000}"/>
    <cellStyle name="20% - Accent4 3 2 3 3 2" xfId="13811" xr:uid="{0C1E3397-2A16-4887-8772-88AF77E9DB38}"/>
    <cellStyle name="20% - Accent4 3 2 3 4" xfId="9593" xr:uid="{44D834C9-B552-4E42-A016-F379ACC5239D}"/>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16369" xr:uid="{6994C9BB-E2FB-4CBD-89E0-EF6286DC5430}"/>
    <cellStyle name="20% - Accent4 3 2 4 2 3" xfId="12151" xr:uid="{984209FC-2C88-4414-8C06-58E9920B2268}"/>
    <cellStyle name="20% - Accent4 3 2 4 3" xfId="5774" xr:uid="{00000000-0005-0000-0000-00003F020000}"/>
    <cellStyle name="20% - Accent4 3 2 4 3 2" xfId="14224" xr:uid="{7DAE1B28-69B2-4F45-9AE8-ADE98696BAFC}"/>
    <cellStyle name="20% - Accent4 3 2 4 4" xfId="10006" xr:uid="{EACC5D26-94DF-4A36-85E0-40B3EFF1E3D6}"/>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16782" xr:uid="{722912AC-4AD6-4B95-BBD5-D26D277D5903}"/>
    <cellStyle name="20% - Accent4 3 2 5 2 3" xfId="12564" xr:uid="{61EEB3E7-3EE5-49E0-870F-86B2B207B567}"/>
    <cellStyle name="20% - Accent4 3 2 5 3" xfId="6187" xr:uid="{00000000-0005-0000-0000-000043020000}"/>
    <cellStyle name="20% - Accent4 3 2 5 3 2" xfId="14637" xr:uid="{DE66DD33-401C-45FF-8B8E-8886FFF26496}"/>
    <cellStyle name="20% - Accent4 3 2 5 4" xfId="10419" xr:uid="{DCDE14F0-3599-4F72-9248-98F8D13D154C}"/>
    <cellStyle name="20% - Accent4 3 2 6" xfId="2294" xr:uid="{00000000-0005-0000-0000-000044020000}"/>
    <cellStyle name="20% - Accent4 3 2 6 2" xfId="6600" xr:uid="{00000000-0005-0000-0000-000045020000}"/>
    <cellStyle name="20% - Accent4 3 2 6 2 2" xfId="15050" xr:uid="{673CFD08-93A8-405F-8778-E30A40B3CEB7}"/>
    <cellStyle name="20% - Accent4 3 2 6 3" xfId="10832" xr:uid="{5B8BDE3D-44D3-4F73-B7D4-41CD9DBBBEE7}"/>
    <cellStyle name="20% - Accent4 3 2 7" xfId="4534" xr:uid="{00000000-0005-0000-0000-000046020000}"/>
    <cellStyle name="20% - Accent4 3 2 7 2" xfId="12984" xr:uid="{F0F22A0E-9D9A-4116-A3ED-6B546750A927}"/>
    <cellStyle name="20% - Accent4 3 2 8" xfId="8766" xr:uid="{DE4140AE-71DE-4DAD-A90B-C6DE690790E4}"/>
    <cellStyle name="20% - Accent4 3 3" xfId="599" xr:uid="{00000000-0005-0000-0000-000047020000}"/>
    <cellStyle name="20% - Accent4 3 3 2" xfId="2870" xr:uid="{00000000-0005-0000-0000-000048020000}"/>
    <cellStyle name="20% - Accent4 3 3 2 2" xfId="7092" xr:uid="{00000000-0005-0000-0000-000049020000}"/>
    <cellStyle name="20% - Accent4 3 3 2 2 2" xfId="15542" xr:uid="{6314C678-AA6C-4CC1-B7A3-BE6946986066}"/>
    <cellStyle name="20% - Accent4 3 3 2 3" xfId="11324" xr:uid="{2CE1B8D1-6DB1-45C0-A091-BFD1D09F9B92}"/>
    <cellStyle name="20% - Accent4 3 3 3" xfId="4947" xr:uid="{00000000-0005-0000-0000-00004A020000}"/>
    <cellStyle name="20% - Accent4 3 3 3 2" xfId="13397" xr:uid="{884EC60E-E742-492C-84F5-FC4B0B89034C}"/>
    <cellStyle name="20% - Accent4 3 3 4" xfId="9179" xr:uid="{4AB33169-4157-453D-AE4F-A9C2E7874711}"/>
    <cellStyle name="20% - Accent4 3 4" xfId="1052" xr:uid="{00000000-0005-0000-0000-00004B020000}"/>
    <cellStyle name="20% - Accent4 3 4 2" xfId="3283" xr:uid="{00000000-0005-0000-0000-00004C020000}"/>
    <cellStyle name="20% - Accent4 3 4 2 2" xfId="7505" xr:uid="{00000000-0005-0000-0000-00004D020000}"/>
    <cellStyle name="20% - Accent4 3 4 2 2 2" xfId="15955" xr:uid="{CAD7A0BF-1472-4DD1-AABF-8593606F926E}"/>
    <cellStyle name="20% - Accent4 3 4 2 3" xfId="11737" xr:uid="{6861C22B-0B9F-4EF8-AB3F-9657B1B457AC}"/>
    <cellStyle name="20% - Accent4 3 4 3" xfId="5360" xr:uid="{00000000-0005-0000-0000-00004E020000}"/>
    <cellStyle name="20% - Accent4 3 4 3 2" xfId="13810" xr:uid="{E983788A-73A0-4AFA-88EC-1ABD718E3D29}"/>
    <cellStyle name="20% - Accent4 3 4 4" xfId="9592" xr:uid="{74122B00-6303-4475-88EC-B31EC8F520F1}"/>
    <cellStyle name="20% - Accent4 3 5" xfId="1466" xr:uid="{00000000-0005-0000-0000-00004F020000}"/>
    <cellStyle name="20% - Accent4 3 5 2" xfId="3696" xr:uid="{00000000-0005-0000-0000-000050020000}"/>
    <cellStyle name="20% - Accent4 3 5 2 2" xfId="7918" xr:uid="{00000000-0005-0000-0000-000051020000}"/>
    <cellStyle name="20% - Accent4 3 5 2 2 2" xfId="16368" xr:uid="{7B0BA62F-8D09-4964-BA74-4E5AEE2A4875}"/>
    <cellStyle name="20% - Accent4 3 5 2 3" xfId="12150" xr:uid="{9595323D-E118-4E29-B134-737CEA216F05}"/>
    <cellStyle name="20% - Accent4 3 5 3" xfId="5773" xr:uid="{00000000-0005-0000-0000-000052020000}"/>
    <cellStyle name="20% - Accent4 3 5 3 2" xfId="14223" xr:uid="{BD170210-633A-4E2A-905F-845E2D07D1ED}"/>
    <cellStyle name="20% - Accent4 3 5 4" xfId="10005" xr:uid="{7C2B97AA-4CA8-42DE-97CB-BFF0C87DDB96}"/>
    <cellStyle name="20% - Accent4 3 6" xfId="1880" xr:uid="{00000000-0005-0000-0000-000053020000}"/>
    <cellStyle name="20% - Accent4 3 6 2" xfId="4109" xr:uid="{00000000-0005-0000-0000-000054020000}"/>
    <cellStyle name="20% - Accent4 3 6 2 2" xfId="8331" xr:uid="{00000000-0005-0000-0000-000055020000}"/>
    <cellStyle name="20% - Accent4 3 6 2 2 2" xfId="16781" xr:uid="{FC17FBEF-75D2-418F-95BD-30773E788AE0}"/>
    <cellStyle name="20% - Accent4 3 6 2 3" xfId="12563" xr:uid="{6B77F7BF-C009-40D7-8F7E-BF22A2273521}"/>
    <cellStyle name="20% - Accent4 3 6 3" xfId="6186" xr:uid="{00000000-0005-0000-0000-000056020000}"/>
    <cellStyle name="20% - Accent4 3 6 3 2" xfId="14636" xr:uid="{60D69543-C9D8-4D78-9907-6CDF07E0BF0B}"/>
    <cellStyle name="20% - Accent4 3 6 4" xfId="10418" xr:uid="{186D7D86-AA0E-43FA-B57C-2B5A136ABC5B}"/>
    <cellStyle name="20% - Accent4 3 7" xfId="2293" xr:uid="{00000000-0005-0000-0000-000057020000}"/>
    <cellStyle name="20% - Accent4 3 7 2" xfId="6599" xr:uid="{00000000-0005-0000-0000-000058020000}"/>
    <cellStyle name="20% - Accent4 3 7 2 2" xfId="15049" xr:uid="{4137736A-C953-412E-AA01-C5C625DD6992}"/>
    <cellStyle name="20% - Accent4 3 7 3" xfId="10831" xr:uid="{14A0BD1D-B8CF-460E-879D-8ECDED37ABD5}"/>
    <cellStyle name="20% - Accent4 3 8" xfId="4533" xr:uid="{00000000-0005-0000-0000-000059020000}"/>
    <cellStyle name="20% - Accent4 3 8 2" xfId="12983" xr:uid="{9036FC94-D6CD-43AD-A54E-54881208BD6D}"/>
    <cellStyle name="20% - Accent4 3 9" xfId="8765" xr:uid="{7B9CB403-ED2B-40FC-8ED6-47F6DB04124E}"/>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2 2 2" xfId="15544" xr:uid="{C2F6EC5C-AD4D-4348-8EB9-1DB2BA77FE03}"/>
    <cellStyle name="20% - Accent4 4 2 2 3" xfId="11326" xr:uid="{32F00572-4984-4A8B-9E71-E676570F4FF9}"/>
    <cellStyle name="20% - Accent4 4 2 3" xfId="4949" xr:uid="{00000000-0005-0000-0000-00005E020000}"/>
    <cellStyle name="20% - Accent4 4 2 3 2" xfId="13399" xr:uid="{2BFC51D6-88BE-4C14-A830-B4E7D9FF9D6E}"/>
    <cellStyle name="20% - Accent4 4 2 4" xfId="9181" xr:uid="{E22FF6AE-0309-44F5-A7D2-01D205F64D21}"/>
    <cellStyle name="20% - Accent4 4 3" xfId="1054" xr:uid="{00000000-0005-0000-0000-00005F020000}"/>
    <cellStyle name="20% - Accent4 4 3 2" xfId="3285" xr:uid="{00000000-0005-0000-0000-000060020000}"/>
    <cellStyle name="20% - Accent4 4 3 2 2" xfId="7507" xr:uid="{00000000-0005-0000-0000-000061020000}"/>
    <cellStyle name="20% - Accent4 4 3 2 2 2" xfId="15957" xr:uid="{1A181030-F224-4931-9414-8A97E6C44AB7}"/>
    <cellStyle name="20% - Accent4 4 3 2 3" xfId="11739" xr:uid="{A2EDF2C1-2C08-4D14-9DBF-A3AE9C7DE1A4}"/>
    <cellStyle name="20% - Accent4 4 3 3" xfId="5362" xr:uid="{00000000-0005-0000-0000-000062020000}"/>
    <cellStyle name="20% - Accent4 4 3 3 2" xfId="13812" xr:uid="{041CDAC9-4236-4480-92A6-14782DC8CDA2}"/>
    <cellStyle name="20% - Accent4 4 3 4" xfId="9594" xr:uid="{52189FD0-04A0-4D95-B0F2-BABEC1284DA3}"/>
    <cellStyle name="20% - Accent4 4 4" xfId="1468" xr:uid="{00000000-0005-0000-0000-000063020000}"/>
    <cellStyle name="20% - Accent4 4 4 2" xfId="3698" xr:uid="{00000000-0005-0000-0000-000064020000}"/>
    <cellStyle name="20% - Accent4 4 4 2 2" xfId="7920" xr:uid="{00000000-0005-0000-0000-000065020000}"/>
    <cellStyle name="20% - Accent4 4 4 2 2 2" xfId="16370" xr:uid="{7C634F92-9CCF-4B03-9FB0-8E158A2D386F}"/>
    <cellStyle name="20% - Accent4 4 4 2 3" xfId="12152" xr:uid="{7878AB7E-8B92-4F11-B737-5ED10FEF6038}"/>
    <cellStyle name="20% - Accent4 4 4 3" xfId="5775" xr:uid="{00000000-0005-0000-0000-000066020000}"/>
    <cellStyle name="20% - Accent4 4 4 3 2" xfId="14225" xr:uid="{6D94ACD5-79C9-4C89-A180-9ABF48540BE8}"/>
    <cellStyle name="20% - Accent4 4 4 4" xfId="10007" xr:uid="{59209FBE-2415-4D89-A5FC-06C4F9666B3D}"/>
    <cellStyle name="20% - Accent4 4 5" xfId="1882" xr:uid="{00000000-0005-0000-0000-000067020000}"/>
    <cellStyle name="20% - Accent4 4 5 2" xfId="4111" xr:uid="{00000000-0005-0000-0000-000068020000}"/>
    <cellStyle name="20% - Accent4 4 5 2 2" xfId="8333" xr:uid="{00000000-0005-0000-0000-000069020000}"/>
    <cellStyle name="20% - Accent4 4 5 2 2 2" xfId="16783" xr:uid="{C6ADD589-16F1-4880-B149-2734A1F184D8}"/>
    <cellStyle name="20% - Accent4 4 5 2 3" xfId="12565" xr:uid="{AFB90958-8570-438B-AAFF-1299ED2AD0AA}"/>
    <cellStyle name="20% - Accent4 4 5 3" xfId="6188" xr:uid="{00000000-0005-0000-0000-00006A020000}"/>
    <cellStyle name="20% - Accent4 4 5 3 2" xfId="14638" xr:uid="{88DEBCCC-7ABE-40D2-A6B0-77E6B6A54908}"/>
    <cellStyle name="20% - Accent4 4 5 4" xfId="10420" xr:uid="{324E2432-06FF-48A7-B443-A60ACC7844B6}"/>
    <cellStyle name="20% - Accent4 4 6" xfId="2295" xr:uid="{00000000-0005-0000-0000-00006B020000}"/>
    <cellStyle name="20% - Accent4 4 6 2" xfId="6601" xr:uid="{00000000-0005-0000-0000-00006C020000}"/>
    <cellStyle name="20% - Accent4 4 6 2 2" xfId="15051" xr:uid="{D8A6D07A-C8A2-4530-BB1C-72AAB34093EB}"/>
    <cellStyle name="20% - Accent4 4 6 3" xfId="10833" xr:uid="{BBD54713-B015-4374-91BD-D51F83B4FF6A}"/>
    <cellStyle name="20% - Accent4 4 7" xfId="4535" xr:uid="{00000000-0005-0000-0000-00006D020000}"/>
    <cellStyle name="20% - Accent4 4 7 2" xfId="12985" xr:uid="{BA367406-3D69-4343-B12C-4E37325D752F}"/>
    <cellStyle name="20% - Accent4 4 8" xfId="8767" xr:uid="{76D24627-AC7B-452B-BC66-9DFB595CDD45}"/>
    <cellStyle name="20% - Accent4 5" xfId="594" xr:uid="{00000000-0005-0000-0000-00006E020000}"/>
    <cellStyle name="20% - Accent4 5 2" xfId="2865" xr:uid="{00000000-0005-0000-0000-00006F020000}"/>
    <cellStyle name="20% - Accent4 5 2 2" xfId="7087" xr:uid="{00000000-0005-0000-0000-000070020000}"/>
    <cellStyle name="20% - Accent4 5 2 2 2" xfId="15537" xr:uid="{CCFAD545-5ABC-4EC3-BA22-90E85DF3EAF1}"/>
    <cellStyle name="20% - Accent4 5 2 3" xfId="11319" xr:uid="{EE0FC6F2-083B-4882-89D5-C182C4373E69}"/>
    <cellStyle name="20% - Accent4 5 3" xfId="4942" xr:uid="{00000000-0005-0000-0000-000071020000}"/>
    <cellStyle name="20% - Accent4 5 3 2" xfId="13392" xr:uid="{4669D485-2D08-44AE-BB05-F17BD494C5DC}"/>
    <cellStyle name="20% - Accent4 5 4" xfId="9174" xr:uid="{5DA9EDB0-E2B1-4CAA-84C4-82A201283CE2}"/>
    <cellStyle name="20% - Accent4 6" xfId="1047" xr:uid="{00000000-0005-0000-0000-000072020000}"/>
    <cellStyle name="20% - Accent4 6 2" xfId="3278" xr:uid="{00000000-0005-0000-0000-000073020000}"/>
    <cellStyle name="20% - Accent4 6 2 2" xfId="7500" xr:uid="{00000000-0005-0000-0000-000074020000}"/>
    <cellStyle name="20% - Accent4 6 2 2 2" xfId="15950" xr:uid="{38EDD07D-B949-4FBB-A5D5-A7602F74594A}"/>
    <cellStyle name="20% - Accent4 6 2 3" xfId="11732" xr:uid="{F4B0BE7C-3795-47C6-A424-1D328ACC18CE}"/>
    <cellStyle name="20% - Accent4 6 3" xfId="5355" xr:uid="{00000000-0005-0000-0000-000075020000}"/>
    <cellStyle name="20% - Accent4 6 3 2" xfId="13805" xr:uid="{2F275B73-3231-4ACA-8B69-19C32A129D7E}"/>
    <cellStyle name="20% - Accent4 6 4" xfId="9587" xr:uid="{109A5132-A4A5-4688-8108-E7F58BAC1208}"/>
    <cellStyle name="20% - Accent4 7" xfId="1461" xr:uid="{00000000-0005-0000-0000-000076020000}"/>
    <cellStyle name="20% - Accent4 7 2" xfId="3691" xr:uid="{00000000-0005-0000-0000-000077020000}"/>
    <cellStyle name="20% - Accent4 7 2 2" xfId="7913" xr:uid="{00000000-0005-0000-0000-000078020000}"/>
    <cellStyle name="20% - Accent4 7 2 2 2" xfId="16363" xr:uid="{734867D7-629E-40E8-83D4-BB1A63432F94}"/>
    <cellStyle name="20% - Accent4 7 2 3" xfId="12145" xr:uid="{60658976-3CA3-44DB-9000-9A911A7C0977}"/>
    <cellStyle name="20% - Accent4 7 3" xfId="5768" xr:uid="{00000000-0005-0000-0000-000079020000}"/>
    <cellStyle name="20% - Accent4 7 3 2" xfId="14218" xr:uid="{B8D72A1F-8021-47FC-9097-99C1CE1AE0D5}"/>
    <cellStyle name="20% - Accent4 7 4" xfId="10000" xr:uid="{CEBC3EEE-8A12-4BD2-B306-6F335F3E05E2}"/>
    <cellStyle name="20% - Accent4 8" xfId="1875" xr:uid="{00000000-0005-0000-0000-00007A020000}"/>
    <cellStyle name="20% - Accent4 8 2" xfId="4104" xr:uid="{00000000-0005-0000-0000-00007B020000}"/>
    <cellStyle name="20% - Accent4 8 2 2" xfId="8326" xr:uid="{00000000-0005-0000-0000-00007C020000}"/>
    <cellStyle name="20% - Accent4 8 2 2 2" xfId="16776" xr:uid="{29147677-0678-4EB9-984E-B5A44992A52F}"/>
    <cellStyle name="20% - Accent4 8 2 3" xfId="12558" xr:uid="{F3F7FA2C-A90B-4C67-9CCB-381C09904D3E}"/>
    <cellStyle name="20% - Accent4 8 3" xfId="6181" xr:uid="{00000000-0005-0000-0000-00007D020000}"/>
    <cellStyle name="20% - Accent4 8 3 2" xfId="14631" xr:uid="{A6A22566-15E4-4E59-B6C4-54FF7B8F4531}"/>
    <cellStyle name="20% - Accent4 8 4" xfId="10413" xr:uid="{3489D2B1-6F55-40BD-ACC4-04D9A64A6C43}"/>
    <cellStyle name="20% - Accent4 9" xfId="2288" xr:uid="{00000000-0005-0000-0000-00007E020000}"/>
    <cellStyle name="20% - Accent4 9 2" xfId="6594" xr:uid="{00000000-0005-0000-0000-00007F020000}"/>
    <cellStyle name="20% - Accent4 9 2 2" xfId="15044" xr:uid="{1E97CE12-A8B5-405B-A214-5A23108F3B44}"/>
    <cellStyle name="20% - Accent4 9 3" xfId="10826" xr:uid="{5F11CB0D-A710-4588-85C8-21C9D8DB5DCD}"/>
    <cellStyle name="20% - Accent5" xfId="33" builtinId="46" customBuiltin="1"/>
    <cellStyle name="20% - Accent5 10" xfId="4536" xr:uid="{00000000-0005-0000-0000-000081020000}"/>
    <cellStyle name="20% - Accent5 10 2" xfId="12986" xr:uid="{E9DF99AE-C016-4052-BA52-A41A8D0F14E0}"/>
    <cellStyle name="20% - Accent5 11" xfId="8768" xr:uid="{B5A3224F-0913-4083-A83D-A3ED9676E466}"/>
    <cellStyle name="20% - Accent5 2" xfId="34" xr:uid="{00000000-0005-0000-0000-000082020000}"/>
    <cellStyle name="20% - Accent5 2 10" xfId="8769" xr:uid="{D4CD48CB-CAC5-40B2-A888-0B5C3427AED4}"/>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15548" xr:uid="{5B7DABA9-1EC3-438F-8B2E-9B5B8C330B90}"/>
    <cellStyle name="20% - Accent5 2 2 2 2 2 3" xfId="11330" xr:uid="{212EF32F-BAAE-4A69-A5D6-9F0BB40B09D7}"/>
    <cellStyle name="20% - Accent5 2 2 2 2 3" xfId="4953" xr:uid="{00000000-0005-0000-0000-000088020000}"/>
    <cellStyle name="20% - Accent5 2 2 2 2 3 2" xfId="13403" xr:uid="{A76D83A2-3D3F-4350-8283-ADB35022CBA0}"/>
    <cellStyle name="20% - Accent5 2 2 2 2 4" xfId="9185" xr:uid="{57EDD62B-A3C0-489B-ABD1-F40CE475325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15961" xr:uid="{BC8280EC-5906-4ECD-9331-270BAA7346BB}"/>
    <cellStyle name="20% - Accent5 2 2 2 3 2 3" xfId="11743" xr:uid="{E346CBBD-D018-4E56-920A-190DC4F6CB92}"/>
    <cellStyle name="20% - Accent5 2 2 2 3 3" xfId="5366" xr:uid="{00000000-0005-0000-0000-00008C020000}"/>
    <cellStyle name="20% - Accent5 2 2 2 3 3 2" xfId="13816" xr:uid="{A6435863-0C94-4DAA-A84C-42AFAD9FDF2D}"/>
    <cellStyle name="20% - Accent5 2 2 2 3 4" xfId="9598" xr:uid="{5ADB8F75-EF77-4257-AAA9-DD3DABA1E5F5}"/>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16374" xr:uid="{843BE812-3AD5-4909-BD2F-EE80CA5168C8}"/>
    <cellStyle name="20% - Accent5 2 2 2 4 2 3" xfId="12156" xr:uid="{CBA96640-C4CF-4ED1-BA8E-10E1722CC540}"/>
    <cellStyle name="20% - Accent5 2 2 2 4 3" xfId="5779" xr:uid="{00000000-0005-0000-0000-000090020000}"/>
    <cellStyle name="20% - Accent5 2 2 2 4 3 2" xfId="14229" xr:uid="{C3A98A48-B584-49D6-BA95-D101C71A3A97}"/>
    <cellStyle name="20% - Accent5 2 2 2 4 4" xfId="10011" xr:uid="{F3CB17F6-BF3E-47A6-8C4A-752EB2CEEE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16787" xr:uid="{76CEDCE9-E52B-4DED-AB61-4625F62AC37D}"/>
    <cellStyle name="20% - Accent5 2 2 2 5 2 3" xfId="12569" xr:uid="{1204CFFD-FCD5-4D77-903D-4EF67CC973DC}"/>
    <cellStyle name="20% - Accent5 2 2 2 5 3" xfId="6192" xr:uid="{00000000-0005-0000-0000-000094020000}"/>
    <cellStyle name="20% - Accent5 2 2 2 5 3 2" xfId="14642" xr:uid="{6CC18A3B-F9A1-4BF2-8212-68F1263A3B1E}"/>
    <cellStyle name="20% - Accent5 2 2 2 5 4" xfId="10424" xr:uid="{7285A9B3-5291-42B0-A63F-538BE53BB924}"/>
    <cellStyle name="20% - Accent5 2 2 2 6" xfId="2299" xr:uid="{00000000-0005-0000-0000-000095020000}"/>
    <cellStyle name="20% - Accent5 2 2 2 6 2" xfId="6605" xr:uid="{00000000-0005-0000-0000-000096020000}"/>
    <cellStyle name="20% - Accent5 2 2 2 6 2 2" xfId="15055" xr:uid="{8A4A023B-2406-4F28-A6B2-F18774F2890E}"/>
    <cellStyle name="20% - Accent5 2 2 2 6 3" xfId="10837" xr:uid="{F8FE3F5E-3807-4321-B289-1359304B01F7}"/>
    <cellStyle name="20% - Accent5 2 2 2 7" xfId="4539" xr:uid="{00000000-0005-0000-0000-000097020000}"/>
    <cellStyle name="20% - Accent5 2 2 2 7 2" xfId="12989" xr:uid="{6B34B33F-25CF-4C27-9375-D7784B2BCE4D}"/>
    <cellStyle name="20% - Accent5 2 2 2 8" xfId="8771" xr:uid="{7A45A8D9-6AE9-4CBB-8963-A9142BC22FA7}"/>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15547" xr:uid="{DEE52CFA-B4C4-4618-9910-E9D9CE39ECB7}"/>
    <cellStyle name="20% - Accent5 2 2 3 2 3" xfId="11329" xr:uid="{80A7C047-BB07-43A5-B673-D333A52A0F4C}"/>
    <cellStyle name="20% - Accent5 2 2 3 3" xfId="4952" xr:uid="{00000000-0005-0000-0000-00009B020000}"/>
    <cellStyle name="20% - Accent5 2 2 3 3 2" xfId="13402" xr:uid="{F465EB81-AF75-4A12-99CE-7757893AFDFF}"/>
    <cellStyle name="20% - Accent5 2 2 3 4" xfId="9184" xr:uid="{2C77488B-663C-4624-A2E2-73C2C43E8209}"/>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15960" xr:uid="{7FC6E86D-8425-47C7-A82A-8612EBCC5C09}"/>
    <cellStyle name="20% - Accent5 2 2 4 2 3" xfId="11742" xr:uid="{0E5FDAAA-0CB0-4884-81EB-5520DBC1C600}"/>
    <cellStyle name="20% - Accent5 2 2 4 3" xfId="5365" xr:uid="{00000000-0005-0000-0000-00009F020000}"/>
    <cellStyle name="20% - Accent5 2 2 4 3 2" xfId="13815" xr:uid="{61FCBCFE-180C-4239-896B-3A6F8F5A9B44}"/>
    <cellStyle name="20% - Accent5 2 2 4 4" xfId="9597" xr:uid="{E781792A-77C9-4D15-9E88-30067FA4E313}"/>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16373" xr:uid="{5D8F9A73-5278-4766-97ED-BBC4510833F9}"/>
    <cellStyle name="20% - Accent5 2 2 5 2 3" xfId="12155" xr:uid="{64DE46CF-6F01-4D68-A2FB-34C33BDA0B90}"/>
    <cellStyle name="20% - Accent5 2 2 5 3" xfId="5778" xr:uid="{00000000-0005-0000-0000-0000A3020000}"/>
    <cellStyle name="20% - Accent5 2 2 5 3 2" xfId="14228" xr:uid="{1D8A3452-DBF6-4E31-B3E2-DF7DFBD5C069}"/>
    <cellStyle name="20% - Accent5 2 2 5 4" xfId="10010" xr:uid="{25D0FF6D-48EB-4C5B-B301-943ED86A4FC4}"/>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16786" xr:uid="{714F1CD9-3C94-4277-A900-0D4507D34DA8}"/>
    <cellStyle name="20% - Accent5 2 2 6 2 3" xfId="12568" xr:uid="{FAB6C1FA-4106-482E-BFC3-B32D5995A581}"/>
    <cellStyle name="20% - Accent5 2 2 6 3" xfId="6191" xr:uid="{00000000-0005-0000-0000-0000A7020000}"/>
    <cellStyle name="20% - Accent5 2 2 6 3 2" xfId="14641" xr:uid="{44035063-DA4A-45EB-841B-649D277BFD04}"/>
    <cellStyle name="20% - Accent5 2 2 6 4" xfId="10423" xr:uid="{5D8B6FB4-6B8B-429C-9E1C-6B0F3A28F9D7}"/>
    <cellStyle name="20% - Accent5 2 2 7" xfId="2298" xr:uid="{00000000-0005-0000-0000-0000A8020000}"/>
    <cellStyle name="20% - Accent5 2 2 7 2" xfId="6604" xr:uid="{00000000-0005-0000-0000-0000A9020000}"/>
    <cellStyle name="20% - Accent5 2 2 7 2 2" xfId="15054" xr:uid="{0C6C168F-544C-4604-BC9B-07E853D4867D}"/>
    <cellStyle name="20% - Accent5 2 2 7 3" xfId="10836" xr:uid="{68C804BE-BFBF-4BA8-BF5B-6C8E2BC95665}"/>
    <cellStyle name="20% - Accent5 2 2 8" xfId="4538" xr:uid="{00000000-0005-0000-0000-0000AA020000}"/>
    <cellStyle name="20% - Accent5 2 2 8 2" xfId="12988" xr:uid="{6C7BFE94-80B3-42AD-B043-E348DE8C6C96}"/>
    <cellStyle name="20% - Accent5 2 2 9" xfId="8770" xr:uid="{A5650739-C27E-49DE-8B1C-186CAF3B70DF}"/>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15549" xr:uid="{1012ACAB-35E1-4229-9598-C602501C6A64}"/>
    <cellStyle name="20% - Accent5 2 3 2 2 3" xfId="11331" xr:uid="{09350991-6941-48AC-9FC3-E00A9747D222}"/>
    <cellStyle name="20% - Accent5 2 3 2 3" xfId="4954" xr:uid="{00000000-0005-0000-0000-0000AF020000}"/>
    <cellStyle name="20% - Accent5 2 3 2 3 2" xfId="13404" xr:uid="{001B5097-2D48-4596-9F75-794030D5F608}"/>
    <cellStyle name="20% - Accent5 2 3 2 4" xfId="9186" xr:uid="{218571BE-3B09-4B68-BF1A-07C70E72AF64}"/>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15962" xr:uid="{214D3C30-93E3-4C1E-877C-1DCCFBBFA898}"/>
    <cellStyle name="20% - Accent5 2 3 3 2 3" xfId="11744" xr:uid="{0ADEC563-B867-4CBE-962B-4F8E9EF4C09F}"/>
    <cellStyle name="20% - Accent5 2 3 3 3" xfId="5367" xr:uid="{00000000-0005-0000-0000-0000B3020000}"/>
    <cellStyle name="20% - Accent5 2 3 3 3 2" xfId="13817" xr:uid="{BC14483D-C191-4C40-8667-FD960B5B8B8C}"/>
    <cellStyle name="20% - Accent5 2 3 3 4" xfId="9599" xr:uid="{9440FE8E-56B6-4F85-9671-F32F51B65078}"/>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16375" xr:uid="{A9AC609B-C107-42CE-8B27-4D37459EA90D}"/>
    <cellStyle name="20% - Accent5 2 3 4 2 3" xfId="12157" xr:uid="{098EDD48-1BBD-4D1D-BC02-347B3A3893E5}"/>
    <cellStyle name="20% - Accent5 2 3 4 3" xfId="5780" xr:uid="{00000000-0005-0000-0000-0000B7020000}"/>
    <cellStyle name="20% - Accent5 2 3 4 3 2" xfId="14230" xr:uid="{C7ADE9B5-7DAF-4A5C-9FDD-0A9B1CD9C5D6}"/>
    <cellStyle name="20% - Accent5 2 3 4 4" xfId="10012" xr:uid="{00E07992-6686-4CBF-BCCE-EE55C8386AD0}"/>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16788" xr:uid="{9FF59CFF-167E-4CC6-8803-7316796251D9}"/>
    <cellStyle name="20% - Accent5 2 3 5 2 3" xfId="12570" xr:uid="{87E38F65-C78B-4BB3-A06B-F3BCF14AC74E}"/>
    <cellStyle name="20% - Accent5 2 3 5 3" xfId="6193" xr:uid="{00000000-0005-0000-0000-0000BB020000}"/>
    <cellStyle name="20% - Accent5 2 3 5 3 2" xfId="14643" xr:uid="{AC528731-4150-468B-BCC9-E5C5757F8085}"/>
    <cellStyle name="20% - Accent5 2 3 5 4" xfId="10425" xr:uid="{76F9CFB8-7252-4BE3-9897-7A1D3283765C}"/>
    <cellStyle name="20% - Accent5 2 3 6" xfId="2300" xr:uid="{00000000-0005-0000-0000-0000BC020000}"/>
    <cellStyle name="20% - Accent5 2 3 6 2" xfId="6606" xr:uid="{00000000-0005-0000-0000-0000BD020000}"/>
    <cellStyle name="20% - Accent5 2 3 6 2 2" xfId="15056" xr:uid="{1A805751-923B-43BD-B9A7-0D9632F3FE5A}"/>
    <cellStyle name="20% - Accent5 2 3 6 3" xfId="10838" xr:uid="{3CF8DA52-F287-407E-B50C-34B42A3EBC5A}"/>
    <cellStyle name="20% - Accent5 2 3 7" xfId="4540" xr:uid="{00000000-0005-0000-0000-0000BE020000}"/>
    <cellStyle name="20% - Accent5 2 3 7 2" xfId="12990" xr:uid="{CDB73217-BA9F-485B-A7C7-ACE706CC8B8B}"/>
    <cellStyle name="20% - Accent5 2 3 8" xfId="8772" xr:uid="{B4750F77-EB30-445A-83C1-D1EB6C48DCD4}"/>
    <cellStyle name="20% - Accent5 2 4" xfId="603" xr:uid="{00000000-0005-0000-0000-0000BF020000}"/>
    <cellStyle name="20% - Accent5 2 4 2" xfId="2874" xr:uid="{00000000-0005-0000-0000-0000C0020000}"/>
    <cellStyle name="20% - Accent5 2 4 2 2" xfId="7096" xr:uid="{00000000-0005-0000-0000-0000C1020000}"/>
    <cellStyle name="20% - Accent5 2 4 2 2 2" xfId="15546" xr:uid="{6525E4F7-9C28-47CF-927E-4099C1E0312D}"/>
    <cellStyle name="20% - Accent5 2 4 2 3" xfId="11328" xr:uid="{7E05CE9E-DC75-40CF-9DD1-4EBAAD6425E6}"/>
    <cellStyle name="20% - Accent5 2 4 3" xfId="4951" xr:uid="{00000000-0005-0000-0000-0000C2020000}"/>
    <cellStyle name="20% - Accent5 2 4 3 2" xfId="13401" xr:uid="{CD11BC85-A855-4D07-A350-77BC0A93AD96}"/>
    <cellStyle name="20% - Accent5 2 4 4" xfId="9183" xr:uid="{702572A4-AD59-4B0B-AFFA-47EC5CA5F219}"/>
    <cellStyle name="20% - Accent5 2 5" xfId="1056" xr:uid="{00000000-0005-0000-0000-0000C3020000}"/>
    <cellStyle name="20% - Accent5 2 5 2" xfId="3287" xr:uid="{00000000-0005-0000-0000-0000C4020000}"/>
    <cellStyle name="20% - Accent5 2 5 2 2" xfId="7509" xr:uid="{00000000-0005-0000-0000-0000C5020000}"/>
    <cellStyle name="20% - Accent5 2 5 2 2 2" xfId="15959" xr:uid="{66CCCFEC-3B32-4DC0-AFFF-C9D18577288A}"/>
    <cellStyle name="20% - Accent5 2 5 2 3" xfId="11741" xr:uid="{116CC5AD-E7CE-45EA-88C5-003BE8566C37}"/>
    <cellStyle name="20% - Accent5 2 5 3" xfId="5364" xr:uid="{00000000-0005-0000-0000-0000C6020000}"/>
    <cellStyle name="20% - Accent5 2 5 3 2" xfId="13814" xr:uid="{46AFAA97-00A2-45D6-9A27-10A96079872E}"/>
    <cellStyle name="20% - Accent5 2 5 4" xfId="9596" xr:uid="{3AB77472-F74E-4DF1-B4B5-47BED7C1EE77}"/>
    <cellStyle name="20% - Accent5 2 6" xfId="1470" xr:uid="{00000000-0005-0000-0000-0000C7020000}"/>
    <cellStyle name="20% - Accent5 2 6 2" xfId="3700" xr:uid="{00000000-0005-0000-0000-0000C8020000}"/>
    <cellStyle name="20% - Accent5 2 6 2 2" xfId="7922" xr:uid="{00000000-0005-0000-0000-0000C9020000}"/>
    <cellStyle name="20% - Accent5 2 6 2 2 2" xfId="16372" xr:uid="{6AEDD673-3834-446D-9A88-616E4DA1A043}"/>
    <cellStyle name="20% - Accent5 2 6 2 3" xfId="12154" xr:uid="{9773F7B4-418F-4336-9E9B-E04069CFC1D9}"/>
    <cellStyle name="20% - Accent5 2 6 3" xfId="5777" xr:uid="{00000000-0005-0000-0000-0000CA020000}"/>
    <cellStyle name="20% - Accent5 2 6 3 2" xfId="14227" xr:uid="{1B22CEF9-6094-4A53-B8D3-F704FB1AB932}"/>
    <cellStyle name="20% - Accent5 2 6 4" xfId="10009" xr:uid="{3DFF925E-1239-4724-A818-C8F48403F2DF}"/>
    <cellStyle name="20% - Accent5 2 7" xfId="1884" xr:uid="{00000000-0005-0000-0000-0000CB020000}"/>
    <cellStyle name="20% - Accent5 2 7 2" xfId="4113" xr:uid="{00000000-0005-0000-0000-0000CC020000}"/>
    <cellStyle name="20% - Accent5 2 7 2 2" xfId="8335" xr:uid="{00000000-0005-0000-0000-0000CD020000}"/>
    <cellStyle name="20% - Accent5 2 7 2 2 2" xfId="16785" xr:uid="{B69426C7-6F75-4CBD-906A-510259C1ACB1}"/>
    <cellStyle name="20% - Accent5 2 7 2 3" xfId="12567" xr:uid="{86E72616-03B0-4B40-9045-505BDAD777E4}"/>
    <cellStyle name="20% - Accent5 2 7 3" xfId="6190" xr:uid="{00000000-0005-0000-0000-0000CE020000}"/>
    <cellStyle name="20% - Accent5 2 7 3 2" xfId="14640" xr:uid="{D517BAEB-5F48-443D-BADC-8D3E49C8C7C8}"/>
    <cellStyle name="20% - Accent5 2 7 4" xfId="10422" xr:uid="{F16DC6E3-2D97-40C0-AB52-ADDF28304EA4}"/>
    <cellStyle name="20% - Accent5 2 8" xfId="2297" xr:uid="{00000000-0005-0000-0000-0000CF020000}"/>
    <cellStyle name="20% - Accent5 2 8 2" xfId="6603" xr:uid="{00000000-0005-0000-0000-0000D0020000}"/>
    <cellStyle name="20% - Accent5 2 8 2 2" xfId="15053" xr:uid="{F29F8EB7-A8D8-43D3-82DD-6F4391D52F0B}"/>
    <cellStyle name="20% - Accent5 2 8 3" xfId="10835" xr:uid="{7214CDEF-D08B-4C66-B1DE-5BD08ACEBF55}"/>
    <cellStyle name="20% - Accent5 2 9" xfId="4537" xr:uid="{00000000-0005-0000-0000-0000D1020000}"/>
    <cellStyle name="20% - Accent5 2 9 2" xfId="12987" xr:uid="{24F390CA-6A76-404B-B3B4-2138C5B903F5}"/>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15551" xr:uid="{04396A76-8B37-488A-AE2F-F44AD351D26F}"/>
    <cellStyle name="20% - Accent5 3 2 2 2 3" xfId="11333" xr:uid="{46C23544-692A-4D4A-B74C-A4416604977C}"/>
    <cellStyle name="20% - Accent5 3 2 2 3" xfId="4956" xr:uid="{00000000-0005-0000-0000-0000D7020000}"/>
    <cellStyle name="20% - Accent5 3 2 2 3 2" xfId="13406" xr:uid="{E34643B7-910D-40ED-BCB8-400570B537FB}"/>
    <cellStyle name="20% - Accent5 3 2 2 4" xfId="9188" xr:uid="{2745F8D4-84A7-49A5-BCD4-B7A518536957}"/>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15964" xr:uid="{ED3A21DB-998B-48DF-9C77-79D8E73EF4D6}"/>
    <cellStyle name="20% - Accent5 3 2 3 2 3" xfId="11746" xr:uid="{BE3D5899-E06D-40AC-98DB-D8436D1FD61F}"/>
    <cellStyle name="20% - Accent5 3 2 3 3" xfId="5369" xr:uid="{00000000-0005-0000-0000-0000DB020000}"/>
    <cellStyle name="20% - Accent5 3 2 3 3 2" xfId="13819" xr:uid="{9074ABB0-24C8-4BEE-83FA-2D5835353529}"/>
    <cellStyle name="20% - Accent5 3 2 3 4" xfId="9601" xr:uid="{B2C24C59-DBB7-4D26-8F0B-575732C48671}"/>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16377" xr:uid="{11C453EB-8EFD-4668-8B7E-0D499399E7D9}"/>
    <cellStyle name="20% - Accent5 3 2 4 2 3" xfId="12159" xr:uid="{76936890-E5A7-450B-95B4-8FA0D34F89E0}"/>
    <cellStyle name="20% - Accent5 3 2 4 3" xfId="5782" xr:uid="{00000000-0005-0000-0000-0000DF020000}"/>
    <cellStyle name="20% - Accent5 3 2 4 3 2" xfId="14232" xr:uid="{189431A7-A1D8-471E-B93F-1136EB624F56}"/>
    <cellStyle name="20% - Accent5 3 2 4 4" xfId="10014" xr:uid="{AE896850-8DC6-4D35-9CB8-84583D1F7786}"/>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16790" xr:uid="{976C8A9B-B7CA-4D5A-9714-BA1314F28949}"/>
    <cellStyle name="20% - Accent5 3 2 5 2 3" xfId="12572" xr:uid="{E7A0A54F-CED3-4704-AF93-EF1CBA513C46}"/>
    <cellStyle name="20% - Accent5 3 2 5 3" xfId="6195" xr:uid="{00000000-0005-0000-0000-0000E3020000}"/>
    <cellStyle name="20% - Accent5 3 2 5 3 2" xfId="14645" xr:uid="{78CBA498-C932-40A6-9F14-2D3AD0057C2B}"/>
    <cellStyle name="20% - Accent5 3 2 5 4" xfId="10427" xr:uid="{4299B6F8-D4C9-4ED8-BC48-7D0C17EECB81}"/>
    <cellStyle name="20% - Accent5 3 2 6" xfId="2302" xr:uid="{00000000-0005-0000-0000-0000E4020000}"/>
    <cellStyle name="20% - Accent5 3 2 6 2" xfId="6608" xr:uid="{00000000-0005-0000-0000-0000E5020000}"/>
    <cellStyle name="20% - Accent5 3 2 6 2 2" xfId="15058" xr:uid="{3ECF53C0-4C58-44F1-A512-2F4920CA3946}"/>
    <cellStyle name="20% - Accent5 3 2 6 3" xfId="10840" xr:uid="{010DB75D-C079-40C7-9AF2-3A99479A6899}"/>
    <cellStyle name="20% - Accent5 3 2 7" xfId="4542" xr:uid="{00000000-0005-0000-0000-0000E6020000}"/>
    <cellStyle name="20% - Accent5 3 2 7 2" xfId="12992" xr:uid="{395E673E-E086-4463-AFAB-1239B68BE01A}"/>
    <cellStyle name="20% - Accent5 3 2 8" xfId="8774" xr:uid="{BA3FBF8E-7F46-4717-B24D-C62C5CFC19D4}"/>
    <cellStyle name="20% - Accent5 3 3" xfId="607" xr:uid="{00000000-0005-0000-0000-0000E7020000}"/>
    <cellStyle name="20% - Accent5 3 3 2" xfId="2878" xr:uid="{00000000-0005-0000-0000-0000E8020000}"/>
    <cellStyle name="20% - Accent5 3 3 2 2" xfId="7100" xr:uid="{00000000-0005-0000-0000-0000E9020000}"/>
    <cellStyle name="20% - Accent5 3 3 2 2 2" xfId="15550" xr:uid="{DF9188CF-AAB3-4175-9AFD-596FD408E93C}"/>
    <cellStyle name="20% - Accent5 3 3 2 3" xfId="11332" xr:uid="{E7A884B5-243F-4E43-BF54-992682831F25}"/>
    <cellStyle name="20% - Accent5 3 3 3" xfId="4955" xr:uid="{00000000-0005-0000-0000-0000EA020000}"/>
    <cellStyle name="20% - Accent5 3 3 3 2" xfId="13405" xr:uid="{5D5FE8C0-6102-44C8-86A6-CBDF15B3456D}"/>
    <cellStyle name="20% - Accent5 3 3 4" xfId="9187" xr:uid="{1C116BB1-9841-4592-8DDA-568AA488EB5E}"/>
    <cellStyle name="20% - Accent5 3 4" xfId="1060" xr:uid="{00000000-0005-0000-0000-0000EB020000}"/>
    <cellStyle name="20% - Accent5 3 4 2" xfId="3291" xr:uid="{00000000-0005-0000-0000-0000EC020000}"/>
    <cellStyle name="20% - Accent5 3 4 2 2" xfId="7513" xr:uid="{00000000-0005-0000-0000-0000ED020000}"/>
    <cellStyle name="20% - Accent5 3 4 2 2 2" xfId="15963" xr:uid="{B10763F4-39FD-4719-9150-4D305D5C84E7}"/>
    <cellStyle name="20% - Accent5 3 4 2 3" xfId="11745" xr:uid="{DF6D7354-63C1-45ED-9B91-E27AD8807D09}"/>
    <cellStyle name="20% - Accent5 3 4 3" xfId="5368" xr:uid="{00000000-0005-0000-0000-0000EE020000}"/>
    <cellStyle name="20% - Accent5 3 4 3 2" xfId="13818" xr:uid="{C9E6D0DD-CCF3-4E61-9A5C-E2E2FF82EE82}"/>
    <cellStyle name="20% - Accent5 3 4 4" xfId="9600" xr:uid="{2CE5AF50-B8DD-43C5-BD1D-51C36522BC42}"/>
    <cellStyle name="20% - Accent5 3 5" xfId="1474" xr:uid="{00000000-0005-0000-0000-0000EF020000}"/>
    <cellStyle name="20% - Accent5 3 5 2" xfId="3704" xr:uid="{00000000-0005-0000-0000-0000F0020000}"/>
    <cellStyle name="20% - Accent5 3 5 2 2" xfId="7926" xr:uid="{00000000-0005-0000-0000-0000F1020000}"/>
    <cellStyle name="20% - Accent5 3 5 2 2 2" xfId="16376" xr:uid="{7094B596-DD0F-4943-AFF2-67DD2FF4F2C6}"/>
    <cellStyle name="20% - Accent5 3 5 2 3" xfId="12158" xr:uid="{A33D4167-BB45-4323-9D1B-0947FE33630B}"/>
    <cellStyle name="20% - Accent5 3 5 3" xfId="5781" xr:uid="{00000000-0005-0000-0000-0000F2020000}"/>
    <cellStyle name="20% - Accent5 3 5 3 2" xfId="14231" xr:uid="{153CA530-5610-4FFF-AA4C-6EDAFEF44F18}"/>
    <cellStyle name="20% - Accent5 3 5 4" xfId="10013" xr:uid="{9F59FB68-6245-41B3-818A-646C10696A73}"/>
    <cellStyle name="20% - Accent5 3 6" xfId="1888" xr:uid="{00000000-0005-0000-0000-0000F3020000}"/>
    <cellStyle name="20% - Accent5 3 6 2" xfId="4117" xr:uid="{00000000-0005-0000-0000-0000F4020000}"/>
    <cellStyle name="20% - Accent5 3 6 2 2" xfId="8339" xr:uid="{00000000-0005-0000-0000-0000F5020000}"/>
    <cellStyle name="20% - Accent5 3 6 2 2 2" xfId="16789" xr:uid="{C75D4E1F-48BB-4837-8470-285521AA3B03}"/>
    <cellStyle name="20% - Accent5 3 6 2 3" xfId="12571" xr:uid="{17D4C964-B8D8-4E0E-BB52-459035ADE2D7}"/>
    <cellStyle name="20% - Accent5 3 6 3" xfId="6194" xr:uid="{00000000-0005-0000-0000-0000F6020000}"/>
    <cellStyle name="20% - Accent5 3 6 3 2" xfId="14644" xr:uid="{1419C308-8A6A-41DE-BE62-C43E01B4FFF3}"/>
    <cellStyle name="20% - Accent5 3 6 4" xfId="10426" xr:uid="{10D1A0F0-A637-4C56-A1AC-AE3FD0CF1650}"/>
    <cellStyle name="20% - Accent5 3 7" xfId="2301" xr:uid="{00000000-0005-0000-0000-0000F7020000}"/>
    <cellStyle name="20% - Accent5 3 7 2" xfId="6607" xr:uid="{00000000-0005-0000-0000-0000F8020000}"/>
    <cellStyle name="20% - Accent5 3 7 2 2" xfId="15057" xr:uid="{00F39834-F805-4AA2-B9D5-BA468ABB4C0F}"/>
    <cellStyle name="20% - Accent5 3 7 3" xfId="10839" xr:uid="{EB69FD97-56C5-4C39-8980-4D35A66593F8}"/>
    <cellStyle name="20% - Accent5 3 8" xfId="4541" xr:uid="{00000000-0005-0000-0000-0000F9020000}"/>
    <cellStyle name="20% - Accent5 3 8 2" xfId="12991" xr:uid="{FE267FA3-6AF8-4A25-AC69-63FACC42FC5E}"/>
    <cellStyle name="20% - Accent5 3 9" xfId="8773" xr:uid="{6D43D620-3DD6-4B92-9C24-1EC54C8979B4}"/>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2 2 2" xfId="15552" xr:uid="{E7E9472B-78BE-4171-9328-75F634C9A3E3}"/>
    <cellStyle name="20% - Accent5 4 2 2 3" xfId="11334" xr:uid="{C88BF4D2-4A1D-413C-85E7-7228E81DEB4C}"/>
    <cellStyle name="20% - Accent5 4 2 3" xfId="4957" xr:uid="{00000000-0005-0000-0000-0000FE020000}"/>
    <cellStyle name="20% - Accent5 4 2 3 2" xfId="13407" xr:uid="{D85CC69E-707D-4B4B-8E00-9F82B1469EE2}"/>
    <cellStyle name="20% - Accent5 4 2 4" xfId="9189" xr:uid="{3E8E5E4A-CCB2-4A2F-B8C1-994B18DE153B}"/>
    <cellStyle name="20% - Accent5 4 3" xfId="1062" xr:uid="{00000000-0005-0000-0000-0000FF020000}"/>
    <cellStyle name="20% - Accent5 4 3 2" xfId="3293" xr:uid="{00000000-0005-0000-0000-000000030000}"/>
    <cellStyle name="20% - Accent5 4 3 2 2" xfId="7515" xr:uid="{00000000-0005-0000-0000-000001030000}"/>
    <cellStyle name="20% - Accent5 4 3 2 2 2" xfId="15965" xr:uid="{7E55060C-5417-4AA3-AB56-B654E39A8CE1}"/>
    <cellStyle name="20% - Accent5 4 3 2 3" xfId="11747" xr:uid="{8AAC9986-8268-4626-A54A-B56633ADF685}"/>
    <cellStyle name="20% - Accent5 4 3 3" xfId="5370" xr:uid="{00000000-0005-0000-0000-000002030000}"/>
    <cellStyle name="20% - Accent5 4 3 3 2" xfId="13820" xr:uid="{2BB6D51D-041F-4A70-A40A-C14008F528BA}"/>
    <cellStyle name="20% - Accent5 4 3 4" xfId="9602" xr:uid="{C62AB2BD-32D1-46E9-907A-2F252572CE43}"/>
    <cellStyle name="20% - Accent5 4 4" xfId="1476" xr:uid="{00000000-0005-0000-0000-000003030000}"/>
    <cellStyle name="20% - Accent5 4 4 2" xfId="3706" xr:uid="{00000000-0005-0000-0000-000004030000}"/>
    <cellStyle name="20% - Accent5 4 4 2 2" xfId="7928" xr:uid="{00000000-0005-0000-0000-000005030000}"/>
    <cellStyle name="20% - Accent5 4 4 2 2 2" xfId="16378" xr:uid="{F92F2C87-07DE-45FE-ADEC-C99FDC7E9592}"/>
    <cellStyle name="20% - Accent5 4 4 2 3" xfId="12160" xr:uid="{A9397155-49E9-4D4A-857A-B2A31D5FA26D}"/>
    <cellStyle name="20% - Accent5 4 4 3" xfId="5783" xr:uid="{00000000-0005-0000-0000-000006030000}"/>
    <cellStyle name="20% - Accent5 4 4 3 2" xfId="14233" xr:uid="{C158A2A3-BC39-481C-AD40-88E2361AFDC3}"/>
    <cellStyle name="20% - Accent5 4 4 4" xfId="10015" xr:uid="{9484D004-0C7D-40E9-ACEE-4082408E8F93}"/>
    <cellStyle name="20% - Accent5 4 5" xfId="1890" xr:uid="{00000000-0005-0000-0000-000007030000}"/>
    <cellStyle name="20% - Accent5 4 5 2" xfId="4119" xr:uid="{00000000-0005-0000-0000-000008030000}"/>
    <cellStyle name="20% - Accent5 4 5 2 2" xfId="8341" xr:uid="{00000000-0005-0000-0000-000009030000}"/>
    <cellStyle name="20% - Accent5 4 5 2 2 2" xfId="16791" xr:uid="{636570FC-57C8-46FE-B478-1311FF3144A6}"/>
    <cellStyle name="20% - Accent5 4 5 2 3" xfId="12573" xr:uid="{370A77B7-C35A-4BA5-B3DE-91C7D9EE8B7C}"/>
    <cellStyle name="20% - Accent5 4 5 3" xfId="6196" xr:uid="{00000000-0005-0000-0000-00000A030000}"/>
    <cellStyle name="20% - Accent5 4 5 3 2" xfId="14646" xr:uid="{B4A9331C-EE0D-463D-A867-44B2EED9635E}"/>
    <cellStyle name="20% - Accent5 4 5 4" xfId="10428" xr:uid="{EF9FFE3E-C620-422E-9435-74102A257237}"/>
    <cellStyle name="20% - Accent5 4 6" xfId="2303" xr:uid="{00000000-0005-0000-0000-00000B030000}"/>
    <cellStyle name="20% - Accent5 4 6 2" xfId="6609" xr:uid="{00000000-0005-0000-0000-00000C030000}"/>
    <cellStyle name="20% - Accent5 4 6 2 2" xfId="15059" xr:uid="{9019439A-87C8-4AD7-88B5-E4BB8B183F85}"/>
    <cellStyle name="20% - Accent5 4 6 3" xfId="10841" xr:uid="{33CD003C-B62A-49F4-A18E-A72BC8AA91BF}"/>
    <cellStyle name="20% - Accent5 4 7" xfId="4543" xr:uid="{00000000-0005-0000-0000-00000D030000}"/>
    <cellStyle name="20% - Accent5 4 7 2" xfId="12993" xr:uid="{C6156671-F881-4F28-9BA2-926462D67A01}"/>
    <cellStyle name="20% - Accent5 4 8" xfId="8775" xr:uid="{9DF91198-35D6-406C-BF03-2B961DE428B9}"/>
    <cellStyle name="20% - Accent5 5" xfId="602" xr:uid="{00000000-0005-0000-0000-00000E030000}"/>
    <cellStyle name="20% - Accent5 5 2" xfId="2873" xr:uid="{00000000-0005-0000-0000-00000F030000}"/>
    <cellStyle name="20% - Accent5 5 2 2" xfId="7095" xr:uid="{00000000-0005-0000-0000-000010030000}"/>
    <cellStyle name="20% - Accent5 5 2 2 2" xfId="15545" xr:uid="{FC8827D8-2E95-442E-87C1-3FC3AD05DDB5}"/>
    <cellStyle name="20% - Accent5 5 2 3" xfId="11327" xr:uid="{E39453D1-E943-46C6-8B17-CEDE773D25CD}"/>
    <cellStyle name="20% - Accent5 5 3" xfId="4950" xr:uid="{00000000-0005-0000-0000-000011030000}"/>
    <cellStyle name="20% - Accent5 5 3 2" xfId="13400" xr:uid="{FE122F64-B862-4B7B-B177-3C97F601A2AE}"/>
    <cellStyle name="20% - Accent5 5 4" xfId="9182" xr:uid="{B064E677-6A80-4499-B816-41B2FFD05290}"/>
    <cellStyle name="20% - Accent5 6" xfId="1055" xr:uid="{00000000-0005-0000-0000-000012030000}"/>
    <cellStyle name="20% - Accent5 6 2" xfId="3286" xr:uid="{00000000-0005-0000-0000-000013030000}"/>
    <cellStyle name="20% - Accent5 6 2 2" xfId="7508" xr:uid="{00000000-0005-0000-0000-000014030000}"/>
    <cellStyle name="20% - Accent5 6 2 2 2" xfId="15958" xr:uid="{14C17A1E-B739-4341-9D3E-ED7AD28C4C1F}"/>
    <cellStyle name="20% - Accent5 6 2 3" xfId="11740" xr:uid="{274C8F2F-3197-4847-964D-8647731A30DF}"/>
    <cellStyle name="20% - Accent5 6 3" xfId="5363" xr:uid="{00000000-0005-0000-0000-000015030000}"/>
    <cellStyle name="20% - Accent5 6 3 2" xfId="13813" xr:uid="{5C9838B9-C85B-4A9B-A2D1-32EBAE874287}"/>
    <cellStyle name="20% - Accent5 6 4" xfId="9595" xr:uid="{41C3796B-A2D5-4E1C-B8C1-0CE00CDC4987}"/>
    <cellStyle name="20% - Accent5 7" xfId="1469" xr:uid="{00000000-0005-0000-0000-000016030000}"/>
    <cellStyle name="20% - Accent5 7 2" xfId="3699" xr:uid="{00000000-0005-0000-0000-000017030000}"/>
    <cellStyle name="20% - Accent5 7 2 2" xfId="7921" xr:uid="{00000000-0005-0000-0000-000018030000}"/>
    <cellStyle name="20% - Accent5 7 2 2 2" xfId="16371" xr:uid="{E693EB4C-F31F-4E3A-A626-495652208DD9}"/>
    <cellStyle name="20% - Accent5 7 2 3" xfId="12153" xr:uid="{80560F77-A918-48C8-A3E2-2A2D4F526F5C}"/>
    <cellStyle name="20% - Accent5 7 3" xfId="5776" xr:uid="{00000000-0005-0000-0000-000019030000}"/>
    <cellStyle name="20% - Accent5 7 3 2" xfId="14226" xr:uid="{A7AF3957-B1F6-4493-828F-5D0123947C59}"/>
    <cellStyle name="20% - Accent5 7 4" xfId="10008" xr:uid="{997123E3-04AC-4D52-B711-FBC9DE1CF86E}"/>
    <cellStyle name="20% - Accent5 8" xfId="1883" xr:uid="{00000000-0005-0000-0000-00001A030000}"/>
    <cellStyle name="20% - Accent5 8 2" xfId="4112" xr:uid="{00000000-0005-0000-0000-00001B030000}"/>
    <cellStyle name="20% - Accent5 8 2 2" xfId="8334" xr:uid="{00000000-0005-0000-0000-00001C030000}"/>
    <cellStyle name="20% - Accent5 8 2 2 2" xfId="16784" xr:uid="{3AAAC152-E944-405A-A008-9B89B74F358E}"/>
    <cellStyle name="20% - Accent5 8 2 3" xfId="12566" xr:uid="{018DCEEB-AE8F-4241-B60B-171B09069929}"/>
    <cellStyle name="20% - Accent5 8 3" xfId="6189" xr:uid="{00000000-0005-0000-0000-00001D030000}"/>
    <cellStyle name="20% - Accent5 8 3 2" xfId="14639" xr:uid="{AD21A148-32A9-477C-92CC-58F070F2873F}"/>
    <cellStyle name="20% - Accent5 8 4" xfId="10421" xr:uid="{99F83F66-1B37-4503-A16F-19C827C7F219}"/>
    <cellStyle name="20% - Accent5 9" xfId="2296" xr:uid="{00000000-0005-0000-0000-00001E030000}"/>
    <cellStyle name="20% - Accent5 9 2" xfId="6602" xr:uid="{00000000-0005-0000-0000-00001F030000}"/>
    <cellStyle name="20% - Accent5 9 2 2" xfId="15052" xr:uid="{69DC0F0A-8E59-4CEB-9B48-7978D8DA0383}"/>
    <cellStyle name="20% - Accent5 9 3" xfId="10834" xr:uid="{42667D46-9BE9-4458-AB1C-BECE82B98FA1}"/>
    <cellStyle name="20% - Accent6" xfId="41" builtinId="50" customBuiltin="1"/>
    <cellStyle name="20% - Accent6 10" xfId="4544" xr:uid="{00000000-0005-0000-0000-000021030000}"/>
    <cellStyle name="20% - Accent6 10 2" xfId="12994" xr:uid="{D65ADD10-F19E-40ED-9C83-E866F44DCC5D}"/>
    <cellStyle name="20% - Accent6 11" xfId="8776" xr:uid="{18237AEF-5A9D-481F-9F4B-CAE662CE5EF9}"/>
    <cellStyle name="20% - Accent6 2" xfId="42" xr:uid="{00000000-0005-0000-0000-000022030000}"/>
    <cellStyle name="20% - Accent6 2 10" xfId="8777" xr:uid="{58BFF84F-1C4A-4333-B61D-CBAD0E337B21}"/>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15556" xr:uid="{83D217B0-1F45-4077-AACA-84C828962790}"/>
    <cellStyle name="20% - Accent6 2 2 2 2 2 3" xfId="11338" xr:uid="{ED075C7F-A10E-4048-B727-49095B9AB9A2}"/>
    <cellStyle name="20% - Accent6 2 2 2 2 3" xfId="4961" xr:uid="{00000000-0005-0000-0000-000028030000}"/>
    <cellStyle name="20% - Accent6 2 2 2 2 3 2" xfId="13411" xr:uid="{F9581746-FA61-43CE-A41F-B711D12AA64C}"/>
    <cellStyle name="20% - Accent6 2 2 2 2 4" xfId="9193" xr:uid="{95AB5796-3274-48D4-9F29-CC97CD4B3904}"/>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15969" xr:uid="{25414B48-F3E8-432D-8367-A49871BCCC67}"/>
    <cellStyle name="20% - Accent6 2 2 2 3 2 3" xfId="11751" xr:uid="{DBB263F6-5408-41A1-B80B-A1ED7ED155EB}"/>
    <cellStyle name="20% - Accent6 2 2 2 3 3" xfId="5374" xr:uid="{00000000-0005-0000-0000-00002C030000}"/>
    <cellStyle name="20% - Accent6 2 2 2 3 3 2" xfId="13824" xr:uid="{B349E7E4-EB5D-40E1-B5AD-C2571F8DB774}"/>
    <cellStyle name="20% - Accent6 2 2 2 3 4" xfId="9606" xr:uid="{B1781847-431C-45A0-89A4-56C70A92A5A5}"/>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16382" xr:uid="{0889BA67-25D1-4DE1-819D-4D15A182B42E}"/>
    <cellStyle name="20% - Accent6 2 2 2 4 2 3" xfId="12164" xr:uid="{0C5748F6-523A-4950-9ADB-2BC5BFE5C999}"/>
    <cellStyle name="20% - Accent6 2 2 2 4 3" xfId="5787" xr:uid="{00000000-0005-0000-0000-000030030000}"/>
    <cellStyle name="20% - Accent6 2 2 2 4 3 2" xfId="14237" xr:uid="{BDA11A8E-FAA2-4B58-835F-743F7B13BC34}"/>
    <cellStyle name="20% - Accent6 2 2 2 4 4" xfId="10019" xr:uid="{66FAF9D2-E9C4-4598-9683-5E88BE0CF0CA}"/>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16795" xr:uid="{36E98C4D-1629-49E5-B607-6362DED67B85}"/>
    <cellStyle name="20% - Accent6 2 2 2 5 2 3" xfId="12577" xr:uid="{16A319E5-7CA6-4E93-B385-3780D1847B2A}"/>
    <cellStyle name="20% - Accent6 2 2 2 5 3" xfId="6200" xr:uid="{00000000-0005-0000-0000-000034030000}"/>
    <cellStyle name="20% - Accent6 2 2 2 5 3 2" xfId="14650" xr:uid="{16926C4F-982D-44BA-A7F4-1DDA8C5606CF}"/>
    <cellStyle name="20% - Accent6 2 2 2 5 4" xfId="10432" xr:uid="{A20BEAF7-DBB9-4447-9B50-C3FAEEE9B5FB}"/>
    <cellStyle name="20% - Accent6 2 2 2 6" xfId="2307" xr:uid="{00000000-0005-0000-0000-000035030000}"/>
    <cellStyle name="20% - Accent6 2 2 2 6 2" xfId="6613" xr:uid="{00000000-0005-0000-0000-000036030000}"/>
    <cellStyle name="20% - Accent6 2 2 2 6 2 2" xfId="15063" xr:uid="{4A98C797-E891-4443-92FA-493C6ACC40B5}"/>
    <cellStyle name="20% - Accent6 2 2 2 6 3" xfId="10845" xr:uid="{F3AF03DC-A5B1-4EE6-9B33-D741CD503C01}"/>
    <cellStyle name="20% - Accent6 2 2 2 7" xfId="4547" xr:uid="{00000000-0005-0000-0000-000037030000}"/>
    <cellStyle name="20% - Accent6 2 2 2 7 2" xfId="12997" xr:uid="{7945901D-8F65-4AAF-9444-9AE4C0EEFF17}"/>
    <cellStyle name="20% - Accent6 2 2 2 8" xfId="8779" xr:uid="{694F4D11-39D6-4C53-AF70-9F29534909BB}"/>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15555" xr:uid="{AC8D034D-1790-406E-9010-C83D1B9BF36C}"/>
    <cellStyle name="20% - Accent6 2 2 3 2 3" xfId="11337" xr:uid="{F1221426-A3E3-4281-AA9C-EA68C62186C2}"/>
    <cellStyle name="20% - Accent6 2 2 3 3" xfId="4960" xr:uid="{00000000-0005-0000-0000-00003B030000}"/>
    <cellStyle name="20% - Accent6 2 2 3 3 2" xfId="13410" xr:uid="{B0FFF827-DDBE-41B2-AB85-7EF1FD57CF9D}"/>
    <cellStyle name="20% - Accent6 2 2 3 4" xfId="9192" xr:uid="{14584A7D-2EBD-4C4B-86F4-86918FC8EE07}"/>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15968" xr:uid="{223151A6-BD80-488B-AD3F-F29F352FF302}"/>
    <cellStyle name="20% - Accent6 2 2 4 2 3" xfId="11750" xr:uid="{E25E69F7-A339-4E80-9D2E-F982CB7EB9FB}"/>
    <cellStyle name="20% - Accent6 2 2 4 3" xfId="5373" xr:uid="{00000000-0005-0000-0000-00003F030000}"/>
    <cellStyle name="20% - Accent6 2 2 4 3 2" xfId="13823" xr:uid="{E6682C7A-4095-4202-8F66-224AB7AE9621}"/>
    <cellStyle name="20% - Accent6 2 2 4 4" xfId="9605" xr:uid="{D340AD7D-8003-4A20-91B2-971B4D3EE3CD}"/>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16381" xr:uid="{0ED7EAA9-DA45-40C5-ABB1-F5F5F7998DBA}"/>
    <cellStyle name="20% - Accent6 2 2 5 2 3" xfId="12163" xr:uid="{A6BC7CFF-BBD9-4657-BC7B-EFEC236CEF45}"/>
    <cellStyle name="20% - Accent6 2 2 5 3" xfId="5786" xr:uid="{00000000-0005-0000-0000-000043030000}"/>
    <cellStyle name="20% - Accent6 2 2 5 3 2" xfId="14236" xr:uid="{51815CCF-523F-4B97-9E79-404FF25CAA10}"/>
    <cellStyle name="20% - Accent6 2 2 5 4" xfId="10018" xr:uid="{FA506F36-7420-44E1-86A1-9AC00CD23180}"/>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16794" xr:uid="{05DE030D-37D0-4ED3-8C52-C5754C1D969E}"/>
    <cellStyle name="20% - Accent6 2 2 6 2 3" xfId="12576" xr:uid="{B8964FF0-4C86-4710-9E53-D4FE2EB09E6B}"/>
    <cellStyle name="20% - Accent6 2 2 6 3" xfId="6199" xr:uid="{00000000-0005-0000-0000-000047030000}"/>
    <cellStyle name="20% - Accent6 2 2 6 3 2" xfId="14649" xr:uid="{4C0E3FA6-789E-46F9-B277-27CFBB460D97}"/>
    <cellStyle name="20% - Accent6 2 2 6 4" xfId="10431" xr:uid="{9B1B513C-6533-45B4-9562-E27D42539617}"/>
    <cellStyle name="20% - Accent6 2 2 7" xfId="2306" xr:uid="{00000000-0005-0000-0000-000048030000}"/>
    <cellStyle name="20% - Accent6 2 2 7 2" xfId="6612" xr:uid="{00000000-0005-0000-0000-000049030000}"/>
    <cellStyle name="20% - Accent6 2 2 7 2 2" xfId="15062" xr:uid="{80E41B8D-AEC6-4E37-91FA-D9730E9F64C9}"/>
    <cellStyle name="20% - Accent6 2 2 7 3" xfId="10844" xr:uid="{7BC69B95-3F25-4B02-9231-3C92E69DD1CD}"/>
    <cellStyle name="20% - Accent6 2 2 8" xfId="4546" xr:uid="{00000000-0005-0000-0000-00004A030000}"/>
    <cellStyle name="20% - Accent6 2 2 8 2" xfId="12996" xr:uid="{3536D16F-1E7C-4565-B195-25EE86DFF952}"/>
    <cellStyle name="20% - Accent6 2 2 9" xfId="8778" xr:uid="{0A566208-5CCC-43A4-A1F8-17CCB5592D4C}"/>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15557" xr:uid="{450194C6-ABAE-4DA2-AE80-51858695930F}"/>
    <cellStyle name="20% - Accent6 2 3 2 2 3" xfId="11339" xr:uid="{5EC60EA4-EA3D-41EF-8330-D22534C5501E}"/>
    <cellStyle name="20% - Accent6 2 3 2 3" xfId="4962" xr:uid="{00000000-0005-0000-0000-00004F030000}"/>
    <cellStyle name="20% - Accent6 2 3 2 3 2" xfId="13412" xr:uid="{B3D8ECDA-0E3C-43A6-A2AE-4A0294C8E9E2}"/>
    <cellStyle name="20% - Accent6 2 3 2 4" xfId="9194" xr:uid="{CB4FA616-E142-4E06-94F9-CF7E23A151D6}"/>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15970" xr:uid="{798A1F5B-3A03-4FCF-90D1-705C471309DF}"/>
    <cellStyle name="20% - Accent6 2 3 3 2 3" xfId="11752" xr:uid="{8538EE32-F301-49DD-8A5C-A66549E48680}"/>
    <cellStyle name="20% - Accent6 2 3 3 3" xfId="5375" xr:uid="{00000000-0005-0000-0000-000053030000}"/>
    <cellStyle name="20% - Accent6 2 3 3 3 2" xfId="13825" xr:uid="{E9EF6471-F8E6-4065-83A4-B7137D04F543}"/>
    <cellStyle name="20% - Accent6 2 3 3 4" xfId="9607" xr:uid="{9D05242F-5761-4BAE-B418-0AE8631AB0C7}"/>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16383" xr:uid="{72295515-0EB2-45B5-877B-780BD12540C5}"/>
    <cellStyle name="20% - Accent6 2 3 4 2 3" xfId="12165" xr:uid="{D2DF8E69-CA79-4A65-BF70-AFB21920774E}"/>
    <cellStyle name="20% - Accent6 2 3 4 3" xfId="5788" xr:uid="{00000000-0005-0000-0000-000057030000}"/>
    <cellStyle name="20% - Accent6 2 3 4 3 2" xfId="14238" xr:uid="{22769F78-3F2F-406E-8413-AF4803013E69}"/>
    <cellStyle name="20% - Accent6 2 3 4 4" xfId="10020" xr:uid="{06F3D2B5-EB0E-4275-A5F5-0F05EDA57168}"/>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16796" xr:uid="{26461723-22A3-4C1B-8793-9970AA1D592E}"/>
    <cellStyle name="20% - Accent6 2 3 5 2 3" xfId="12578" xr:uid="{C5C524FA-8BE4-4913-832A-3B53ABDF724C}"/>
    <cellStyle name="20% - Accent6 2 3 5 3" xfId="6201" xr:uid="{00000000-0005-0000-0000-00005B030000}"/>
    <cellStyle name="20% - Accent6 2 3 5 3 2" xfId="14651" xr:uid="{80357C99-EDE9-442C-B26A-6B06D0FFAF1F}"/>
    <cellStyle name="20% - Accent6 2 3 5 4" xfId="10433" xr:uid="{188407CE-E9D9-4963-8DB6-17915F0CE708}"/>
    <cellStyle name="20% - Accent6 2 3 6" xfId="2308" xr:uid="{00000000-0005-0000-0000-00005C030000}"/>
    <cellStyle name="20% - Accent6 2 3 6 2" xfId="6614" xr:uid="{00000000-0005-0000-0000-00005D030000}"/>
    <cellStyle name="20% - Accent6 2 3 6 2 2" xfId="15064" xr:uid="{BFCD6816-4B00-4266-8B3A-5F028EF641A4}"/>
    <cellStyle name="20% - Accent6 2 3 6 3" xfId="10846" xr:uid="{301226D1-605F-446B-B84B-4A3816E719B7}"/>
    <cellStyle name="20% - Accent6 2 3 7" xfId="4548" xr:uid="{00000000-0005-0000-0000-00005E030000}"/>
    <cellStyle name="20% - Accent6 2 3 7 2" xfId="12998" xr:uid="{4F61B906-86F6-4C02-ADB2-74C20AFE7DA0}"/>
    <cellStyle name="20% - Accent6 2 3 8" xfId="8780" xr:uid="{57F37123-CD80-46AB-A0FB-A1C82737D18E}"/>
    <cellStyle name="20% - Accent6 2 4" xfId="611" xr:uid="{00000000-0005-0000-0000-00005F030000}"/>
    <cellStyle name="20% - Accent6 2 4 2" xfId="2882" xr:uid="{00000000-0005-0000-0000-000060030000}"/>
    <cellStyle name="20% - Accent6 2 4 2 2" xfId="7104" xr:uid="{00000000-0005-0000-0000-000061030000}"/>
    <cellStyle name="20% - Accent6 2 4 2 2 2" xfId="15554" xr:uid="{6FEEFF67-5361-4720-B726-8ACDF33D0C37}"/>
    <cellStyle name="20% - Accent6 2 4 2 3" xfId="11336" xr:uid="{A33441C6-E5D5-4578-AC6F-1BFE2BD62870}"/>
    <cellStyle name="20% - Accent6 2 4 3" xfId="4959" xr:uid="{00000000-0005-0000-0000-000062030000}"/>
    <cellStyle name="20% - Accent6 2 4 3 2" xfId="13409" xr:uid="{8145DDF6-75AE-40D0-ADCA-7646DFEF59EC}"/>
    <cellStyle name="20% - Accent6 2 4 4" xfId="9191" xr:uid="{B7EEBDCD-3979-475C-878F-A25862F06C03}"/>
    <cellStyle name="20% - Accent6 2 5" xfId="1064" xr:uid="{00000000-0005-0000-0000-000063030000}"/>
    <cellStyle name="20% - Accent6 2 5 2" xfId="3295" xr:uid="{00000000-0005-0000-0000-000064030000}"/>
    <cellStyle name="20% - Accent6 2 5 2 2" xfId="7517" xr:uid="{00000000-0005-0000-0000-000065030000}"/>
    <cellStyle name="20% - Accent6 2 5 2 2 2" xfId="15967" xr:uid="{AB79675A-572E-43B8-A857-CDA0E3C4D9C8}"/>
    <cellStyle name="20% - Accent6 2 5 2 3" xfId="11749" xr:uid="{045AEDFA-4407-4585-AD3D-9A1216209744}"/>
    <cellStyle name="20% - Accent6 2 5 3" xfId="5372" xr:uid="{00000000-0005-0000-0000-000066030000}"/>
    <cellStyle name="20% - Accent6 2 5 3 2" xfId="13822" xr:uid="{93E973DC-9888-4D4F-AD12-FF36B1387711}"/>
    <cellStyle name="20% - Accent6 2 5 4" xfId="9604" xr:uid="{00EDA52C-737A-4976-AD7D-99C83E4EAAE1}"/>
    <cellStyle name="20% - Accent6 2 6" xfId="1478" xr:uid="{00000000-0005-0000-0000-000067030000}"/>
    <cellStyle name="20% - Accent6 2 6 2" xfId="3708" xr:uid="{00000000-0005-0000-0000-000068030000}"/>
    <cellStyle name="20% - Accent6 2 6 2 2" xfId="7930" xr:uid="{00000000-0005-0000-0000-000069030000}"/>
    <cellStyle name="20% - Accent6 2 6 2 2 2" xfId="16380" xr:uid="{DFA5324D-F3E9-4412-A289-3EBA9336BA41}"/>
    <cellStyle name="20% - Accent6 2 6 2 3" xfId="12162" xr:uid="{AD275E1B-6F79-47F9-9E1F-96AC9B12E314}"/>
    <cellStyle name="20% - Accent6 2 6 3" xfId="5785" xr:uid="{00000000-0005-0000-0000-00006A030000}"/>
    <cellStyle name="20% - Accent6 2 6 3 2" xfId="14235" xr:uid="{A7405E54-5349-4DC1-BEAF-DD31D5A9167D}"/>
    <cellStyle name="20% - Accent6 2 6 4" xfId="10017" xr:uid="{2E3A9FD3-6EBF-4473-A353-EDBB9881AB9C}"/>
    <cellStyle name="20% - Accent6 2 7" xfId="1892" xr:uid="{00000000-0005-0000-0000-00006B030000}"/>
    <cellStyle name="20% - Accent6 2 7 2" xfId="4121" xr:uid="{00000000-0005-0000-0000-00006C030000}"/>
    <cellStyle name="20% - Accent6 2 7 2 2" xfId="8343" xr:uid="{00000000-0005-0000-0000-00006D030000}"/>
    <cellStyle name="20% - Accent6 2 7 2 2 2" xfId="16793" xr:uid="{1073E061-3EC9-4065-AAF9-C89DA21E151C}"/>
    <cellStyle name="20% - Accent6 2 7 2 3" xfId="12575" xr:uid="{F8F009C4-ED68-4B43-8ACD-344835B5F95E}"/>
    <cellStyle name="20% - Accent6 2 7 3" xfId="6198" xr:uid="{00000000-0005-0000-0000-00006E030000}"/>
    <cellStyle name="20% - Accent6 2 7 3 2" xfId="14648" xr:uid="{6153E2B5-B741-4116-8F3A-6D76E0EC8CC8}"/>
    <cellStyle name="20% - Accent6 2 7 4" xfId="10430" xr:uid="{5BFABD7F-306E-4907-AAD6-8BCCE9FE8A70}"/>
    <cellStyle name="20% - Accent6 2 8" xfId="2305" xr:uid="{00000000-0005-0000-0000-00006F030000}"/>
    <cellStyle name="20% - Accent6 2 8 2" xfId="6611" xr:uid="{00000000-0005-0000-0000-000070030000}"/>
    <cellStyle name="20% - Accent6 2 8 2 2" xfId="15061" xr:uid="{6DC9FC82-2C4C-459E-B013-4DA37CC83C95}"/>
    <cellStyle name="20% - Accent6 2 8 3" xfId="10843" xr:uid="{5ED2908C-A897-4112-AB50-14D99BCFF270}"/>
    <cellStyle name="20% - Accent6 2 9" xfId="4545" xr:uid="{00000000-0005-0000-0000-000071030000}"/>
    <cellStyle name="20% - Accent6 2 9 2" xfId="12995" xr:uid="{03BC5C2A-AA6D-46A8-84E5-7BC49A3EBC8C}"/>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15559" xr:uid="{CA3277A6-3CEC-4383-8F46-A3E632772E10}"/>
    <cellStyle name="20% - Accent6 3 2 2 2 3" xfId="11341" xr:uid="{A4FA0224-EE09-48E1-B4F9-58EE16AB1D16}"/>
    <cellStyle name="20% - Accent6 3 2 2 3" xfId="4964" xr:uid="{00000000-0005-0000-0000-000077030000}"/>
    <cellStyle name="20% - Accent6 3 2 2 3 2" xfId="13414" xr:uid="{8C6D242A-2265-461D-9860-922C0D56B54C}"/>
    <cellStyle name="20% - Accent6 3 2 2 4" xfId="9196" xr:uid="{935D6048-193E-4026-AF60-6CC7D195FA87}"/>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15972" xr:uid="{AD700F6F-2DB6-4E95-94B6-2B5DE4C88419}"/>
    <cellStyle name="20% - Accent6 3 2 3 2 3" xfId="11754" xr:uid="{351E0B88-8163-4CF9-B403-24E76884D03B}"/>
    <cellStyle name="20% - Accent6 3 2 3 3" xfId="5377" xr:uid="{00000000-0005-0000-0000-00007B030000}"/>
    <cellStyle name="20% - Accent6 3 2 3 3 2" xfId="13827" xr:uid="{3408C41F-220C-400F-93CF-D7945FBBDFB0}"/>
    <cellStyle name="20% - Accent6 3 2 3 4" xfId="9609" xr:uid="{26906E77-6C55-45DC-A2C6-24EE14711F0F}"/>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16385" xr:uid="{B81131BB-12E0-42B5-8770-4A602E49B831}"/>
    <cellStyle name="20% - Accent6 3 2 4 2 3" xfId="12167" xr:uid="{DE603DD5-58EE-4DC7-B070-D4331689FA2D}"/>
    <cellStyle name="20% - Accent6 3 2 4 3" xfId="5790" xr:uid="{00000000-0005-0000-0000-00007F030000}"/>
    <cellStyle name="20% - Accent6 3 2 4 3 2" xfId="14240" xr:uid="{8A2A13DF-4099-4286-B6A0-3C47B72D6CC6}"/>
    <cellStyle name="20% - Accent6 3 2 4 4" xfId="10022" xr:uid="{3C4374F9-F07E-4CF4-B0D4-C1F96D818114}"/>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16798" xr:uid="{6DF607AC-2DA8-450E-A5B4-81BE425ED140}"/>
    <cellStyle name="20% - Accent6 3 2 5 2 3" xfId="12580" xr:uid="{A828AEB7-AADE-49F2-9787-AC35A86F1B9E}"/>
    <cellStyle name="20% - Accent6 3 2 5 3" xfId="6203" xr:uid="{00000000-0005-0000-0000-000083030000}"/>
    <cellStyle name="20% - Accent6 3 2 5 3 2" xfId="14653" xr:uid="{3EBE896F-6BAB-4828-A270-BDEED71F286F}"/>
    <cellStyle name="20% - Accent6 3 2 5 4" xfId="10435" xr:uid="{5050BB16-B653-4A0B-9EB0-2E2A7FE16540}"/>
    <cellStyle name="20% - Accent6 3 2 6" xfId="2310" xr:uid="{00000000-0005-0000-0000-000084030000}"/>
    <cellStyle name="20% - Accent6 3 2 6 2" xfId="6616" xr:uid="{00000000-0005-0000-0000-000085030000}"/>
    <cellStyle name="20% - Accent6 3 2 6 2 2" xfId="15066" xr:uid="{64AAB8F0-4E9A-4B6F-ADEC-E3509F5879FB}"/>
    <cellStyle name="20% - Accent6 3 2 6 3" xfId="10848" xr:uid="{A0DE2B02-39C5-477F-AA74-697F455D075F}"/>
    <cellStyle name="20% - Accent6 3 2 7" xfId="4550" xr:uid="{00000000-0005-0000-0000-000086030000}"/>
    <cellStyle name="20% - Accent6 3 2 7 2" xfId="13000" xr:uid="{C7390495-1081-434E-B8C2-27A61BF7CE88}"/>
    <cellStyle name="20% - Accent6 3 2 8" xfId="8782" xr:uid="{F4276CBE-1232-4584-9F34-3627D7180E6D}"/>
    <cellStyle name="20% - Accent6 3 3" xfId="615" xr:uid="{00000000-0005-0000-0000-000087030000}"/>
    <cellStyle name="20% - Accent6 3 3 2" xfId="2886" xr:uid="{00000000-0005-0000-0000-000088030000}"/>
    <cellStyle name="20% - Accent6 3 3 2 2" xfId="7108" xr:uid="{00000000-0005-0000-0000-000089030000}"/>
    <cellStyle name="20% - Accent6 3 3 2 2 2" xfId="15558" xr:uid="{03AB0501-2106-45B0-A9FD-32E1352D80A7}"/>
    <cellStyle name="20% - Accent6 3 3 2 3" xfId="11340" xr:uid="{18094CA3-9810-4B53-8938-49A63264F6D1}"/>
    <cellStyle name="20% - Accent6 3 3 3" xfId="4963" xr:uid="{00000000-0005-0000-0000-00008A030000}"/>
    <cellStyle name="20% - Accent6 3 3 3 2" xfId="13413" xr:uid="{6F94E231-B3F6-43AD-BB95-0FC22259CBA1}"/>
    <cellStyle name="20% - Accent6 3 3 4" xfId="9195" xr:uid="{45A2327B-1735-4C43-BDE2-1C450A371848}"/>
    <cellStyle name="20% - Accent6 3 4" xfId="1068" xr:uid="{00000000-0005-0000-0000-00008B030000}"/>
    <cellStyle name="20% - Accent6 3 4 2" xfId="3299" xr:uid="{00000000-0005-0000-0000-00008C030000}"/>
    <cellStyle name="20% - Accent6 3 4 2 2" xfId="7521" xr:uid="{00000000-0005-0000-0000-00008D030000}"/>
    <cellStyle name="20% - Accent6 3 4 2 2 2" xfId="15971" xr:uid="{7AE7026A-7DEC-4186-A24F-B0FF4F489C90}"/>
    <cellStyle name="20% - Accent6 3 4 2 3" xfId="11753" xr:uid="{B679DACA-0B85-4AE9-8AE6-696E67CE7025}"/>
    <cellStyle name="20% - Accent6 3 4 3" xfId="5376" xr:uid="{00000000-0005-0000-0000-00008E030000}"/>
    <cellStyle name="20% - Accent6 3 4 3 2" xfId="13826" xr:uid="{F58443DE-31C9-42DC-928B-D702BD2565A9}"/>
    <cellStyle name="20% - Accent6 3 4 4" xfId="9608" xr:uid="{4F84D758-2240-42C8-AEBC-2C7705917D6D}"/>
    <cellStyle name="20% - Accent6 3 5" xfId="1482" xr:uid="{00000000-0005-0000-0000-00008F030000}"/>
    <cellStyle name="20% - Accent6 3 5 2" xfId="3712" xr:uid="{00000000-0005-0000-0000-000090030000}"/>
    <cellStyle name="20% - Accent6 3 5 2 2" xfId="7934" xr:uid="{00000000-0005-0000-0000-000091030000}"/>
    <cellStyle name="20% - Accent6 3 5 2 2 2" xfId="16384" xr:uid="{F494D6AF-52B0-41C9-83B5-866E70F0172D}"/>
    <cellStyle name="20% - Accent6 3 5 2 3" xfId="12166" xr:uid="{0D2E01B0-94DB-4641-9459-B885DD913AC1}"/>
    <cellStyle name="20% - Accent6 3 5 3" xfId="5789" xr:uid="{00000000-0005-0000-0000-000092030000}"/>
    <cellStyle name="20% - Accent6 3 5 3 2" xfId="14239" xr:uid="{EC88D645-A6A7-439B-BFCF-AB3128B7213A}"/>
    <cellStyle name="20% - Accent6 3 5 4" xfId="10021" xr:uid="{EB67AD87-61E6-4FAB-98CE-247BA6F60040}"/>
    <cellStyle name="20% - Accent6 3 6" xfId="1896" xr:uid="{00000000-0005-0000-0000-000093030000}"/>
    <cellStyle name="20% - Accent6 3 6 2" xfId="4125" xr:uid="{00000000-0005-0000-0000-000094030000}"/>
    <cellStyle name="20% - Accent6 3 6 2 2" xfId="8347" xr:uid="{00000000-0005-0000-0000-000095030000}"/>
    <cellStyle name="20% - Accent6 3 6 2 2 2" xfId="16797" xr:uid="{DFA65035-DBD4-4919-94AD-DB30AC25999E}"/>
    <cellStyle name="20% - Accent6 3 6 2 3" xfId="12579" xr:uid="{3F41498D-FB2F-4B99-82F9-4D8B3A4B7885}"/>
    <cellStyle name="20% - Accent6 3 6 3" xfId="6202" xr:uid="{00000000-0005-0000-0000-000096030000}"/>
    <cellStyle name="20% - Accent6 3 6 3 2" xfId="14652" xr:uid="{F33F7A7C-B5B7-40C8-93AC-8A0CF02A63F2}"/>
    <cellStyle name="20% - Accent6 3 6 4" xfId="10434" xr:uid="{BC7096A3-4BC5-465B-B9A7-604759BF422F}"/>
    <cellStyle name="20% - Accent6 3 7" xfId="2309" xr:uid="{00000000-0005-0000-0000-000097030000}"/>
    <cellStyle name="20% - Accent6 3 7 2" xfId="6615" xr:uid="{00000000-0005-0000-0000-000098030000}"/>
    <cellStyle name="20% - Accent6 3 7 2 2" xfId="15065" xr:uid="{49E63995-A849-439E-BC8C-2519DEA1CAC9}"/>
    <cellStyle name="20% - Accent6 3 7 3" xfId="10847" xr:uid="{949F2B39-0539-4470-AABA-9334E4B306A0}"/>
    <cellStyle name="20% - Accent6 3 8" xfId="4549" xr:uid="{00000000-0005-0000-0000-000099030000}"/>
    <cellStyle name="20% - Accent6 3 8 2" xfId="12999" xr:uid="{C40EF330-366B-438D-B02A-0628A72E3EE8}"/>
    <cellStyle name="20% - Accent6 3 9" xfId="8781" xr:uid="{39FEE9B1-9E00-409D-ACBE-41961BF84564}"/>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2 2 2" xfId="15560" xr:uid="{F0DAEDE3-3FCB-4BBD-A310-828511D5CB0D}"/>
    <cellStyle name="20% - Accent6 4 2 2 3" xfId="11342" xr:uid="{191D3E5D-4674-4F69-95DB-7BBC418D2202}"/>
    <cellStyle name="20% - Accent6 4 2 3" xfId="4965" xr:uid="{00000000-0005-0000-0000-00009E030000}"/>
    <cellStyle name="20% - Accent6 4 2 3 2" xfId="13415" xr:uid="{83AC8626-BF37-4437-A6E8-DB93DCDE2051}"/>
    <cellStyle name="20% - Accent6 4 2 4" xfId="9197" xr:uid="{5C0D8D5F-02D3-4460-9500-3FBE8C4C6239}"/>
    <cellStyle name="20% - Accent6 4 3" xfId="1070" xr:uid="{00000000-0005-0000-0000-00009F030000}"/>
    <cellStyle name="20% - Accent6 4 3 2" xfId="3301" xr:uid="{00000000-0005-0000-0000-0000A0030000}"/>
    <cellStyle name="20% - Accent6 4 3 2 2" xfId="7523" xr:uid="{00000000-0005-0000-0000-0000A1030000}"/>
    <cellStyle name="20% - Accent6 4 3 2 2 2" xfId="15973" xr:uid="{A0083ACB-CACC-4F27-8A69-9F16E918AE4B}"/>
    <cellStyle name="20% - Accent6 4 3 2 3" xfId="11755" xr:uid="{28308E88-7283-4171-B63D-262BED3F2E92}"/>
    <cellStyle name="20% - Accent6 4 3 3" xfId="5378" xr:uid="{00000000-0005-0000-0000-0000A2030000}"/>
    <cellStyle name="20% - Accent6 4 3 3 2" xfId="13828" xr:uid="{073499FF-4C04-49CD-AD12-65AADDFD2F34}"/>
    <cellStyle name="20% - Accent6 4 3 4" xfId="9610" xr:uid="{07565947-0416-4B63-9A6D-10AB11829993}"/>
    <cellStyle name="20% - Accent6 4 4" xfId="1484" xr:uid="{00000000-0005-0000-0000-0000A3030000}"/>
    <cellStyle name="20% - Accent6 4 4 2" xfId="3714" xr:uid="{00000000-0005-0000-0000-0000A4030000}"/>
    <cellStyle name="20% - Accent6 4 4 2 2" xfId="7936" xr:uid="{00000000-0005-0000-0000-0000A5030000}"/>
    <cellStyle name="20% - Accent6 4 4 2 2 2" xfId="16386" xr:uid="{0A2DE595-AA28-4857-B7AD-DA084DAE83D2}"/>
    <cellStyle name="20% - Accent6 4 4 2 3" xfId="12168" xr:uid="{0580086A-39B7-43AE-98D1-AF87435B521F}"/>
    <cellStyle name="20% - Accent6 4 4 3" xfId="5791" xr:uid="{00000000-0005-0000-0000-0000A6030000}"/>
    <cellStyle name="20% - Accent6 4 4 3 2" xfId="14241" xr:uid="{87746C6E-2F55-4940-B3B0-1E17FE00FC03}"/>
    <cellStyle name="20% - Accent6 4 4 4" xfId="10023" xr:uid="{14B85347-F5E5-4256-BA52-5B8E697A0E8E}"/>
    <cellStyle name="20% - Accent6 4 5" xfId="1898" xr:uid="{00000000-0005-0000-0000-0000A7030000}"/>
    <cellStyle name="20% - Accent6 4 5 2" xfId="4127" xr:uid="{00000000-0005-0000-0000-0000A8030000}"/>
    <cellStyle name="20% - Accent6 4 5 2 2" xfId="8349" xr:uid="{00000000-0005-0000-0000-0000A9030000}"/>
    <cellStyle name="20% - Accent6 4 5 2 2 2" xfId="16799" xr:uid="{A695BB98-0A43-4DB1-8AE2-E869CB8F7F74}"/>
    <cellStyle name="20% - Accent6 4 5 2 3" xfId="12581" xr:uid="{C992594C-6746-473F-A73C-AA5C06B2EF51}"/>
    <cellStyle name="20% - Accent6 4 5 3" xfId="6204" xr:uid="{00000000-0005-0000-0000-0000AA030000}"/>
    <cellStyle name="20% - Accent6 4 5 3 2" xfId="14654" xr:uid="{885B88DF-CE58-4107-814E-6DB7AD69AB69}"/>
    <cellStyle name="20% - Accent6 4 5 4" xfId="10436" xr:uid="{4BBA4C80-0CE8-4310-9D41-8BA8EB1E164B}"/>
    <cellStyle name="20% - Accent6 4 6" xfId="2311" xr:uid="{00000000-0005-0000-0000-0000AB030000}"/>
    <cellStyle name="20% - Accent6 4 6 2" xfId="6617" xr:uid="{00000000-0005-0000-0000-0000AC030000}"/>
    <cellStyle name="20% - Accent6 4 6 2 2" xfId="15067" xr:uid="{60463301-7B0D-4591-AC0F-D90C345BC08B}"/>
    <cellStyle name="20% - Accent6 4 6 3" xfId="10849" xr:uid="{F9AFFE34-5868-49B4-8EAC-A6EA178348EA}"/>
    <cellStyle name="20% - Accent6 4 7" xfId="4551" xr:uid="{00000000-0005-0000-0000-0000AD030000}"/>
    <cellStyle name="20% - Accent6 4 7 2" xfId="13001" xr:uid="{7BF27CE1-EBD5-438D-B7F6-E4DA40C5906C}"/>
    <cellStyle name="20% - Accent6 4 8" xfId="8783" xr:uid="{048A0697-46FD-4D2E-A823-E9431C17F6FB}"/>
    <cellStyle name="20% - Accent6 5" xfId="610" xr:uid="{00000000-0005-0000-0000-0000AE030000}"/>
    <cellStyle name="20% - Accent6 5 2" xfId="2881" xr:uid="{00000000-0005-0000-0000-0000AF030000}"/>
    <cellStyle name="20% - Accent6 5 2 2" xfId="7103" xr:uid="{00000000-0005-0000-0000-0000B0030000}"/>
    <cellStyle name="20% - Accent6 5 2 2 2" xfId="15553" xr:uid="{62A302B7-219C-4677-AC7F-10AD99704FDA}"/>
    <cellStyle name="20% - Accent6 5 2 3" xfId="11335" xr:uid="{DC51885F-79A3-4B1A-9226-BA695E562B34}"/>
    <cellStyle name="20% - Accent6 5 3" xfId="4958" xr:uid="{00000000-0005-0000-0000-0000B1030000}"/>
    <cellStyle name="20% - Accent6 5 3 2" xfId="13408" xr:uid="{C3B5C42B-78BF-42EC-91CB-733C2224C011}"/>
    <cellStyle name="20% - Accent6 5 4" xfId="9190" xr:uid="{78D0E97D-C892-4EAC-AFF4-F890D421560E}"/>
    <cellStyle name="20% - Accent6 6" xfId="1063" xr:uid="{00000000-0005-0000-0000-0000B2030000}"/>
    <cellStyle name="20% - Accent6 6 2" xfId="3294" xr:uid="{00000000-0005-0000-0000-0000B3030000}"/>
    <cellStyle name="20% - Accent6 6 2 2" xfId="7516" xr:uid="{00000000-0005-0000-0000-0000B4030000}"/>
    <cellStyle name="20% - Accent6 6 2 2 2" xfId="15966" xr:uid="{B7DEBDE1-C4D9-4176-AF2F-BF5B5AF0DB7A}"/>
    <cellStyle name="20% - Accent6 6 2 3" xfId="11748" xr:uid="{E3890706-B911-4D87-8052-154ABFBC2606}"/>
    <cellStyle name="20% - Accent6 6 3" xfId="5371" xr:uid="{00000000-0005-0000-0000-0000B5030000}"/>
    <cellStyle name="20% - Accent6 6 3 2" xfId="13821" xr:uid="{56AF1416-D1BE-445B-8C10-F84C3008A0C8}"/>
    <cellStyle name="20% - Accent6 6 4" xfId="9603" xr:uid="{F515C863-9A75-461C-A8CB-2CEF9F217F73}"/>
    <cellStyle name="20% - Accent6 7" xfId="1477" xr:uid="{00000000-0005-0000-0000-0000B6030000}"/>
    <cellStyle name="20% - Accent6 7 2" xfId="3707" xr:uid="{00000000-0005-0000-0000-0000B7030000}"/>
    <cellStyle name="20% - Accent6 7 2 2" xfId="7929" xr:uid="{00000000-0005-0000-0000-0000B8030000}"/>
    <cellStyle name="20% - Accent6 7 2 2 2" xfId="16379" xr:uid="{714D2D44-929C-49AB-9CD1-D6F6464DEC2A}"/>
    <cellStyle name="20% - Accent6 7 2 3" xfId="12161" xr:uid="{68141C07-B56C-4AC7-916C-496DA3D82120}"/>
    <cellStyle name="20% - Accent6 7 3" xfId="5784" xr:uid="{00000000-0005-0000-0000-0000B9030000}"/>
    <cellStyle name="20% - Accent6 7 3 2" xfId="14234" xr:uid="{EB57A7C8-2AED-40C2-AD08-4C1070B0EB85}"/>
    <cellStyle name="20% - Accent6 7 4" xfId="10016" xr:uid="{484C39C4-4629-4340-B7A5-7AE56A30DAB0}"/>
    <cellStyle name="20% - Accent6 8" xfId="1891" xr:uid="{00000000-0005-0000-0000-0000BA030000}"/>
    <cellStyle name="20% - Accent6 8 2" xfId="4120" xr:uid="{00000000-0005-0000-0000-0000BB030000}"/>
    <cellStyle name="20% - Accent6 8 2 2" xfId="8342" xr:uid="{00000000-0005-0000-0000-0000BC030000}"/>
    <cellStyle name="20% - Accent6 8 2 2 2" xfId="16792" xr:uid="{273329A2-475D-47FC-A055-5B290931FDE5}"/>
    <cellStyle name="20% - Accent6 8 2 3" xfId="12574" xr:uid="{47E35619-B831-4807-8C87-7433A7D39B62}"/>
    <cellStyle name="20% - Accent6 8 3" xfId="6197" xr:uid="{00000000-0005-0000-0000-0000BD030000}"/>
    <cellStyle name="20% - Accent6 8 3 2" xfId="14647" xr:uid="{0C1DABE8-C711-4351-8219-CD1079D571E7}"/>
    <cellStyle name="20% - Accent6 8 4" xfId="10429" xr:uid="{9AFD24B8-7ACE-4AE1-B253-991C4632B8F6}"/>
    <cellStyle name="20% - Accent6 9" xfId="2304" xr:uid="{00000000-0005-0000-0000-0000BE030000}"/>
    <cellStyle name="20% - Accent6 9 2" xfId="6610" xr:uid="{00000000-0005-0000-0000-0000BF030000}"/>
    <cellStyle name="20% - Accent6 9 2 2" xfId="15060" xr:uid="{5C5D39A9-7BA2-439F-A74B-921C1BCE1184}"/>
    <cellStyle name="20% - Accent6 9 3" xfId="10842" xr:uid="{158272D4-98A8-413A-B332-841A09340387}"/>
    <cellStyle name="40% - Accent1" xfId="49" builtinId="31" customBuiltin="1"/>
    <cellStyle name="40% - Accent1 10" xfId="4552" xr:uid="{00000000-0005-0000-0000-0000C1030000}"/>
    <cellStyle name="40% - Accent1 10 2" xfId="13002" xr:uid="{0748C8B2-B4DD-4F93-908F-8CACD8B4A53F}"/>
    <cellStyle name="40% - Accent1 11" xfId="8784" xr:uid="{48731379-6CFD-45F8-B689-F22D139E24DC}"/>
    <cellStyle name="40% - Accent1 2" xfId="50" xr:uid="{00000000-0005-0000-0000-0000C2030000}"/>
    <cellStyle name="40% - Accent1 2 10" xfId="8785" xr:uid="{44214538-92C4-4C72-B7AD-D7DB97C13276}"/>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15564" xr:uid="{B8C4A5D6-5B4F-417C-AA52-62F7D2B64A7F}"/>
    <cellStyle name="40% - Accent1 2 2 2 2 2 3" xfId="11346" xr:uid="{D75A3777-4564-4290-B2D6-1DE0C6C87C1B}"/>
    <cellStyle name="40% - Accent1 2 2 2 2 3" xfId="4969" xr:uid="{00000000-0005-0000-0000-0000C8030000}"/>
    <cellStyle name="40% - Accent1 2 2 2 2 3 2" xfId="13419" xr:uid="{DEDC1E79-3584-411F-8CF7-EF031849FE94}"/>
    <cellStyle name="40% - Accent1 2 2 2 2 4" xfId="9201" xr:uid="{C58A2726-22B3-4E05-9E8E-5B0BF4BF391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15977" xr:uid="{A5C90DF7-8A04-402A-BD4F-DC0C31584E83}"/>
    <cellStyle name="40% - Accent1 2 2 2 3 2 3" xfId="11759" xr:uid="{098FADA4-C9AE-4C1D-8FA1-DE7558461A3C}"/>
    <cellStyle name="40% - Accent1 2 2 2 3 3" xfId="5382" xr:uid="{00000000-0005-0000-0000-0000CC030000}"/>
    <cellStyle name="40% - Accent1 2 2 2 3 3 2" xfId="13832" xr:uid="{A96FA8C3-E122-4286-9447-88DAA4DD912B}"/>
    <cellStyle name="40% - Accent1 2 2 2 3 4" xfId="9614" xr:uid="{7A9E7227-7231-464E-AD50-3A5AB47DF349}"/>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16390" xr:uid="{64670877-086A-441A-B365-213E2495E52D}"/>
    <cellStyle name="40% - Accent1 2 2 2 4 2 3" xfId="12172" xr:uid="{0FD90428-AC92-42AC-BBAE-B07380D01E8C}"/>
    <cellStyle name="40% - Accent1 2 2 2 4 3" xfId="5795" xr:uid="{00000000-0005-0000-0000-0000D0030000}"/>
    <cellStyle name="40% - Accent1 2 2 2 4 3 2" xfId="14245" xr:uid="{459DCB99-C036-4D73-868B-87C1F5A605B7}"/>
    <cellStyle name="40% - Accent1 2 2 2 4 4" xfId="10027" xr:uid="{62D3D8F8-6976-4718-8153-C6EA0BEF2534}"/>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16803" xr:uid="{72EB4022-0598-415E-B4D0-E44CB89F7EA7}"/>
    <cellStyle name="40% - Accent1 2 2 2 5 2 3" xfId="12585" xr:uid="{DFBB9589-6E2E-4528-8A0E-D54D2D470C31}"/>
    <cellStyle name="40% - Accent1 2 2 2 5 3" xfId="6208" xr:uid="{00000000-0005-0000-0000-0000D4030000}"/>
    <cellStyle name="40% - Accent1 2 2 2 5 3 2" xfId="14658" xr:uid="{95816A05-9B52-40DE-AC07-7150D1D1662A}"/>
    <cellStyle name="40% - Accent1 2 2 2 5 4" xfId="10440" xr:uid="{954E7BF4-D1A3-4F34-B051-84DE2D509290}"/>
    <cellStyle name="40% - Accent1 2 2 2 6" xfId="2315" xr:uid="{00000000-0005-0000-0000-0000D5030000}"/>
    <cellStyle name="40% - Accent1 2 2 2 6 2" xfId="6621" xr:uid="{00000000-0005-0000-0000-0000D6030000}"/>
    <cellStyle name="40% - Accent1 2 2 2 6 2 2" xfId="15071" xr:uid="{F73F7328-3F38-4FD0-9504-87479AD5BBB6}"/>
    <cellStyle name="40% - Accent1 2 2 2 6 3" xfId="10853" xr:uid="{CA2EE130-E5CA-4E8B-AFED-539E69F4C78E}"/>
    <cellStyle name="40% - Accent1 2 2 2 7" xfId="4555" xr:uid="{00000000-0005-0000-0000-0000D7030000}"/>
    <cellStyle name="40% - Accent1 2 2 2 7 2" xfId="13005" xr:uid="{122B5A82-FC41-4161-94ED-8E88260ABD69}"/>
    <cellStyle name="40% - Accent1 2 2 2 8" xfId="8787" xr:uid="{054E032E-63CB-4563-87D4-3DA2F0CD5095}"/>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15563" xr:uid="{1BF14C8B-F89F-4FCB-8389-9B0A8D0D0CD3}"/>
    <cellStyle name="40% - Accent1 2 2 3 2 3" xfId="11345" xr:uid="{23082D00-FE95-4BCE-9588-7B3034805A4A}"/>
    <cellStyle name="40% - Accent1 2 2 3 3" xfId="4968" xr:uid="{00000000-0005-0000-0000-0000DB030000}"/>
    <cellStyle name="40% - Accent1 2 2 3 3 2" xfId="13418" xr:uid="{97A6FDF1-C570-44DE-AA78-7DD2C211A7A8}"/>
    <cellStyle name="40% - Accent1 2 2 3 4" xfId="9200" xr:uid="{3D42BDE6-BFAE-4F7B-B266-B1F4E52A5426}"/>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15976" xr:uid="{DBBA0F27-2C82-467D-812D-455782EFA67F}"/>
    <cellStyle name="40% - Accent1 2 2 4 2 3" xfId="11758" xr:uid="{870184CA-6904-4AF4-8109-F17A38442264}"/>
    <cellStyle name="40% - Accent1 2 2 4 3" xfId="5381" xr:uid="{00000000-0005-0000-0000-0000DF030000}"/>
    <cellStyle name="40% - Accent1 2 2 4 3 2" xfId="13831" xr:uid="{7B9FE25A-6476-4933-8B5F-DA312852D960}"/>
    <cellStyle name="40% - Accent1 2 2 4 4" xfId="9613" xr:uid="{484F97D1-9916-4469-8CCD-521D2F3BF1BA}"/>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16389" xr:uid="{2B29B049-9710-43A0-A882-907CAFDE958F}"/>
    <cellStyle name="40% - Accent1 2 2 5 2 3" xfId="12171" xr:uid="{9E805F6D-4A3A-46A6-A092-2DD3E59202D0}"/>
    <cellStyle name="40% - Accent1 2 2 5 3" xfId="5794" xr:uid="{00000000-0005-0000-0000-0000E3030000}"/>
    <cellStyle name="40% - Accent1 2 2 5 3 2" xfId="14244" xr:uid="{BE8329E0-189C-43B0-8C7D-3DFF7225D693}"/>
    <cellStyle name="40% - Accent1 2 2 5 4" xfId="10026" xr:uid="{A07AB560-8DE6-48CD-B314-C4F32551C982}"/>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16802" xr:uid="{B0FB7E45-184A-4EDB-A8A4-631EA0BC0757}"/>
    <cellStyle name="40% - Accent1 2 2 6 2 3" xfId="12584" xr:uid="{25C6FE41-19C5-4D92-94BF-A90D9F93D4B1}"/>
    <cellStyle name="40% - Accent1 2 2 6 3" xfId="6207" xr:uid="{00000000-0005-0000-0000-0000E7030000}"/>
    <cellStyle name="40% - Accent1 2 2 6 3 2" xfId="14657" xr:uid="{5B551E06-AA2E-4FCC-8FF9-2CF74EA5DE89}"/>
    <cellStyle name="40% - Accent1 2 2 6 4" xfId="10439" xr:uid="{E6935A0B-B967-4996-8F92-613D2B44F050}"/>
    <cellStyle name="40% - Accent1 2 2 7" xfId="2314" xr:uid="{00000000-0005-0000-0000-0000E8030000}"/>
    <cellStyle name="40% - Accent1 2 2 7 2" xfId="6620" xr:uid="{00000000-0005-0000-0000-0000E9030000}"/>
    <cellStyle name="40% - Accent1 2 2 7 2 2" xfId="15070" xr:uid="{CD918E88-EF5C-4883-8777-90C411C1E732}"/>
    <cellStyle name="40% - Accent1 2 2 7 3" xfId="10852" xr:uid="{FC24AA31-EDE6-4CBD-88DF-0FC695D599AF}"/>
    <cellStyle name="40% - Accent1 2 2 8" xfId="4554" xr:uid="{00000000-0005-0000-0000-0000EA030000}"/>
    <cellStyle name="40% - Accent1 2 2 8 2" xfId="13004" xr:uid="{F174B1A8-E6F1-4BB5-8C3D-8D0EAC5D9F09}"/>
    <cellStyle name="40% - Accent1 2 2 9" xfId="8786" xr:uid="{41A26481-76F6-408D-9F22-63D460BDE4A6}"/>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15565" xr:uid="{9A8C7B8D-6364-4021-B01C-8BC31E5BF7F5}"/>
    <cellStyle name="40% - Accent1 2 3 2 2 3" xfId="11347" xr:uid="{9907D438-A12A-4A58-8ACA-E1DD7921BA75}"/>
    <cellStyle name="40% - Accent1 2 3 2 3" xfId="4970" xr:uid="{00000000-0005-0000-0000-0000EF030000}"/>
    <cellStyle name="40% - Accent1 2 3 2 3 2" xfId="13420" xr:uid="{6B7E2841-560A-460E-AFFB-3AF22779C679}"/>
    <cellStyle name="40% - Accent1 2 3 2 4" xfId="9202" xr:uid="{BF938650-1919-40EE-910B-7DF6A4B1BECA}"/>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15978" xr:uid="{7E23FB93-82D7-4FF6-9629-C600E8224463}"/>
    <cellStyle name="40% - Accent1 2 3 3 2 3" xfId="11760" xr:uid="{8EF34034-1FA1-4304-9573-F7B0693C1AF4}"/>
    <cellStyle name="40% - Accent1 2 3 3 3" xfId="5383" xr:uid="{00000000-0005-0000-0000-0000F3030000}"/>
    <cellStyle name="40% - Accent1 2 3 3 3 2" xfId="13833" xr:uid="{245B31BB-D3E0-402A-8C84-F2A341CC594C}"/>
    <cellStyle name="40% - Accent1 2 3 3 4" xfId="9615" xr:uid="{F982AB80-6F1A-45A3-9071-D1D49893E256}"/>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16391" xr:uid="{A94B627E-1BB0-45AF-8FDC-F54F38AEDB7D}"/>
    <cellStyle name="40% - Accent1 2 3 4 2 3" xfId="12173" xr:uid="{E15412DE-1D40-4C7E-8699-A828B7E6B34B}"/>
    <cellStyle name="40% - Accent1 2 3 4 3" xfId="5796" xr:uid="{00000000-0005-0000-0000-0000F7030000}"/>
    <cellStyle name="40% - Accent1 2 3 4 3 2" xfId="14246" xr:uid="{3B6C1188-1B07-42D4-828C-2BCDAC4CCF77}"/>
    <cellStyle name="40% - Accent1 2 3 4 4" xfId="10028" xr:uid="{DB79D4EC-E1B4-4331-8052-76BFC81095DA}"/>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16804" xr:uid="{FDB38BA4-B012-48FF-BDA3-941CBD7948F4}"/>
    <cellStyle name="40% - Accent1 2 3 5 2 3" xfId="12586" xr:uid="{1E846A90-2554-4FFB-99C5-A9A4E689A435}"/>
    <cellStyle name="40% - Accent1 2 3 5 3" xfId="6209" xr:uid="{00000000-0005-0000-0000-0000FB030000}"/>
    <cellStyle name="40% - Accent1 2 3 5 3 2" xfId="14659" xr:uid="{E1DEC8EC-018C-4D14-8A7A-AF109FB90811}"/>
    <cellStyle name="40% - Accent1 2 3 5 4" xfId="10441" xr:uid="{247C649B-F49E-40B2-9483-14AFB29F98C8}"/>
    <cellStyle name="40% - Accent1 2 3 6" xfId="2316" xr:uid="{00000000-0005-0000-0000-0000FC030000}"/>
    <cellStyle name="40% - Accent1 2 3 6 2" xfId="6622" xr:uid="{00000000-0005-0000-0000-0000FD030000}"/>
    <cellStyle name="40% - Accent1 2 3 6 2 2" xfId="15072" xr:uid="{A28511C9-FC16-4D63-9421-57673E7C6E24}"/>
    <cellStyle name="40% - Accent1 2 3 6 3" xfId="10854" xr:uid="{0C9B5A52-41CF-47B7-9B24-19C4747613CC}"/>
    <cellStyle name="40% - Accent1 2 3 7" xfId="4556" xr:uid="{00000000-0005-0000-0000-0000FE030000}"/>
    <cellStyle name="40% - Accent1 2 3 7 2" xfId="13006" xr:uid="{8D0001F1-ABC0-484C-88F2-2BBE62CE6E20}"/>
    <cellStyle name="40% - Accent1 2 3 8" xfId="8788" xr:uid="{0459A79A-474A-4086-9AC2-0C1CA0F69C44}"/>
    <cellStyle name="40% - Accent1 2 4" xfId="619" xr:uid="{00000000-0005-0000-0000-0000FF030000}"/>
    <cellStyle name="40% - Accent1 2 4 2" xfId="2890" xr:uid="{00000000-0005-0000-0000-000000040000}"/>
    <cellStyle name="40% - Accent1 2 4 2 2" xfId="7112" xr:uid="{00000000-0005-0000-0000-000001040000}"/>
    <cellStyle name="40% - Accent1 2 4 2 2 2" xfId="15562" xr:uid="{26A7C9A8-3D1F-4914-A1F5-BFCF85521CA3}"/>
    <cellStyle name="40% - Accent1 2 4 2 3" xfId="11344" xr:uid="{AFF11FC4-A0EC-45EF-938C-E379FD8EC37C}"/>
    <cellStyle name="40% - Accent1 2 4 3" xfId="4967" xr:uid="{00000000-0005-0000-0000-000002040000}"/>
    <cellStyle name="40% - Accent1 2 4 3 2" xfId="13417" xr:uid="{609C682C-A7C0-47BB-AEAD-654F4BB29708}"/>
    <cellStyle name="40% - Accent1 2 4 4" xfId="9199" xr:uid="{7445CC28-6B2B-4C37-AEF8-2697A1598E48}"/>
    <cellStyle name="40% - Accent1 2 5" xfId="1072" xr:uid="{00000000-0005-0000-0000-000003040000}"/>
    <cellStyle name="40% - Accent1 2 5 2" xfId="3303" xr:uid="{00000000-0005-0000-0000-000004040000}"/>
    <cellStyle name="40% - Accent1 2 5 2 2" xfId="7525" xr:uid="{00000000-0005-0000-0000-000005040000}"/>
    <cellStyle name="40% - Accent1 2 5 2 2 2" xfId="15975" xr:uid="{7725228A-AE76-43CE-941A-63E3BE968F8F}"/>
    <cellStyle name="40% - Accent1 2 5 2 3" xfId="11757" xr:uid="{512D03DA-B811-4E2A-B29B-6AFA68D9145A}"/>
    <cellStyle name="40% - Accent1 2 5 3" xfId="5380" xr:uid="{00000000-0005-0000-0000-000006040000}"/>
    <cellStyle name="40% - Accent1 2 5 3 2" xfId="13830" xr:uid="{AFAAA094-79D1-4536-9BBA-749F3247A7C3}"/>
    <cellStyle name="40% - Accent1 2 5 4" xfId="9612" xr:uid="{3EE99F80-3707-45D2-B203-00CA028F771A}"/>
    <cellStyle name="40% - Accent1 2 6" xfId="1486" xr:uid="{00000000-0005-0000-0000-000007040000}"/>
    <cellStyle name="40% - Accent1 2 6 2" xfId="3716" xr:uid="{00000000-0005-0000-0000-000008040000}"/>
    <cellStyle name="40% - Accent1 2 6 2 2" xfId="7938" xr:uid="{00000000-0005-0000-0000-000009040000}"/>
    <cellStyle name="40% - Accent1 2 6 2 2 2" xfId="16388" xr:uid="{D4C27256-9780-4A97-8E4F-41FF28F98CB5}"/>
    <cellStyle name="40% - Accent1 2 6 2 3" xfId="12170" xr:uid="{53AFDDC6-191A-4D33-A8A0-41F53C25D97C}"/>
    <cellStyle name="40% - Accent1 2 6 3" xfId="5793" xr:uid="{00000000-0005-0000-0000-00000A040000}"/>
    <cellStyle name="40% - Accent1 2 6 3 2" xfId="14243" xr:uid="{909B87ED-6768-43E9-9439-CEFF3AE5A6B2}"/>
    <cellStyle name="40% - Accent1 2 6 4" xfId="10025" xr:uid="{BA2D6858-1EDB-4ECC-9942-7B756E465A3F}"/>
    <cellStyle name="40% - Accent1 2 7" xfId="1900" xr:uid="{00000000-0005-0000-0000-00000B040000}"/>
    <cellStyle name="40% - Accent1 2 7 2" xfId="4129" xr:uid="{00000000-0005-0000-0000-00000C040000}"/>
    <cellStyle name="40% - Accent1 2 7 2 2" xfId="8351" xr:uid="{00000000-0005-0000-0000-00000D040000}"/>
    <cellStyle name="40% - Accent1 2 7 2 2 2" xfId="16801" xr:uid="{2ECFEF36-B072-4DEE-8297-4FC6011E8619}"/>
    <cellStyle name="40% - Accent1 2 7 2 3" xfId="12583" xr:uid="{9B4AB50E-65FC-42BC-B352-92BE5213E262}"/>
    <cellStyle name="40% - Accent1 2 7 3" xfId="6206" xr:uid="{00000000-0005-0000-0000-00000E040000}"/>
    <cellStyle name="40% - Accent1 2 7 3 2" xfId="14656" xr:uid="{E4D2AECA-5F0D-40C7-AAF4-EEBE688C998F}"/>
    <cellStyle name="40% - Accent1 2 7 4" xfId="10438" xr:uid="{9FC0B8B7-E62B-47E0-899E-037D690DBDCF}"/>
    <cellStyle name="40% - Accent1 2 8" xfId="2313" xr:uid="{00000000-0005-0000-0000-00000F040000}"/>
    <cellStyle name="40% - Accent1 2 8 2" xfId="6619" xr:uid="{00000000-0005-0000-0000-000010040000}"/>
    <cellStyle name="40% - Accent1 2 8 2 2" xfId="15069" xr:uid="{478F580B-EAB2-41A0-AECD-064A076CD656}"/>
    <cellStyle name="40% - Accent1 2 8 3" xfId="10851" xr:uid="{7085479A-FDEF-417D-BBC1-12E13D8B8000}"/>
    <cellStyle name="40% - Accent1 2 9" xfId="4553" xr:uid="{00000000-0005-0000-0000-000011040000}"/>
    <cellStyle name="40% - Accent1 2 9 2" xfId="13003" xr:uid="{95E0B20E-4180-4042-9E63-9D715ECA5244}"/>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15567" xr:uid="{4EDB5090-33D4-407D-BE40-C6DA6599FE4C}"/>
    <cellStyle name="40% - Accent1 3 2 2 2 3" xfId="11349" xr:uid="{EAB14581-EA5C-43B1-80C5-43ABDFBACA54}"/>
    <cellStyle name="40% - Accent1 3 2 2 3" xfId="4972" xr:uid="{00000000-0005-0000-0000-000017040000}"/>
    <cellStyle name="40% - Accent1 3 2 2 3 2" xfId="13422" xr:uid="{C55D8769-FA9A-4B86-A401-A01A98CC19E6}"/>
    <cellStyle name="40% - Accent1 3 2 2 4" xfId="9204" xr:uid="{2F071A76-D21F-49FE-8997-1D2F0306A879}"/>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15980" xr:uid="{9B8CD7BE-345D-4AD4-933C-FBE02E7ADCC9}"/>
    <cellStyle name="40% - Accent1 3 2 3 2 3" xfId="11762" xr:uid="{5C373015-5CF2-45DE-A53B-D60342EE7F3F}"/>
    <cellStyle name="40% - Accent1 3 2 3 3" xfId="5385" xr:uid="{00000000-0005-0000-0000-00001B040000}"/>
    <cellStyle name="40% - Accent1 3 2 3 3 2" xfId="13835" xr:uid="{C676E4F9-99BD-4673-855A-DF93AD7B8D20}"/>
    <cellStyle name="40% - Accent1 3 2 3 4" xfId="9617" xr:uid="{79BB51D5-DBA8-4EB9-8592-15C13DE683FC}"/>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16393" xr:uid="{16EBAB93-489E-4BE6-AB09-711C56A62E2C}"/>
    <cellStyle name="40% - Accent1 3 2 4 2 3" xfId="12175" xr:uid="{6465D4EB-86E2-40C0-8C3B-364DCA8B1F9C}"/>
    <cellStyle name="40% - Accent1 3 2 4 3" xfId="5798" xr:uid="{00000000-0005-0000-0000-00001F040000}"/>
    <cellStyle name="40% - Accent1 3 2 4 3 2" xfId="14248" xr:uid="{D06969A7-A772-4AB3-BED4-C08724ED221B}"/>
    <cellStyle name="40% - Accent1 3 2 4 4" xfId="10030" xr:uid="{20FB1DB5-730C-4325-B3A6-D5EDD41ABF81}"/>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16806" xr:uid="{35DDEBAC-AB86-458E-9C83-7B204E3DD25A}"/>
    <cellStyle name="40% - Accent1 3 2 5 2 3" xfId="12588" xr:uid="{5B2CD020-2F6A-44B2-A73D-D0AF110C4D6F}"/>
    <cellStyle name="40% - Accent1 3 2 5 3" xfId="6211" xr:uid="{00000000-0005-0000-0000-000023040000}"/>
    <cellStyle name="40% - Accent1 3 2 5 3 2" xfId="14661" xr:uid="{D6A62DBA-67A0-4880-AF9B-6EC02556EB01}"/>
    <cellStyle name="40% - Accent1 3 2 5 4" xfId="10443" xr:uid="{E579C13B-D8A0-488D-8385-D42D8E3EB491}"/>
    <cellStyle name="40% - Accent1 3 2 6" xfId="2318" xr:uid="{00000000-0005-0000-0000-000024040000}"/>
    <cellStyle name="40% - Accent1 3 2 6 2" xfId="6624" xr:uid="{00000000-0005-0000-0000-000025040000}"/>
    <cellStyle name="40% - Accent1 3 2 6 2 2" xfId="15074" xr:uid="{D8225191-3DDE-4379-861D-0D5761291E37}"/>
    <cellStyle name="40% - Accent1 3 2 6 3" xfId="10856" xr:uid="{8082BF42-09DA-4760-9976-9716B15FB731}"/>
    <cellStyle name="40% - Accent1 3 2 7" xfId="4558" xr:uid="{00000000-0005-0000-0000-000026040000}"/>
    <cellStyle name="40% - Accent1 3 2 7 2" xfId="13008" xr:uid="{A7F52B04-87B9-4173-9D0C-33B2E6E01C8A}"/>
    <cellStyle name="40% - Accent1 3 2 8" xfId="8790" xr:uid="{6C694C66-765C-4448-9759-6E61D58F206F}"/>
    <cellStyle name="40% - Accent1 3 3" xfId="623" xr:uid="{00000000-0005-0000-0000-000027040000}"/>
    <cellStyle name="40% - Accent1 3 3 2" xfId="2894" xr:uid="{00000000-0005-0000-0000-000028040000}"/>
    <cellStyle name="40% - Accent1 3 3 2 2" xfId="7116" xr:uid="{00000000-0005-0000-0000-000029040000}"/>
    <cellStyle name="40% - Accent1 3 3 2 2 2" xfId="15566" xr:uid="{5459A7CB-A01B-4C97-A8C7-2C5BBC9A8FAB}"/>
    <cellStyle name="40% - Accent1 3 3 2 3" xfId="11348" xr:uid="{5C3C4053-4314-4A9F-B735-123CC2AD00B9}"/>
    <cellStyle name="40% - Accent1 3 3 3" xfId="4971" xr:uid="{00000000-0005-0000-0000-00002A040000}"/>
    <cellStyle name="40% - Accent1 3 3 3 2" xfId="13421" xr:uid="{D0CF0B86-8A4A-4F2B-A82C-C188A89E98DE}"/>
    <cellStyle name="40% - Accent1 3 3 4" xfId="9203" xr:uid="{EBB22795-9671-4BB2-BA59-0FD862BCBD97}"/>
    <cellStyle name="40% - Accent1 3 4" xfId="1076" xr:uid="{00000000-0005-0000-0000-00002B040000}"/>
    <cellStyle name="40% - Accent1 3 4 2" xfId="3307" xr:uid="{00000000-0005-0000-0000-00002C040000}"/>
    <cellStyle name="40% - Accent1 3 4 2 2" xfId="7529" xr:uid="{00000000-0005-0000-0000-00002D040000}"/>
    <cellStyle name="40% - Accent1 3 4 2 2 2" xfId="15979" xr:uid="{FA25CCDC-899B-4163-9E96-CEAFCCE8A16F}"/>
    <cellStyle name="40% - Accent1 3 4 2 3" xfId="11761" xr:uid="{C0B50208-4E53-4CE9-BA18-CEA916835E82}"/>
    <cellStyle name="40% - Accent1 3 4 3" xfId="5384" xr:uid="{00000000-0005-0000-0000-00002E040000}"/>
    <cellStyle name="40% - Accent1 3 4 3 2" xfId="13834" xr:uid="{F08F95A4-BD61-4CAB-B475-02772F333787}"/>
    <cellStyle name="40% - Accent1 3 4 4" xfId="9616" xr:uid="{18421A10-6EA0-472D-86FE-5D7127F4B29F}"/>
    <cellStyle name="40% - Accent1 3 5" xfId="1490" xr:uid="{00000000-0005-0000-0000-00002F040000}"/>
    <cellStyle name="40% - Accent1 3 5 2" xfId="3720" xr:uid="{00000000-0005-0000-0000-000030040000}"/>
    <cellStyle name="40% - Accent1 3 5 2 2" xfId="7942" xr:uid="{00000000-0005-0000-0000-000031040000}"/>
    <cellStyle name="40% - Accent1 3 5 2 2 2" xfId="16392" xr:uid="{5EEC2AC8-4A6D-44B7-8BFB-5D5FA1939ED1}"/>
    <cellStyle name="40% - Accent1 3 5 2 3" xfId="12174" xr:uid="{43BDFD7C-5C98-480C-B08E-B674FC5AFF62}"/>
    <cellStyle name="40% - Accent1 3 5 3" xfId="5797" xr:uid="{00000000-0005-0000-0000-000032040000}"/>
    <cellStyle name="40% - Accent1 3 5 3 2" xfId="14247" xr:uid="{1FDAA817-59D9-4E3A-8533-1DC6C7C449AF}"/>
    <cellStyle name="40% - Accent1 3 5 4" xfId="10029" xr:uid="{21DEA432-4AD5-4516-85EF-674782FDC2D0}"/>
    <cellStyle name="40% - Accent1 3 6" xfId="1904" xr:uid="{00000000-0005-0000-0000-000033040000}"/>
    <cellStyle name="40% - Accent1 3 6 2" xfId="4133" xr:uid="{00000000-0005-0000-0000-000034040000}"/>
    <cellStyle name="40% - Accent1 3 6 2 2" xfId="8355" xr:uid="{00000000-0005-0000-0000-000035040000}"/>
    <cellStyle name="40% - Accent1 3 6 2 2 2" xfId="16805" xr:uid="{2E477F8E-EA56-44B1-9F51-6432F82E7997}"/>
    <cellStyle name="40% - Accent1 3 6 2 3" xfId="12587" xr:uid="{691AC163-A5AE-46B1-9DEE-571B514593DB}"/>
    <cellStyle name="40% - Accent1 3 6 3" xfId="6210" xr:uid="{00000000-0005-0000-0000-000036040000}"/>
    <cellStyle name="40% - Accent1 3 6 3 2" xfId="14660" xr:uid="{D01F84B1-0D2F-4458-8F03-177F5D39526B}"/>
    <cellStyle name="40% - Accent1 3 6 4" xfId="10442" xr:uid="{30A154E5-797F-46B0-95D2-F118CD09944F}"/>
    <cellStyle name="40% - Accent1 3 7" xfId="2317" xr:uid="{00000000-0005-0000-0000-000037040000}"/>
    <cellStyle name="40% - Accent1 3 7 2" xfId="6623" xr:uid="{00000000-0005-0000-0000-000038040000}"/>
    <cellStyle name="40% - Accent1 3 7 2 2" xfId="15073" xr:uid="{983BF3B2-DD24-4E4A-99BA-5FF771FEE4CF}"/>
    <cellStyle name="40% - Accent1 3 7 3" xfId="10855" xr:uid="{118AA9FF-49CD-423A-B802-7196859B7E34}"/>
    <cellStyle name="40% - Accent1 3 8" xfId="4557" xr:uid="{00000000-0005-0000-0000-000039040000}"/>
    <cellStyle name="40% - Accent1 3 8 2" xfId="13007" xr:uid="{53AC49D0-F33C-4037-A1F8-FBBE24391002}"/>
    <cellStyle name="40% - Accent1 3 9" xfId="8789" xr:uid="{1DFAE499-3333-42C1-9569-9EE0E5EAFFA4}"/>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2 2 2" xfId="15568" xr:uid="{59D27965-7DC3-4FC6-84D9-8FE2FB6E1C89}"/>
    <cellStyle name="40% - Accent1 4 2 2 3" xfId="11350" xr:uid="{6BA0F7DD-20AC-412C-8F8B-6A13A22E1982}"/>
    <cellStyle name="40% - Accent1 4 2 3" xfId="4973" xr:uid="{00000000-0005-0000-0000-00003E040000}"/>
    <cellStyle name="40% - Accent1 4 2 3 2" xfId="13423" xr:uid="{05707380-F0D5-41D5-A620-4B622EF512CC}"/>
    <cellStyle name="40% - Accent1 4 2 4" xfId="9205" xr:uid="{B3545E21-1426-48BD-AC09-E894DFDBED9F}"/>
    <cellStyle name="40% - Accent1 4 3" xfId="1078" xr:uid="{00000000-0005-0000-0000-00003F040000}"/>
    <cellStyle name="40% - Accent1 4 3 2" xfId="3309" xr:uid="{00000000-0005-0000-0000-000040040000}"/>
    <cellStyle name="40% - Accent1 4 3 2 2" xfId="7531" xr:uid="{00000000-0005-0000-0000-000041040000}"/>
    <cellStyle name="40% - Accent1 4 3 2 2 2" xfId="15981" xr:uid="{365BC0F7-8374-4F28-9AD7-95B087D4613A}"/>
    <cellStyle name="40% - Accent1 4 3 2 3" xfId="11763" xr:uid="{098B6E62-F549-4BCB-865B-C442B7B8DA76}"/>
    <cellStyle name="40% - Accent1 4 3 3" xfId="5386" xr:uid="{00000000-0005-0000-0000-000042040000}"/>
    <cellStyle name="40% - Accent1 4 3 3 2" xfId="13836" xr:uid="{3912AFE0-A4B7-4B87-BA16-B3CB5B135CE1}"/>
    <cellStyle name="40% - Accent1 4 3 4" xfId="9618" xr:uid="{5758083B-D0DD-4C03-9870-DB9A77DC21C9}"/>
    <cellStyle name="40% - Accent1 4 4" xfId="1492" xr:uid="{00000000-0005-0000-0000-000043040000}"/>
    <cellStyle name="40% - Accent1 4 4 2" xfId="3722" xr:uid="{00000000-0005-0000-0000-000044040000}"/>
    <cellStyle name="40% - Accent1 4 4 2 2" xfId="7944" xr:uid="{00000000-0005-0000-0000-000045040000}"/>
    <cellStyle name="40% - Accent1 4 4 2 2 2" xfId="16394" xr:uid="{61FB8D71-FA9C-499A-B94D-5CB60752EBB7}"/>
    <cellStyle name="40% - Accent1 4 4 2 3" xfId="12176" xr:uid="{43004145-D075-47B8-9493-C46BE57494A0}"/>
    <cellStyle name="40% - Accent1 4 4 3" xfId="5799" xr:uid="{00000000-0005-0000-0000-000046040000}"/>
    <cellStyle name="40% - Accent1 4 4 3 2" xfId="14249" xr:uid="{5CBC84FD-15BF-45BB-9F49-EDDDFC618FA1}"/>
    <cellStyle name="40% - Accent1 4 4 4" xfId="10031" xr:uid="{B7BFB852-3C4B-4895-AB6C-CF7F1B31FFD9}"/>
    <cellStyle name="40% - Accent1 4 5" xfId="1906" xr:uid="{00000000-0005-0000-0000-000047040000}"/>
    <cellStyle name="40% - Accent1 4 5 2" xfId="4135" xr:uid="{00000000-0005-0000-0000-000048040000}"/>
    <cellStyle name="40% - Accent1 4 5 2 2" xfId="8357" xr:uid="{00000000-0005-0000-0000-000049040000}"/>
    <cellStyle name="40% - Accent1 4 5 2 2 2" xfId="16807" xr:uid="{61C1570E-FD46-44F0-A3CD-518E25E92724}"/>
    <cellStyle name="40% - Accent1 4 5 2 3" xfId="12589" xr:uid="{4C6C5E05-088F-4CC6-A98F-57C1A62F29BD}"/>
    <cellStyle name="40% - Accent1 4 5 3" xfId="6212" xr:uid="{00000000-0005-0000-0000-00004A040000}"/>
    <cellStyle name="40% - Accent1 4 5 3 2" xfId="14662" xr:uid="{1ED18FF9-A888-40E6-BD5D-B1E0B93F8CAF}"/>
    <cellStyle name="40% - Accent1 4 5 4" xfId="10444" xr:uid="{50BD076E-737A-499A-87E3-2D6044A99D37}"/>
    <cellStyle name="40% - Accent1 4 6" xfId="2319" xr:uid="{00000000-0005-0000-0000-00004B040000}"/>
    <cellStyle name="40% - Accent1 4 6 2" xfId="6625" xr:uid="{00000000-0005-0000-0000-00004C040000}"/>
    <cellStyle name="40% - Accent1 4 6 2 2" xfId="15075" xr:uid="{567D9579-4E97-4B90-AD73-9E3D537C25B4}"/>
    <cellStyle name="40% - Accent1 4 6 3" xfId="10857" xr:uid="{90A90DD1-46A4-4EF1-8B04-F6C36BF36C3B}"/>
    <cellStyle name="40% - Accent1 4 7" xfId="4559" xr:uid="{00000000-0005-0000-0000-00004D040000}"/>
    <cellStyle name="40% - Accent1 4 7 2" xfId="13009" xr:uid="{B65FE307-3C15-4263-8FD0-A7F135932B40}"/>
    <cellStyle name="40% - Accent1 4 8" xfId="8791" xr:uid="{986E3927-A609-491D-9D86-D07F511C66BB}"/>
    <cellStyle name="40% - Accent1 5" xfId="618" xr:uid="{00000000-0005-0000-0000-00004E040000}"/>
    <cellStyle name="40% - Accent1 5 2" xfId="2889" xr:uid="{00000000-0005-0000-0000-00004F040000}"/>
    <cellStyle name="40% - Accent1 5 2 2" xfId="7111" xr:uid="{00000000-0005-0000-0000-000050040000}"/>
    <cellStyle name="40% - Accent1 5 2 2 2" xfId="15561" xr:uid="{37E07FB4-E954-432A-9DFF-56A9A5CB3A0B}"/>
    <cellStyle name="40% - Accent1 5 2 3" xfId="11343" xr:uid="{8EE214FC-DA4A-40A6-9E4D-4D5399402562}"/>
    <cellStyle name="40% - Accent1 5 3" xfId="4966" xr:uid="{00000000-0005-0000-0000-000051040000}"/>
    <cellStyle name="40% - Accent1 5 3 2" xfId="13416" xr:uid="{1E093572-6701-4F4D-AE4D-31FCA0427F6E}"/>
    <cellStyle name="40% - Accent1 5 4" xfId="9198" xr:uid="{49E03F4D-518B-453B-8B67-76788615CE96}"/>
    <cellStyle name="40% - Accent1 6" xfId="1071" xr:uid="{00000000-0005-0000-0000-000052040000}"/>
    <cellStyle name="40% - Accent1 6 2" xfId="3302" xr:uid="{00000000-0005-0000-0000-000053040000}"/>
    <cellStyle name="40% - Accent1 6 2 2" xfId="7524" xr:uid="{00000000-0005-0000-0000-000054040000}"/>
    <cellStyle name="40% - Accent1 6 2 2 2" xfId="15974" xr:uid="{FE3B8A37-5820-451F-99D7-F2221874CAA3}"/>
    <cellStyle name="40% - Accent1 6 2 3" xfId="11756" xr:uid="{32386512-402A-4C88-B45C-48FE120D58E0}"/>
    <cellStyle name="40% - Accent1 6 3" xfId="5379" xr:uid="{00000000-0005-0000-0000-000055040000}"/>
    <cellStyle name="40% - Accent1 6 3 2" xfId="13829" xr:uid="{AC590459-6F23-428D-98DC-1457CF7D8155}"/>
    <cellStyle name="40% - Accent1 6 4" xfId="9611" xr:uid="{2F846FFE-8F58-4A7C-A739-414FD18B71F5}"/>
    <cellStyle name="40% - Accent1 7" xfId="1485" xr:uid="{00000000-0005-0000-0000-000056040000}"/>
    <cellStyle name="40% - Accent1 7 2" xfId="3715" xr:uid="{00000000-0005-0000-0000-000057040000}"/>
    <cellStyle name="40% - Accent1 7 2 2" xfId="7937" xr:uid="{00000000-0005-0000-0000-000058040000}"/>
    <cellStyle name="40% - Accent1 7 2 2 2" xfId="16387" xr:uid="{D4EC637A-1632-4C1F-89CD-3F5EA75E613C}"/>
    <cellStyle name="40% - Accent1 7 2 3" xfId="12169" xr:uid="{2409770D-3684-467E-B77D-5E7A70916153}"/>
    <cellStyle name="40% - Accent1 7 3" xfId="5792" xr:uid="{00000000-0005-0000-0000-000059040000}"/>
    <cellStyle name="40% - Accent1 7 3 2" xfId="14242" xr:uid="{BD750A67-5E23-4B9D-8D05-BE2A11928BD7}"/>
    <cellStyle name="40% - Accent1 7 4" xfId="10024" xr:uid="{DEFFF58E-33E7-4661-B505-8FD0571D1CA7}"/>
    <cellStyle name="40% - Accent1 8" xfId="1899" xr:uid="{00000000-0005-0000-0000-00005A040000}"/>
    <cellStyle name="40% - Accent1 8 2" xfId="4128" xr:uid="{00000000-0005-0000-0000-00005B040000}"/>
    <cellStyle name="40% - Accent1 8 2 2" xfId="8350" xr:uid="{00000000-0005-0000-0000-00005C040000}"/>
    <cellStyle name="40% - Accent1 8 2 2 2" xfId="16800" xr:uid="{02BF21D9-8AF7-4804-B099-AA4F2CC0931E}"/>
    <cellStyle name="40% - Accent1 8 2 3" xfId="12582" xr:uid="{94AE19E0-BC82-4E15-B5A8-AA2B4B859B68}"/>
    <cellStyle name="40% - Accent1 8 3" xfId="6205" xr:uid="{00000000-0005-0000-0000-00005D040000}"/>
    <cellStyle name="40% - Accent1 8 3 2" xfId="14655" xr:uid="{184E1EC3-BD3C-47A6-97FE-F071F8505861}"/>
    <cellStyle name="40% - Accent1 8 4" xfId="10437" xr:uid="{E6F7DA50-FBBD-4190-B5A3-DC40DC78F4DE}"/>
    <cellStyle name="40% - Accent1 9" xfId="2312" xr:uid="{00000000-0005-0000-0000-00005E040000}"/>
    <cellStyle name="40% - Accent1 9 2" xfId="6618" xr:uid="{00000000-0005-0000-0000-00005F040000}"/>
    <cellStyle name="40% - Accent1 9 2 2" xfId="15068" xr:uid="{B90C5F6D-A395-4D90-AA2E-21B1F47DCB3C}"/>
    <cellStyle name="40% - Accent1 9 3" xfId="10850" xr:uid="{B3507A5D-EAF2-4EDA-BE37-2D94F2AB35C2}"/>
    <cellStyle name="40% - Accent2" xfId="57" builtinId="35" customBuiltin="1"/>
    <cellStyle name="40% - Accent2 10" xfId="4560" xr:uid="{00000000-0005-0000-0000-000061040000}"/>
    <cellStyle name="40% - Accent2 10 2" xfId="13010" xr:uid="{7127E49C-FE89-45C0-BEC0-4E8CF6C2DE12}"/>
    <cellStyle name="40% - Accent2 11" xfId="8792" xr:uid="{B8C932B2-1BB5-4A63-9303-24A56E6FF1AB}"/>
    <cellStyle name="40% - Accent2 2" xfId="58" xr:uid="{00000000-0005-0000-0000-000062040000}"/>
    <cellStyle name="40% - Accent2 2 10" xfId="8793" xr:uid="{554CBD7A-891B-4160-ACEA-9482EC8E3C8A}"/>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15572" xr:uid="{CE463CC0-76BF-44B5-9C3B-0722CB148CCA}"/>
    <cellStyle name="40% - Accent2 2 2 2 2 2 3" xfId="11354" xr:uid="{5FBE4424-3E1F-42EF-9937-DAB12C679A8E}"/>
    <cellStyle name="40% - Accent2 2 2 2 2 3" xfId="4977" xr:uid="{00000000-0005-0000-0000-000068040000}"/>
    <cellStyle name="40% - Accent2 2 2 2 2 3 2" xfId="13427" xr:uid="{CFBBBAB6-08D6-4FDB-BC53-8EF3F78F6CC1}"/>
    <cellStyle name="40% - Accent2 2 2 2 2 4" xfId="9209" xr:uid="{5073743E-9A48-472E-AEAD-6E2ED322841D}"/>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15985" xr:uid="{B22DE242-D159-4491-882D-835CA30EB6F1}"/>
    <cellStyle name="40% - Accent2 2 2 2 3 2 3" xfId="11767" xr:uid="{739F2B1E-21BC-4637-8D0B-778B5EBEB005}"/>
    <cellStyle name="40% - Accent2 2 2 2 3 3" xfId="5390" xr:uid="{00000000-0005-0000-0000-00006C040000}"/>
    <cellStyle name="40% - Accent2 2 2 2 3 3 2" xfId="13840" xr:uid="{B8E1F47E-EFC4-4AF5-A0F7-1C02A9A688DC}"/>
    <cellStyle name="40% - Accent2 2 2 2 3 4" xfId="9622" xr:uid="{0CA73659-D77D-47C5-9439-B08722FA7CF7}"/>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16398" xr:uid="{410DC75D-48C6-4AE7-B7F6-81E83DC432F7}"/>
    <cellStyle name="40% - Accent2 2 2 2 4 2 3" xfId="12180" xr:uid="{2F9D2B25-A82E-4334-95F1-EE74AAE984C8}"/>
    <cellStyle name="40% - Accent2 2 2 2 4 3" xfId="5803" xr:uid="{00000000-0005-0000-0000-000070040000}"/>
    <cellStyle name="40% - Accent2 2 2 2 4 3 2" xfId="14253" xr:uid="{D9707726-2075-4DC8-849D-A4469A14B64E}"/>
    <cellStyle name="40% - Accent2 2 2 2 4 4" xfId="10035" xr:uid="{F694B347-813A-475E-A460-D56FAB9E8428}"/>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16811" xr:uid="{AEB332F1-2AA4-4C23-8750-B9E205BC9E33}"/>
    <cellStyle name="40% - Accent2 2 2 2 5 2 3" xfId="12593" xr:uid="{2C635222-61A7-40C9-B77F-A013CC528ED8}"/>
    <cellStyle name="40% - Accent2 2 2 2 5 3" xfId="6216" xr:uid="{00000000-0005-0000-0000-000074040000}"/>
    <cellStyle name="40% - Accent2 2 2 2 5 3 2" xfId="14666" xr:uid="{41F891E4-FEEF-444D-8831-2201156C4EC1}"/>
    <cellStyle name="40% - Accent2 2 2 2 5 4" xfId="10448" xr:uid="{5E7B859C-63B6-4CF2-A658-67E562CE5EB5}"/>
    <cellStyle name="40% - Accent2 2 2 2 6" xfId="2323" xr:uid="{00000000-0005-0000-0000-000075040000}"/>
    <cellStyle name="40% - Accent2 2 2 2 6 2" xfId="6629" xr:uid="{00000000-0005-0000-0000-000076040000}"/>
    <cellStyle name="40% - Accent2 2 2 2 6 2 2" xfId="15079" xr:uid="{E3265A7F-6841-44A7-AE78-02FD06DA2347}"/>
    <cellStyle name="40% - Accent2 2 2 2 6 3" xfId="10861" xr:uid="{B557BCD7-DD6A-4D79-9C86-5F7084F66CF9}"/>
    <cellStyle name="40% - Accent2 2 2 2 7" xfId="4563" xr:uid="{00000000-0005-0000-0000-000077040000}"/>
    <cellStyle name="40% - Accent2 2 2 2 7 2" xfId="13013" xr:uid="{DBF2EAE9-6CE7-4AD3-B116-BEE8230688A2}"/>
    <cellStyle name="40% - Accent2 2 2 2 8" xfId="8795" xr:uid="{4BB5FDDB-97A2-459E-97A5-5EDF5A949A67}"/>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15571" xr:uid="{AC92770D-D03F-424B-A47C-FCD5F06ECF57}"/>
    <cellStyle name="40% - Accent2 2 2 3 2 3" xfId="11353" xr:uid="{7362E827-0615-44B9-B758-3609895ECB9D}"/>
    <cellStyle name="40% - Accent2 2 2 3 3" xfId="4976" xr:uid="{00000000-0005-0000-0000-00007B040000}"/>
    <cellStyle name="40% - Accent2 2 2 3 3 2" xfId="13426" xr:uid="{3CCD7D72-BCCD-4662-B4EA-8A1CFA071AE0}"/>
    <cellStyle name="40% - Accent2 2 2 3 4" xfId="9208" xr:uid="{7BF6E329-85F0-49B0-BD88-3F30F9B60062}"/>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15984" xr:uid="{682F6534-D0B5-4095-8654-3BC23AB42A4E}"/>
    <cellStyle name="40% - Accent2 2 2 4 2 3" xfId="11766" xr:uid="{869CF818-D755-48E5-B87D-52B4031A48D2}"/>
    <cellStyle name="40% - Accent2 2 2 4 3" xfId="5389" xr:uid="{00000000-0005-0000-0000-00007F040000}"/>
    <cellStyle name="40% - Accent2 2 2 4 3 2" xfId="13839" xr:uid="{B4F47925-40EF-4BAF-876C-4E00508F7FC6}"/>
    <cellStyle name="40% - Accent2 2 2 4 4" xfId="9621" xr:uid="{45DD120B-EF72-476E-BDF3-F8F60705B1CC}"/>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16397" xr:uid="{50E11C58-C7C7-480A-AD79-92D329B27104}"/>
    <cellStyle name="40% - Accent2 2 2 5 2 3" xfId="12179" xr:uid="{741527F1-4884-4A36-9AF2-E0FE47AA1CF1}"/>
    <cellStyle name="40% - Accent2 2 2 5 3" xfId="5802" xr:uid="{00000000-0005-0000-0000-000083040000}"/>
    <cellStyle name="40% - Accent2 2 2 5 3 2" xfId="14252" xr:uid="{10B51B86-8F75-4EC2-B165-CE7227A057FF}"/>
    <cellStyle name="40% - Accent2 2 2 5 4" xfId="10034" xr:uid="{A59ED9CD-785A-4F1B-81B9-9C8C7598FA9B}"/>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16810" xr:uid="{CC7EA1C3-301F-4E50-AE9C-B3DA89AF1813}"/>
    <cellStyle name="40% - Accent2 2 2 6 2 3" xfId="12592" xr:uid="{13A5F0D9-A698-4911-A0EF-7B44C25D7B90}"/>
    <cellStyle name="40% - Accent2 2 2 6 3" xfId="6215" xr:uid="{00000000-0005-0000-0000-000087040000}"/>
    <cellStyle name="40% - Accent2 2 2 6 3 2" xfId="14665" xr:uid="{82475A45-340A-4FB8-BB6E-8411D6355872}"/>
    <cellStyle name="40% - Accent2 2 2 6 4" xfId="10447" xr:uid="{D5452067-91A4-4C63-83DE-18A7BF30F4EB}"/>
    <cellStyle name="40% - Accent2 2 2 7" xfId="2322" xr:uid="{00000000-0005-0000-0000-000088040000}"/>
    <cellStyle name="40% - Accent2 2 2 7 2" xfId="6628" xr:uid="{00000000-0005-0000-0000-000089040000}"/>
    <cellStyle name="40% - Accent2 2 2 7 2 2" xfId="15078" xr:uid="{DF736701-FAE5-4E59-881D-E9B4758BFA4B}"/>
    <cellStyle name="40% - Accent2 2 2 7 3" xfId="10860" xr:uid="{18BD9682-68F5-40B0-8E58-3CCA1A14904E}"/>
    <cellStyle name="40% - Accent2 2 2 8" xfId="4562" xr:uid="{00000000-0005-0000-0000-00008A040000}"/>
    <cellStyle name="40% - Accent2 2 2 8 2" xfId="13012" xr:uid="{B79A884C-E64C-47D8-866A-DBE97E8EF0C0}"/>
    <cellStyle name="40% - Accent2 2 2 9" xfId="8794" xr:uid="{EF7B5469-65F4-49AC-9F89-4D2D0463D30E}"/>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15573" xr:uid="{E20B1079-419C-41C9-98DC-AA8E0F883866}"/>
    <cellStyle name="40% - Accent2 2 3 2 2 3" xfId="11355" xr:uid="{2F910EFB-E0CB-4CAB-8CE4-E69531C064CA}"/>
    <cellStyle name="40% - Accent2 2 3 2 3" xfId="4978" xr:uid="{00000000-0005-0000-0000-00008F040000}"/>
    <cellStyle name="40% - Accent2 2 3 2 3 2" xfId="13428" xr:uid="{BDB40CAC-ACC6-46C0-9E31-E16EB806AE9F}"/>
    <cellStyle name="40% - Accent2 2 3 2 4" xfId="9210" xr:uid="{77B829D8-4626-4BC9-9EAE-9095C0FF3E69}"/>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15986" xr:uid="{D98A1C72-2817-4FD1-A3E2-327906C42D6D}"/>
    <cellStyle name="40% - Accent2 2 3 3 2 3" xfId="11768" xr:uid="{41F000B4-6CC1-4BB3-8F7F-D56C1EA7583E}"/>
    <cellStyle name="40% - Accent2 2 3 3 3" xfId="5391" xr:uid="{00000000-0005-0000-0000-000093040000}"/>
    <cellStyle name="40% - Accent2 2 3 3 3 2" xfId="13841" xr:uid="{915A8350-E0AB-491F-8565-2810363E0EFF}"/>
    <cellStyle name="40% - Accent2 2 3 3 4" xfId="9623" xr:uid="{40BD4EED-F7AD-4FAA-A740-0FD26C98621F}"/>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16399" xr:uid="{AD588746-032B-40D2-A057-2F56900FEAAC}"/>
    <cellStyle name="40% - Accent2 2 3 4 2 3" xfId="12181" xr:uid="{4CFC1828-F63B-4544-906B-106FB73C1908}"/>
    <cellStyle name="40% - Accent2 2 3 4 3" xfId="5804" xr:uid="{00000000-0005-0000-0000-000097040000}"/>
    <cellStyle name="40% - Accent2 2 3 4 3 2" xfId="14254" xr:uid="{03676FBF-879F-4298-8466-3B0D475961CF}"/>
    <cellStyle name="40% - Accent2 2 3 4 4" xfId="10036" xr:uid="{F6EB4E12-1908-4C6D-B837-ECF060AF94BD}"/>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16812" xr:uid="{09EFBDE0-A6CF-4F13-BB4A-377F15D237D0}"/>
    <cellStyle name="40% - Accent2 2 3 5 2 3" xfId="12594" xr:uid="{C5384E6D-3F7F-4F24-BDA0-3A2AB3231402}"/>
    <cellStyle name="40% - Accent2 2 3 5 3" xfId="6217" xr:uid="{00000000-0005-0000-0000-00009B040000}"/>
    <cellStyle name="40% - Accent2 2 3 5 3 2" xfId="14667" xr:uid="{DD7C08F7-8969-487E-89C5-83CA235B5B52}"/>
    <cellStyle name="40% - Accent2 2 3 5 4" xfId="10449" xr:uid="{0D61A66B-2E1E-48A2-88BC-5AAAE9A34041}"/>
    <cellStyle name="40% - Accent2 2 3 6" xfId="2324" xr:uid="{00000000-0005-0000-0000-00009C040000}"/>
    <cellStyle name="40% - Accent2 2 3 6 2" xfId="6630" xr:uid="{00000000-0005-0000-0000-00009D040000}"/>
    <cellStyle name="40% - Accent2 2 3 6 2 2" xfId="15080" xr:uid="{5D1646E8-F0E6-42A2-886D-CA114C1725AA}"/>
    <cellStyle name="40% - Accent2 2 3 6 3" xfId="10862" xr:uid="{64D8E869-C98F-498B-96A3-96960EB62A9C}"/>
    <cellStyle name="40% - Accent2 2 3 7" xfId="4564" xr:uid="{00000000-0005-0000-0000-00009E040000}"/>
    <cellStyle name="40% - Accent2 2 3 7 2" xfId="13014" xr:uid="{7C6F0083-8265-46EB-A9B7-378BA18D3E18}"/>
    <cellStyle name="40% - Accent2 2 3 8" xfId="8796" xr:uid="{5CDCCB4C-08C4-4FE6-B4BF-F37BF0727E54}"/>
    <cellStyle name="40% - Accent2 2 4" xfId="627" xr:uid="{00000000-0005-0000-0000-00009F040000}"/>
    <cellStyle name="40% - Accent2 2 4 2" xfId="2898" xr:uid="{00000000-0005-0000-0000-0000A0040000}"/>
    <cellStyle name="40% - Accent2 2 4 2 2" xfId="7120" xr:uid="{00000000-0005-0000-0000-0000A1040000}"/>
    <cellStyle name="40% - Accent2 2 4 2 2 2" xfId="15570" xr:uid="{2C185421-FEBE-4FF1-8812-F8860916C920}"/>
    <cellStyle name="40% - Accent2 2 4 2 3" xfId="11352" xr:uid="{87B80A39-9FA8-4F05-9026-B7EE583C8AB6}"/>
    <cellStyle name="40% - Accent2 2 4 3" xfId="4975" xr:uid="{00000000-0005-0000-0000-0000A2040000}"/>
    <cellStyle name="40% - Accent2 2 4 3 2" xfId="13425" xr:uid="{5B7502CC-E041-421F-AD1E-23B0E831A8C3}"/>
    <cellStyle name="40% - Accent2 2 4 4" xfId="9207" xr:uid="{877B2414-D742-4172-9AA5-5E6D8F94A088}"/>
    <cellStyle name="40% - Accent2 2 5" xfId="1080" xr:uid="{00000000-0005-0000-0000-0000A3040000}"/>
    <cellStyle name="40% - Accent2 2 5 2" xfId="3311" xr:uid="{00000000-0005-0000-0000-0000A4040000}"/>
    <cellStyle name="40% - Accent2 2 5 2 2" xfId="7533" xr:uid="{00000000-0005-0000-0000-0000A5040000}"/>
    <cellStyle name="40% - Accent2 2 5 2 2 2" xfId="15983" xr:uid="{1352CEB7-7CBB-4581-852D-886ABD426DA6}"/>
    <cellStyle name="40% - Accent2 2 5 2 3" xfId="11765" xr:uid="{72676FAC-8EBF-4D5C-AA94-4FA034B7009D}"/>
    <cellStyle name="40% - Accent2 2 5 3" xfId="5388" xr:uid="{00000000-0005-0000-0000-0000A6040000}"/>
    <cellStyle name="40% - Accent2 2 5 3 2" xfId="13838" xr:uid="{659798BA-16CC-49A6-833C-7ED98635AF11}"/>
    <cellStyle name="40% - Accent2 2 5 4" xfId="9620" xr:uid="{AEAF7B17-00CE-4D3B-9F59-8CA16F7FACBB}"/>
    <cellStyle name="40% - Accent2 2 6" xfId="1494" xr:uid="{00000000-0005-0000-0000-0000A7040000}"/>
    <cellStyle name="40% - Accent2 2 6 2" xfId="3724" xr:uid="{00000000-0005-0000-0000-0000A8040000}"/>
    <cellStyle name="40% - Accent2 2 6 2 2" xfId="7946" xr:uid="{00000000-0005-0000-0000-0000A9040000}"/>
    <cellStyle name="40% - Accent2 2 6 2 2 2" xfId="16396" xr:uid="{DA14C7A0-2C20-4095-B282-1389C88B2B45}"/>
    <cellStyle name="40% - Accent2 2 6 2 3" xfId="12178" xr:uid="{DDB4FB7F-6761-44BC-8964-74B748731AAF}"/>
    <cellStyle name="40% - Accent2 2 6 3" xfId="5801" xr:uid="{00000000-0005-0000-0000-0000AA040000}"/>
    <cellStyle name="40% - Accent2 2 6 3 2" xfId="14251" xr:uid="{A263EA01-9D57-49FA-8FFB-61AB7A990159}"/>
    <cellStyle name="40% - Accent2 2 6 4" xfId="10033" xr:uid="{7D81EEAD-E5CB-4AD4-A30A-CE54190F4C92}"/>
    <cellStyle name="40% - Accent2 2 7" xfId="1908" xr:uid="{00000000-0005-0000-0000-0000AB040000}"/>
    <cellStyle name="40% - Accent2 2 7 2" xfId="4137" xr:uid="{00000000-0005-0000-0000-0000AC040000}"/>
    <cellStyle name="40% - Accent2 2 7 2 2" xfId="8359" xr:uid="{00000000-0005-0000-0000-0000AD040000}"/>
    <cellStyle name="40% - Accent2 2 7 2 2 2" xfId="16809" xr:uid="{5D18F97F-9282-48FD-80A3-791BD7D2219D}"/>
    <cellStyle name="40% - Accent2 2 7 2 3" xfId="12591" xr:uid="{7A37514A-5D24-4D1E-9702-FE1DACF49663}"/>
    <cellStyle name="40% - Accent2 2 7 3" xfId="6214" xr:uid="{00000000-0005-0000-0000-0000AE040000}"/>
    <cellStyle name="40% - Accent2 2 7 3 2" xfId="14664" xr:uid="{514B3D9B-651A-4D6F-9947-90D822D09369}"/>
    <cellStyle name="40% - Accent2 2 7 4" xfId="10446" xr:uid="{0D536F26-0657-4964-AD36-8BE27FDF7A47}"/>
    <cellStyle name="40% - Accent2 2 8" xfId="2321" xr:uid="{00000000-0005-0000-0000-0000AF040000}"/>
    <cellStyle name="40% - Accent2 2 8 2" xfId="6627" xr:uid="{00000000-0005-0000-0000-0000B0040000}"/>
    <cellStyle name="40% - Accent2 2 8 2 2" xfId="15077" xr:uid="{4F3501B3-3969-4167-914E-344264F739E7}"/>
    <cellStyle name="40% - Accent2 2 8 3" xfId="10859" xr:uid="{697A3B25-FB16-47A1-A032-5FD748923CB2}"/>
    <cellStyle name="40% - Accent2 2 9" xfId="4561" xr:uid="{00000000-0005-0000-0000-0000B1040000}"/>
    <cellStyle name="40% - Accent2 2 9 2" xfId="13011" xr:uid="{5FEA480F-7210-4D5B-8CBE-B06944A14471}"/>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15575" xr:uid="{830F22CF-F289-4B71-8679-C3B5691DBA63}"/>
    <cellStyle name="40% - Accent2 3 2 2 2 3" xfId="11357" xr:uid="{80BB27CE-7D7C-49DC-9B75-7206A2D84B40}"/>
    <cellStyle name="40% - Accent2 3 2 2 3" xfId="4980" xr:uid="{00000000-0005-0000-0000-0000B7040000}"/>
    <cellStyle name="40% - Accent2 3 2 2 3 2" xfId="13430" xr:uid="{D7BC1E3A-AA2E-478B-BD3E-F29D94F57455}"/>
    <cellStyle name="40% - Accent2 3 2 2 4" xfId="9212" xr:uid="{AF62FC38-C22A-453E-A0D2-32245F099153}"/>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15988" xr:uid="{FA4CEB30-C0C5-4AE9-BBA2-04933264E796}"/>
    <cellStyle name="40% - Accent2 3 2 3 2 3" xfId="11770" xr:uid="{9326D830-6967-461A-8928-C91016F5CE61}"/>
    <cellStyle name="40% - Accent2 3 2 3 3" xfId="5393" xr:uid="{00000000-0005-0000-0000-0000BB040000}"/>
    <cellStyle name="40% - Accent2 3 2 3 3 2" xfId="13843" xr:uid="{E3457BCC-C7D1-4A79-A80C-653A28E46711}"/>
    <cellStyle name="40% - Accent2 3 2 3 4" xfId="9625" xr:uid="{CFE7D01A-1139-473D-BBC3-F1C3EFE60D28}"/>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16401" xr:uid="{5505D05F-77CB-4E56-B619-FCAE0C37BDB0}"/>
    <cellStyle name="40% - Accent2 3 2 4 2 3" xfId="12183" xr:uid="{D3F7529E-2488-4D49-B9DA-250C6A14F172}"/>
    <cellStyle name="40% - Accent2 3 2 4 3" xfId="5806" xr:uid="{00000000-0005-0000-0000-0000BF040000}"/>
    <cellStyle name="40% - Accent2 3 2 4 3 2" xfId="14256" xr:uid="{985AADFB-E9E2-4885-BBA6-A9AA31029B61}"/>
    <cellStyle name="40% - Accent2 3 2 4 4" xfId="10038" xr:uid="{9F5DFB3E-7EAD-4EA0-9790-0A2EF99F818C}"/>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16814" xr:uid="{F612FBEB-9297-47F4-A7E6-11CEF460977C}"/>
    <cellStyle name="40% - Accent2 3 2 5 2 3" xfId="12596" xr:uid="{EBC24F86-AC3D-43E2-819B-7E6376E1CB64}"/>
    <cellStyle name="40% - Accent2 3 2 5 3" xfId="6219" xr:uid="{00000000-0005-0000-0000-0000C3040000}"/>
    <cellStyle name="40% - Accent2 3 2 5 3 2" xfId="14669" xr:uid="{31046E26-06C1-4027-A0E8-2D9F707E4483}"/>
    <cellStyle name="40% - Accent2 3 2 5 4" xfId="10451" xr:uid="{BBC045C3-77D2-4ECB-A71D-FE48BEFA6498}"/>
    <cellStyle name="40% - Accent2 3 2 6" xfId="2326" xr:uid="{00000000-0005-0000-0000-0000C4040000}"/>
    <cellStyle name="40% - Accent2 3 2 6 2" xfId="6632" xr:uid="{00000000-0005-0000-0000-0000C5040000}"/>
    <cellStyle name="40% - Accent2 3 2 6 2 2" xfId="15082" xr:uid="{8FA84B01-4944-4D6C-8B82-2A3BD3A0D489}"/>
    <cellStyle name="40% - Accent2 3 2 6 3" xfId="10864" xr:uid="{4329A4C6-CD29-409F-BDF2-D11CA9CCA645}"/>
    <cellStyle name="40% - Accent2 3 2 7" xfId="4566" xr:uid="{00000000-0005-0000-0000-0000C6040000}"/>
    <cellStyle name="40% - Accent2 3 2 7 2" xfId="13016" xr:uid="{700D5F7B-5C09-471A-9A98-77A9EC2BCF93}"/>
    <cellStyle name="40% - Accent2 3 2 8" xfId="8798" xr:uid="{9D3CEC77-C630-40EE-8DE0-317AA820F1D6}"/>
    <cellStyle name="40% - Accent2 3 3" xfId="631" xr:uid="{00000000-0005-0000-0000-0000C7040000}"/>
    <cellStyle name="40% - Accent2 3 3 2" xfId="2902" xr:uid="{00000000-0005-0000-0000-0000C8040000}"/>
    <cellStyle name="40% - Accent2 3 3 2 2" xfId="7124" xr:uid="{00000000-0005-0000-0000-0000C9040000}"/>
    <cellStyle name="40% - Accent2 3 3 2 2 2" xfId="15574" xr:uid="{3FA42386-FDB6-4BCD-BA92-28B020455487}"/>
    <cellStyle name="40% - Accent2 3 3 2 3" xfId="11356" xr:uid="{3448625F-BC8A-493D-B73E-2CAA88001CF3}"/>
    <cellStyle name="40% - Accent2 3 3 3" xfId="4979" xr:uid="{00000000-0005-0000-0000-0000CA040000}"/>
    <cellStyle name="40% - Accent2 3 3 3 2" xfId="13429" xr:uid="{F9361755-004C-4E41-A3F5-A060CFCE53A5}"/>
    <cellStyle name="40% - Accent2 3 3 4" xfId="9211" xr:uid="{D067C69F-E834-415A-A777-319002491E7A}"/>
    <cellStyle name="40% - Accent2 3 4" xfId="1084" xr:uid="{00000000-0005-0000-0000-0000CB040000}"/>
    <cellStyle name="40% - Accent2 3 4 2" xfId="3315" xr:uid="{00000000-0005-0000-0000-0000CC040000}"/>
    <cellStyle name="40% - Accent2 3 4 2 2" xfId="7537" xr:uid="{00000000-0005-0000-0000-0000CD040000}"/>
    <cellStyle name="40% - Accent2 3 4 2 2 2" xfId="15987" xr:uid="{DD8B2903-AF42-43ED-8971-D52987FEDF5B}"/>
    <cellStyle name="40% - Accent2 3 4 2 3" xfId="11769" xr:uid="{D517D567-B838-4F4E-99BF-AFF5A25F2AE3}"/>
    <cellStyle name="40% - Accent2 3 4 3" xfId="5392" xr:uid="{00000000-0005-0000-0000-0000CE040000}"/>
    <cellStyle name="40% - Accent2 3 4 3 2" xfId="13842" xr:uid="{7C74A1A8-98C5-451F-8680-88951AD78D5F}"/>
    <cellStyle name="40% - Accent2 3 4 4" xfId="9624" xr:uid="{08CC6B73-2399-4FDE-9F6D-53F76EB4609B}"/>
    <cellStyle name="40% - Accent2 3 5" xfId="1498" xr:uid="{00000000-0005-0000-0000-0000CF040000}"/>
    <cellStyle name="40% - Accent2 3 5 2" xfId="3728" xr:uid="{00000000-0005-0000-0000-0000D0040000}"/>
    <cellStyle name="40% - Accent2 3 5 2 2" xfId="7950" xr:uid="{00000000-0005-0000-0000-0000D1040000}"/>
    <cellStyle name="40% - Accent2 3 5 2 2 2" xfId="16400" xr:uid="{6CB2DFDB-06D1-4EDD-8D8A-972E98F0E163}"/>
    <cellStyle name="40% - Accent2 3 5 2 3" xfId="12182" xr:uid="{69F25D8F-63F6-4511-ADBA-E7728A7DEF6D}"/>
    <cellStyle name="40% - Accent2 3 5 3" xfId="5805" xr:uid="{00000000-0005-0000-0000-0000D2040000}"/>
    <cellStyle name="40% - Accent2 3 5 3 2" xfId="14255" xr:uid="{81854ACA-DB55-4B3B-BE72-7EDFAF6D87FC}"/>
    <cellStyle name="40% - Accent2 3 5 4" xfId="10037" xr:uid="{B82F1B1B-E5BF-4369-82E1-DE1075078D19}"/>
    <cellStyle name="40% - Accent2 3 6" xfId="1912" xr:uid="{00000000-0005-0000-0000-0000D3040000}"/>
    <cellStyle name="40% - Accent2 3 6 2" xfId="4141" xr:uid="{00000000-0005-0000-0000-0000D4040000}"/>
    <cellStyle name="40% - Accent2 3 6 2 2" xfId="8363" xr:uid="{00000000-0005-0000-0000-0000D5040000}"/>
    <cellStyle name="40% - Accent2 3 6 2 2 2" xfId="16813" xr:uid="{574E1511-8687-490B-A461-9BA93481D42C}"/>
    <cellStyle name="40% - Accent2 3 6 2 3" xfId="12595" xr:uid="{5A8A0BF9-C23B-4F2F-BBF2-95ED1BCEFB67}"/>
    <cellStyle name="40% - Accent2 3 6 3" xfId="6218" xr:uid="{00000000-0005-0000-0000-0000D6040000}"/>
    <cellStyle name="40% - Accent2 3 6 3 2" xfId="14668" xr:uid="{A4367F25-C7C2-4CBA-81E7-4C51ED5B5B2A}"/>
    <cellStyle name="40% - Accent2 3 6 4" xfId="10450" xr:uid="{45252D5E-6B80-4FE1-9508-EE57294A8843}"/>
    <cellStyle name="40% - Accent2 3 7" xfId="2325" xr:uid="{00000000-0005-0000-0000-0000D7040000}"/>
    <cellStyle name="40% - Accent2 3 7 2" xfId="6631" xr:uid="{00000000-0005-0000-0000-0000D8040000}"/>
    <cellStyle name="40% - Accent2 3 7 2 2" xfId="15081" xr:uid="{1355DB84-282C-4BCA-A87B-79F04EF69A1D}"/>
    <cellStyle name="40% - Accent2 3 7 3" xfId="10863" xr:uid="{DF948D9D-892A-465E-970F-108865CAA6F7}"/>
    <cellStyle name="40% - Accent2 3 8" xfId="4565" xr:uid="{00000000-0005-0000-0000-0000D9040000}"/>
    <cellStyle name="40% - Accent2 3 8 2" xfId="13015" xr:uid="{44F0E337-2513-4472-A64C-2EE3088D5ED1}"/>
    <cellStyle name="40% - Accent2 3 9" xfId="8797" xr:uid="{3FF63BD6-62B3-40F7-8171-3A5111FD4BF9}"/>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2 2 2" xfId="15576" xr:uid="{4C9A4DA1-BFC2-498C-9665-F95EA7F3FBA8}"/>
    <cellStyle name="40% - Accent2 4 2 2 3" xfId="11358" xr:uid="{59E0BD76-1507-499F-B35E-5B420991C724}"/>
    <cellStyle name="40% - Accent2 4 2 3" xfId="4981" xr:uid="{00000000-0005-0000-0000-0000DE040000}"/>
    <cellStyle name="40% - Accent2 4 2 3 2" xfId="13431" xr:uid="{C90D2B69-E8EA-48C0-BCFA-AE036BCEE822}"/>
    <cellStyle name="40% - Accent2 4 2 4" xfId="9213" xr:uid="{BB3D9823-7D67-4E0D-B7AB-420BCFC0C23A}"/>
    <cellStyle name="40% - Accent2 4 3" xfId="1086" xr:uid="{00000000-0005-0000-0000-0000DF040000}"/>
    <cellStyle name="40% - Accent2 4 3 2" xfId="3317" xr:uid="{00000000-0005-0000-0000-0000E0040000}"/>
    <cellStyle name="40% - Accent2 4 3 2 2" xfId="7539" xr:uid="{00000000-0005-0000-0000-0000E1040000}"/>
    <cellStyle name="40% - Accent2 4 3 2 2 2" xfId="15989" xr:uid="{12B27733-3014-4B35-AE0E-E3A5B43860AE}"/>
    <cellStyle name="40% - Accent2 4 3 2 3" xfId="11771" xr:uid="{DA1BA34E-8A86-4D8D-BAFD-E43A339A24EB}"/>
    <cellStyle name="40% - Accent2 4 3 3" xfId="5394" xr:uid="{00000000-0005-0000-0000-0000E2040000}"/>
    <cellStyle name="40% - Accent2 4 3 3 2" xfId="13844" xr:uid="{07E61315-5876-422A-93CB-4A6C83FDE5EC}"/>
    <cellStyle name="40% - Accent2 4 3 4" xfId="9626" xr:uid="{3E162916-81A0-4888-8E29-3F895C1D3112}"/>
    <cellStyle name="40% - Accent2 4 4" xfId="1500" xr:uid="{00000000-0005-0000-0000-0000E3040000}"/>
    <cellStyle name="40% - Accent2 4 4 2" xfId="3730" xr:uid="{00000000-0005-0000-0000-0000E4040000}"/>
    <cellStyle name="40% - Accent2 4 4 2 2" xfId="7952" xr:uid="{00000000-0005-0000-0000-0000E5040000}"/>
    <cellStyle name="40% - Accent2 4 4 2 2 2" xfId="16402" xr:uid="{83E70F85-B55A-47DC-AEDB-C971356444CC}"/>
    <cellStyle name="40% - Accent2 4 4 2 3" xfId="12184" xr:uid="{5C26CEDC-FF73-46AA-857F-5D5CC6478AB6}"/>
    <cellStyle name="40% - Accent2 4 4 3" xfId="5807" xr:uid="{00000000-0005-0000-0000-0000E6040000}"/>
    <cellStyle name="40% - Accent2 4 4 3 2" xfId="14257" xr:uid="{0C6E0E1A-1C5E-4D27-84B3-CF2E02382DD2}"/>
    <cellStyle name="40% - Accent2 4 4 4" xfId="10039" xr:uid="{3404B4BC-DDA2-4465-8117-C438758CC9FE}"/>
    <cellStyle name="40% - Accent2 4 5" xfId="1914" xr:uid="{00000000-0005-0000-0000-0000E7040000}"/>
    <cellStyle name="40% - Accent2 4 5 2" xfId="4143" xr:uid="{00000000-0005-0000-0000-0000E8040000}"/>
    <cellStyle name="40% - Accent2 4 5 2 2" xfId="8365" xr:uid="{00000000-0005-0000-0000-0000E9040000}"/>
    <cellStyle name="40% - Accent2 4 5 2 2 2" xfId="16815" xr:uid="{30480F5D-F83D-4C82-B3DA-DF1FDE83FCB3}"/>
    <cellStyle name="40% - Accent2 4 5 2 3" xfId="12597" xr:uid="{17A7DFFB-A145-474D-80CA-41C75BAE7E66}"/>
    <cellStyle name="40% - Accent2 4 5 3" xfId="6220" xr:uid="{00000000-0005-0000-0000-0000EA040000}"/>
    <cellStyle name="40% - Accent2 4 5 3 2" xfId="14670" xr:uid="{9C81DAD6-6DF1-42B8-BBD8-C0D4C5564DEB}"/>
    <cellStyle name="40% - Accent2 4 5 4" xfId="10452" xr:uid="{C856BA6A-6BB7-42EF-8ABF-B0A2C60B5DDF}"/>
    <cellStyle name="40% - Accent2 4 6" xfId="2327" xr:uid="{00000000-0005-0000-0000-0000EB040000}"/>
    <cellStyle name="40% - Accent2 4 6 2" xfId="6633" xr:uid="{00000000-0005-0000-0000-0000EC040000}"/>
    <cellStyle name="40% - Accent2 4 6 2 2" xfId="15083" xr:uid="{50D1E09D-656C-4F47-A5D3-AD3A52A980CE}"/>
    <cellStyle name="40% - Accent2 4 6 3" xfId="10865" xr:uid="{69911E5B-AC4D-4190-85FA-25BFAA4B5EB9}"/>
    <cellStyle name="40% - Accent2 4 7" xfId="4567" xr:uid="{00000000-0005-0000-0000-0000ED040000}"/>
    <cellStyle name="40% - Accent2 4 7 2" xfId="13017" xr:uid="{7F50BD6F-A267-4FA8-9FC1-DF876CB88771}"/>
    <cellStyle name="40% - Accent2 4 8" xfId="8799" xr:uid="{F4DE3B06-8901-4A9E-B552-9698CB4E73CA}"/>
    <cellStyle name="40% - Accent2 5" xfId="626" xr:uid="{00000000-0005-0000-0000-0000EE040000}"/>
    <cellStyle name="40% - Accent2 5 2" xfId="2897" xr:uid="{00000000-0005-0000-0000-0000EF040000}"/>
    <cellStyle name="40% - Accent2 5 2 2" xfId="7119" xr:uid="{00000000-0005-0000-0000-0000F0040000}"/>
    <cellStyle name="40% - Accent2 5 2 2 2" xfId="15569" xr:uid="{DF9E7AB0-A494-4D84-964E-0C24D0376557}"/>
    <cellStyle name="40% - Accent2 5 2 3" xfId="11351" xr:uid="{0B3F5602-FB9E-4075-8D43-5026D2802584}"/>
    <cellStyle name="40% - Accent2 5 3" xfId="4974" xr:uid="{00000000-0005-0000-0000-0000F1040000}"/>
    <cellStyle name="40% - Accent2 5 3 2" xfId="13424" xr:uid="{7851711D-BFFF-43A8-A722-DDDF55101D76}"/>
    <cellStyle name="40% - Accent2 5 4" xfId="9206" xr:uid="{E8D06509-C7AD-43A2-95FF-9626F9C69E46}"/>
    <cellStyle name="40% - Accent2 6" xfId="1079" xr:uid="{00000000-0005-0000-0000-0000F2040000}"/>
    <cellStyle name="40% - Accent2 6 2" xfId="3310" xr:uid="{00000000-0005-0000-0000-0000F3040000}"/>
    <cellStyle name="40% - Accent2 6 2 2" xfId="7532" xr:uid="{00000000-0005-0000-0000-0000F4040000}"/>
    <cellStyle name="40% - Accent2 6 2 2 2" xfId="15982" xr:uid="{F1EA62CA-D168-4C05-89A5-F5411194DC7F}"/>
    <cellStyle name="40% - Accent2 6 2 3" xfId="11764" xr:uid="{2C3F9778-2626-49E7-AA12-9B62773A91D8}"/>
    <cellStyle name="40% - Accent2 6 3" xfId="5387" xr:uid="{00000000-0005-0000-0000-0000F5040000}"/>
    <cellStyle name="40% - Accent2 6 3 2" xfId="13837" xr:uid="{AD28D674-CF4F-4251-A19C-16A21491ACBC}"/>
    <cellStyle name="40% - Accent2 6 4" xfId="9619" xr:uid="{782BF933-4BE9-45B5-B446-667909AAF0FB}"/>
    <cellStyle name="40% - Accent2 7" xfId="1493" xr:uid="{00000000-0005-0000-0000-0000F6040000}"/>
    <cellStyle name="40% - Accent2 7 2" xfId="3723" xr:uid="{00000000-0005-0000-0000-0000F7040000}"/>
    <cellStyle name="40% - Accent2 7 2 2" xfId="7945" xr:uid="{00000000-0005-0000-0000-0000F8040000}"/>
    <cellStyle name="40% - Accent2 7 2 2 2" xfId="16395" xr:uid="{63EF6830-0E8B-4387-8337-82C7E787517B}"/>
    <cellStyle name="40% - Accent2 7 2 3" xfId="12177" xr:uid="{D79D635E-813B-4DA3-A5C0-88B7857D4E86}"/>
    <cellStyle name="40% - Accent2 7 3" xfId="5800" xr:uid="{00000000-0005-0000-0000-0000F9040000}"/>
    <cellStyle name="40% - Accent2 7 3 2" xfId="14250" xr:uid="{87BD09B2-E73D-455B-9C12-1C60E6AC2E33}"/>
    <cellStyle name="40% - Accent2 7 4" xfId="10032" xr:uid="{5F01BEAC-4A3B-46A2-99B9-9C5168051A9D}"/>
    <cellStyle name="40% - Accent2 8" xfId="1907" xr:uid="{00000000-0005-0000-0000-0000FA040000}"/>
    <cellStyle name="40% - Accent2 8 2" xfId="4136" xr:uid="{00000000-0005-0000-0000-0000FB040000}"/>
    <cellStyle name="40% - Accent2 8 2 2" xfId="8358" xr:uid="{00000000-0005-0000-0000-0000FC040000}"/>
    <cellStyle name="40% - Accent2 8 2 2 2" xfId="16808" xr:uid="{1EBEF8CE-8A31-42A0-9C22-22110010D676}"/>
    <cellStyle name="40% - Accent2 8 2 3" xfId="12590" xr:uid="{88A64716-A25E-4EB5-A1F1-274608BA3E4D}"/>
    <cellStyle name="40% - Accent2 8 3" xfId="6213" xr:uid="{00000000-0005-0000-0000-0000FD040000}"/>
    <cellStyle name="40% - Accent2 8 3 2" xfId="14663" xr:uid="{A4CB1CF6-C429-441A-A761-836778606F9D}"/>
    <cellStyle name="40% - Accent2 8 4" xfId="10445" xr:uid="{E8939E31-8747-4883-AA3A-42AF43B15FD9}"/>
    <cellStyle name="40% - Accent2 9" xfId="2320" xr:uid="{00000000-0005-0000-0000-0000FE040000}"/>
    <cellStyle name="40% - Accent2 9 2" xfId="6626" xr:uid="{00000000-0005-0000-0000-0000FF040000}"/>
    <cellStyle name="40% - Accent2 9 2 2" xfId="15076" xr:uid="{DD209445-814A-49CD-A989-4CC152802A7A}"/>
    <cellStyle name="40% - Accent2 9 3" xfId="10858" xr:uid="{903931E1-3FDC-4785-8BE1-6F6F16492A54}"/>
    <cellStyle name="40% - Accent3" xfId="65" builtinId="39" customBuiltin="1"/>
    <cellStyle name="40% - Accent3 10" xfId="4568" xr:uid="{00000000-0005-0000-0000-000001050000}"/>
    <cellStyle name="40% - Accent3 10 2" xfId="13018" xr:uid="{CA6F355F-51DB-4FE3-AA1B-589F23E90F56}"/>
    <cellStyle name="40% - Accent3 11" xfId="8800" xr:uid="{682052F9-5FCD-4007-837A-C1DB9F31EBCE}"/>
    <cellStyle name="40% - Accent3 2" xfId="66" xr:uid="{00000000-0005-0000-0000-000002050000}"/>
    <cellStyle name="40% - Accent3 2 10" xfId="8801" xr:uid="{4EC8A068-5654-4190-B000-DFA1C59742A5}"/>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15580" xr:uid="{2FBADA7A-F242-4213-A1B3-AB525D479489}"/>
    <cellStyle name="40% - Accent3 2 2 2 2 2 3" xfId="11362" xr:uid="{F3D94321-D39E-4B6E-903F-819624A85325}"/>
    <cellStyle name="40% - Accent3 2 2 2 2 3" xfId="4985" xr:uid="{00000000-0005-0000-0000-000008050000}"/>
    <cellStyle name="40% - Accent3 2 2 2 2 3 2" xfId="13435" xr:uid="{804815FC-F311-4DAE-BC78-03B9D66CD9FB}"/>
    <cellStyle name="40% - Accent3 2 2 2 2 4" xfId="9217" xr:uid="{460CF9EC-736E-4D36-A976-349D0DC6292C}"/>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15993" xr:uid="{C8EEE0C5-DE5B-4B3F-9DD2-F91104D71AE5}"/>
    <cellStyle name="40% - Accent3 2 2 2 3 2 3" xfId="11775" xr:uid="{6B08CC68-2F96-4362-A3BF-F671071DF7C0}"/>
    <cellStyle name="40% - Accent3 2 2 2 3 3" xfId="5398" xr:uid="{00000000-0005-0000-0000-00000C050000}"/>
    <cellStyle name="40% - Accent3 2 2 2 3 3 2" xfId="13848" xr:uid="{372A19B8-F91B-44D8-94FE-F94A944CD7FF}"/>
    <cellStyle name="40% - Accent3 2 2 2 3 4" xfId="9630" xr:uid="{EED83B53-A19E-4E3E-9B1B-0102B48F0528}"/>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16406" xr:uid="{6CF4FD1C-607B-4A9C-B4AA-5B7966CE1363}"/>
    <cellStyle name="40% - Accent3 2 2 2 4 2 3" xfId="12188" xr:uid="{F8FAD0D3-57A1-4C3B-9EED-134AFFA9947E}"/>
    <cellStyle name="40% - Accent3 2 2 2 4 3" xfId="5811" xr:uid="{00000000-0005-0000-0000-000010050000}"/>
    <cellStyle name="40% - Accent3 2 2 2 4 3 2" xfId="14261" xr:uid="{D66578DF-9F35-4417-9ABB-440FA53899FD}"/>
    <cellStyle name="40% - Accent3 2 2 2 4 4" xfId="10043" xr:uid="{AE224925-F279-4BB0-90DD-9A25A64AED15}"/>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16819" xr:uid="{46FC8CB8-05BD-4EF4-B343-4BD668A5A88C}"/>
    <cellStyle name="40% - Accent3 2 2 2 5 2 3" xfId="12601" xr:uid="{DA9435D2-94ED-4448-A762-427667F937D9}"/>
    <cellStyle name="40% - Accent3 2 2 2 5 3" xfId="6224" xr:uid="{00000000-0005-0000-0000-000014050000}"/>
    <cellStyle name="40% - Accent3 2 2 2 5 3 2" xfId="14674" xr:uid="{C03023E6-B3E1-4E6F-9BFB-31E2D8AE9D5D}"/>
    <cellStyle name="40% - Accent3 2 2 2 5 4" xfId="10456" xr:uid="{A2ECB3BA-F59D-428D-90AD-7A7E4C0E517C}"/>
    <cellStyle name="40% - Accent3 2 2 2 6" xfId="2331" xr:uid="{00000000-0005-0000-0000-000015050000}"/>
    <cellStyle name="40% - Accent3 2 2 2 6 2" xfId="6637" xr:uid="{00000000-0005-0000-0000-000016050000}"/>
    <cellStyle name="40% - Accent3 2 2 2 6 2 2" xfId="15087" xr:uid="{1DA5835C-5C11-43D9-BC08-CB3A5FB92D3D}"/>
    <cellStyle name="40% - Accent3 2 2 2 6 3" xfId="10869" xr:uid="{D547CB3F-CC01-483A-A546-4145F91B92E0}"/>
    <cellStyle name="40% - Accent3 2 2 2 7" xfId="4571" xr:uid="{00000000-0005-0000-0000-000017050000}"/>
    <cellStyle name="40% - Accent3 2 2 2 7 2" xfId="13021" xr:uid="{A0803808-0376-42CA-9765-42DEA3373248}"/>
    <cellStyle name="40% - Accent3 2 2 2 8" xfId="8803" xr:uid="{408C7A0D-64E3-4C2D-9B82-0B85C7F9FB8A}"/>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15579" xr:uid="{ECF14230-82D6-470F-8411-42438BF61E1E}"/>
    <cellStyle name="40% - Accent3 2 2 3 2 3" xfId="11361" xr:uid="{918E5253-8B5B-4DD0-AA35-5DCC6B37AE24}"/>
    <cellStyle name="40% - Accent3 2 2 3 3" xfId="4984" xr:uid="{00000000-0005-0000-0000-00001B050000}"/>
    <cellStyle name="40% - Accent3 2 2 3 3 2" xfId="13434" xr:uid="{4CBA9305-7443-4634-9638-4FFE6832C33B}"/>
    <cellStyle name="40% - Accent3 2 2 3 4" xfId="9216" xr:uid="{25B87881-D6A9-437F-AD5C-2903EE7ED68B}"/>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15992" xr:uid="{8F5F4F9D-32D6-4EA9-8132-9FDDBE338054}"/>
    <cellStyle name="40% - Accent3 2 2 4 2 3" xfId="11774" xr:uid="{8E784C4F-8F27-443D-88FD-C314A5B2FE80}"/>
    <cellStyle name="40% - Accent3 2 2 4 3" xfId="5397" xr:uid="{00000000-0005-0000-0000-00001F050000}"/>
    <cellStyle name="40% - Accent3 2 2 4 3 2" xfId="13847" xr:uid="{E093591D-3A99-4E87-ADE9-AD71FF15E555}"/>
    <cellStyle name="40% - Accent3 2 2 4 4" xfId="9629" xr:uid="{2272BE4C-7FF6-4875-90F8-91BB4FE683D9}"/>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16405" xr:uid="{DC0DEB41-A6E9-4BEB-A5C6-6257EC070DCE}"/>
    <cellStyle name="40% - Accent3 2 2 5 2 3" xfId="12187" xr:uid="{64465F93-A248-4A1D-B458-CCB5B147C7BB}"/>
    <cellStyle name="40% - Accent3 2 2 5 3" xfId="5810" xr:uid="{00000000-0005-0000-0000-000023050000}"/>
    <cellStyle name="40% - Accent3 2 2 5 3 2" xfId="14260" xr:uid="{C66832F8-904B-476D-9BE9-AEBAA3C370CA}"/>
    <cellStyle name="40% - Accent3 2 2 5 4" xfId="10042" xr:uid="{FB4BDA98-CA81-458A-BABF-075BA9683A80}"/>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16818" xr:uid="{D1DEFEFA-1F03-4F6F-BF13-62C5C3C9656C}"/>
    <cellStyle name="40% - Accent3 2 2 6 2 3" xfId="12600" xr:uid="{69721207-411E-423B-9D7A-DAA672F6D167}"/>
    <cellStyle name="40% - Accent3 2 2 6 3" xfId="6223" xr:uid="{00000000-0005-0000-0000-000027050000}"/>
    <cellStyle name="40% - Accent3 2 2 6 3 2" xfId="14673" xr:uid="{8C227995-4A99-486C-9C0B-B577EB5087A2}"/>
    <cellStyle name="40% - Accent3 2 2 6 4" xfId="10455" xr:uid="{6918B6A1-B965-491B-9E7F-F0FC432C3C12}"/>
    <cellStyle name="40% - Accent3 2 2 7" xfId="2330" xr:uid="{00000000-0005-0000-0000-000028050000}"/>
    <cellStyle name="40% - Accent3 2 2 7 2" xfId="6636" xr:uid="{00000000-0005-0000-0000-000029050000}"/>
    <cellStyle name="40% - Accent3 2 2 7 2 2" xfId="15086" xr:uid="{59991ED0-86E4-49F7-89F5-1A0B6DF306C0}"/>
    <cellStyle name="40% - Accent3 2 2 7 3" xfId="10868" xr:uid="{2143C0D9-635B-4C6D-A5DE-FFFB11626CC5}"/>
    <cellStyle name="40% - Accent3 2 2 8" xfId="4570" xr:uid="{00000000-0005-0000-0000-00002A050000}"/>
    <cellStyle name="40% - Accent3 2 2 8 2" xfId="13020" xr:uid="{1D59AEF7-7DFF-499C-9A81-AD62FC786354}"/>
    <cellStyle name="40% - Accent3 2 2 9" xfId="8802" xr:uid="{477E52D6-AE98-485E-B1B9-E125E47782DA}"/>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15581" xr:uid="{BE20F9FD-E95B-4AB8-B719-41CEC52A3374}"/>
    <cellStyle name="40% - Accent3 2 3 2 2 3" xfId="11363" xr:uid="{76C14ED1-EBE7-433D-A508-9C5C6210F8D0}"/>
    <cellStyle name="40% - Accent3 2 3 2 3" xfId="4986" xr:uid="{00000000-0005-0000-0000-00002F050000}"/>
    <cellStyle name="40% - Accent3 2 3 2 3 2" xfId="13436" xr:uid="{A43956F2-F1C8-49ED-BA83-9D35A761C42F}"/>
    <cellStyle name="40% - Accent3 2 3 2 4" xfId="9218" xr:uid="{3152656B-A66D-4D12-953E-42008D2AE4B5}"/>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15994" xr:uid="{C867989F-EDFA-4D05-A482-B0E1DF77B65F}"/>
    <cellStyle name="40% - Accent3 2 3 3 2 3" xfId="11776" xr:uid="{4B33538D-F13C-45CA-9D69-EE83770F0F15}"/>
    <cellStyle name="40% - Accent3 2 3 3 3" xfId="5399" xr:uid="{00000000-0005-0000-0000-000033050000}"/>
    <cellStyle name="40% - Accent3 2 3 3 3 2" xfId="13849" xr:uid="{08D0FDDB-090D-49F2-8012-2022DD099343}"/>
    <cellStyle name="40% - Accent3 2 3 3 4" xfId="9631" xr:uid="{7553CE77-5DDE-4343-9223-1C3FC1565B35}"/>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16407" xr:uid="{30E6B4CD-115C-43E9-A64D-867F995F4FC0}"/>
    <cellStyle name="40% - Accent3 2 3 4 2 3" xfId="12189" xr:uid="{D6884C73-FD7B-4993-80A9-F5BDDBD1B568}"/>
    <cellStyle name="40% - Accent3 2 3 4 3" xfId="5812" xr:uid="{00000000-0005-0000-0000-000037050000}"/>
    <cellStyle name="40% - Accent3 2 3 4 3 2" xfId="14262" xr:uid="{C56C3F2D-3FC1-49C6-BE9A-F59FE1D3B9E5}"/>
    <cellStyle name="40% - Accent3 2 3 4 4" xfId="10044" xr:uid="{182C5B34-2BB6-4856-8982-CA4904D2F06C}"/>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16820" xr:uid="{2D933E0F-4938-41B9-8A05-06905319EEFA}"/>
    <cellStyle name="40% - Accent3 2 3 5 2 3" xfId="12602" xr:uid="{236ECE02-7529-489F-A991-D31E87090561}"/>
    <cellStyle name="40% - Accent3 2 3 5 3" xfId="6225" xr:uid="{00000000-0005-0000-0000-00003B050000}"/>
    <cellStyle name="40% - Accent3 2 3 5 3 2" xfId="14675" xr:uid="{2B01DB03-F153-447F-8E33-AD6BE225EF66}"/>
    <cellStyle name="40% - Accent3 2 3 5 4" xfId="10457" xr:uid="{137E2D7D-A7D4-4595-ABE6-B2FA8F3BCFB3}"/>
    <cellStyle name="40% - Accent3 2 3 6" xfId="2332" xr:uid="{00000000-0005-0000-0000-00003C050000}"/>
    <cellStyle name="40% - Accent3 2 3 6 2" xfId="6638" xr:uid="{00000000-0005-0000-0000-00003D050000}"/>
    <cellStyle name="40% - Accent3 2 3 6 2 2" xfId="15088" xr:uid="{7EE2D25F-476D-4290-8D06-D28B187E6FEC}"/>
    <cellStyle name="40% - Accent3 2 3 6 3" xfId="10870" xr:uid="{C074D76E-DFF8-41F1-99F8-C575406BC056}"/>
    <cellStyle name="40% - Accent3 2 3 7" xfId="4572" xr:uid="{00000000-0005-0000-0000-00003E050000}"/>
    <cellStyle name="40% - Accent3 2 3 7 2" xfId="13022" xr:uid="{9B3C4DC3-AFB0-41F5-8743-3AF9E97CB509}"/>
    <cellStyle name="40% - Accent3 2 3 8" xfId="8804" xr:uid="{FA464C52-42B7-455F-A50A-C5B60DC63E41}"/>
    <cellStyle name="40% - Accent3 2 4" xfId="635" xr:uid="{00000000-0005-0000-0000-00003F050000}"/>
    <cellStyle name="40% - Accent3 2 4 2" xfId="2906" xr:uid="{00000000-0005-0000-0000-000040050000}"/>
    <cellStyle name="40% - Accent3 2 4 2 2" xfId="7128" xr:uid="{00000000-0005-0000-0000-000041050000}"/>
    <cellStyle name="40% - Accent3 2 4 2 2 2" xfId="15578" xr:uid="{DBE79528-0FD4-4CD8-AD0F-B05805E8E3B6}"/>
    <cellStyle name="40% - Accent3 2 4 2 3" xfId="11360" xr:uid="{31F2F170-4B22-4B11-B8B7-D3F6967B4804}"/>
    <cellStyle name="40% - Accent3 2 4 3" xfId="4983" xr:uid="{00000000-0005-0000-0000-000042050000}"/>
    <cellStyle name="40% - Accent3 2 4 3 2" xfId="13433" xr:uid="{885A8860-9799-42D6-AD0E-C2BF4F74911B}"/>
    <cellStyle name="40% - Accent3 2 4 4" xfId="9215" xr:uid="{EDEA3AD8-0E10-4DB7-A316-E088E43B48C9}"/>
    <cellStyle name="40% - Accent3 2 5" xfId="1088" xr:uid="{00000000-0005-0000-0000-000043050000}"/>
    <cellStyle name="40% - Accent3 2 5 2" xfId="3319" xr:uid="{00000000-0005-0000-0000-000044050000}"/>
    <cellStyle name="40% - Accent3 2 5 2 2" xfId="7541" xr:uid="{00000000-0005-0000-0000-000045050000}"/>
    <cellStyle name="40% - Accent3 2 5 2 2 2" xfId="15991" xr:uid="{CDD7FE7C-B618-4967-8585-BAAB7A6E7C0C}"/>
    <cellStyle name="40% - Accent3 2 5 2 3" xfId="11773" xr:uid="{9A079550-6AA0-4A6D-9F11-E5D12E727985}"/>
    <cellStyle name="40% - Accent3 2 5 3" xfId="5396" xr:uid="{00000000-0005-0000-0000-000046050000}"/>
    <cellStyle name="40% - Accent3 2 5 3 2" xfId="13846" xr:uid="{ED0987AC-7462-4FE1-8E34-F84968F20770}"/>
    <cellStyle name="40% - Accent3 2 5 4" xfId="9628" xr:uid="{05C6FC43-73F5-4FE8-9B30-76FE0B5412B5}"/>
    <cellStyle name="40% - Accent3 2 6" xfId="1502" xr:uid="{00000000-0005-0000-0000-000047050000}"/>
    <cellStyle name="40% - Accent3 2 6 2" xfId="3732" xr:uid="{00000000-0005-0000-0000-000048050000}"/>
    <cellStyle name="40% - Accent3 2 6 2 2" xfId="7954" xr:uid="{00000000-0005-0000-0000-000049050000}"/>
    <cellStyle name="40% - Accent3 2 6 2 2 2" xfId="16404" xr:uid="{6A52F72D-94DF-4210-8226-4713C92FCEB7}"/>
    <cellStyle name="40% - Accent3 2 6 2 3" xfId="12186" xr:uid="{B2B90E4C-CFED-4C30-B79C-722547E68743}"/>
    <cellStyle name="40% - Accent3 2 6 3" xfId="5809" xr:uid="{00000000-0005-0000-0000-00004A050000}"/>
    <cellStyle name="40% - Accent3 2 6 3 2" xfId="14259" xr:uid="{B7C2AEC7-6578-44E8-B247-378050C9E26F}"/>
    <cellStyle name="40% - Accent3 2 6 4" xfId="10041" xr:uid="{D7CD6982-5BE9-41CE-B9E4-C92378ACF406}"/>
    <cellStyle name="40% - Accent3 2 7" xfId="1916" xr:uid="{00000000-0005-0000-0000-00004B050000}"/>
    <cellStyle name="40% - Accent3 2 7 2" xfId="4145" xr:uid="{00000000-0005-0000-0000-00004C050000}"/>
    <cellStyle name="40% - Accent3 2 7 2 2" xfId="8367" xr:uid="{00000000-0005-0000-0000-00004D050000}"/>
    <cellStyle name="40% - Accent3 2 7 2 2 2" xfId="16817" xr:uid="{B754041A-7555-4106-9EA1-0FE92650BD6B}"/>
    <cellStyle name="40% - Accent3 2 7 2 3" xfId="12599" xr:uid="{2D35549C-6E37-4700-B6AB-8F861CC454BB}"/>
    <cellStyle name="40% - Accent3 2 7 3" xfId="6222" xr:uid="{00000000-0005-0000-0000-00004E050000}"/>
    <cellStyle name="40% - Accent3 2 7 3 2" xfId="14672" xr:uid="{3C714B1B-EE2E-427F-84D9-FCCEFFC9B549}"/>
    <cellStyle name="40% - Accent3 2 7 4" xfId="10454" xr:uid="{6283270E-CF72-4522-A872-E4632A16A39F}"/>
    <cellStyle name="40% - Accent3 2 8" xfId="2329" xr:uid="{00000000-0005-0000-0000-00004F050000}"/>
    <cellStyle name="40% - Accent3 2 8 2" xfId="6635" xr:uid="{00000000-0005-0000-0000-000050050000}"/>
    <cellStyle name="40% - Accent3 2 8 2 2" xfId="15085" xr:uid="{F46510D1-B90E-415E-AD8A-2358D798AA17}"/>
    <cellStyle name="40% - Accent3 2 8 3" xfId="10867" xr:uid="{93DA7C00-CB11-41A1-B99A-1B0B1B0439AA}"/>
    <cellStyle name="40% - Accent3 2 9" xfId="4569" xr:uid="{00000000-0005-0000-0000-000051050000}"/>
    <cellStyle name="40% - Accent3 2 9 2" xfId="13019" xr:uid="{C367A81E-DA4C-4A15-B10A-86E9FA14E27B}"/>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15583" xr:uid="{087775CE-8713-481A-855A-B24A5A5B92C3}"/>
    <cellStyle name="40% - Accent3 3 2 2 2 3" xfId="11365" xr:uid="{3FA662FA-C4FF-4E94-9BF8-082CC19C147E}"/>
    <cellStyle name="40% - Accent3 3 2 2 3" xfId="4988" xr:uid="{00000000-0005-0000-0000-000057050000}"/>
    <cellStyle name="40% - Accent3 3 2 2 3 2" xfId="13438" xr:uid="{F945B455-719E-4740-8D7B-8E66EB88C002}"/>
    <cellStyle name="40% - Accent3 3 2 2 4" xfId="9220" xr:uid="{427DE580-2828-4878-9C53-DAF77229B750}"/>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15996" xr:uid="{35F351D6-DD8D-4258-9BAB-35B487800F3A}"/>
    <cellStyle name="40% - Accent3 3 2 3 2 3" xfId="11778" xr:uid="{9BC34023-3542-440B-BCA2-4D277908299D}"/>
    <cellStyle name="40% - Accent3 3 2 3 3" xfId="5401" xr:uid="{00000000-0005-0000-0000-00005B050000}"/>
    <cellStyle name="40% - Accent3 3 2 3 3 2" xfId="13851" xr:uid="{D6930D1B-5707-4066-923A-C673CDBAF2A2}"/>
    <cellStyle name="40% - Accent3 3 2 3 4" xfId="9633" xr:uid="{416F73CB-386A-4B43-8F1D-3F76AEFBB3F7}"/>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16409" xr:uid="{9D3AC202-FC5B-42B7-AF4A-52DF99863F9C}"/>
    <cellStyle name="40% - Accent3 3 2 4 2 3" xfId="12191" xr:uid="{A089E398-224B-44F1-AB41-CE47B4C287CA}"/>
    <cellStyle name="40% - Accent3 3 2 4 3" xfId="5814" xr:uid="{00000000-0005-0000-0000-00005F050000}"/>
    <cellStyle name="40% - Accent3 3 2 4 3 2" xfId="14264" xr:uid="{4E2F2EE6-3BB5-4A89-98EB-BE0A20156F55}"/>
    <cellStyle name="40% - Accent3 3 2 4 4" xfId="10046" xr:uid="{1C4DA13C-891D-4F55-A798-AFA97ADD8917}"/>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16822" xr:uid="{A9A65AD5-2C11-432E-8E6F-24130C91D1DD}"/>
    <cellStyle name="40% - Accent3 3 2 5 2 3" xfId="12604" xr:uid="{300075AD-DC59-43D0-AB48-0EA787825AA6}"/>
    <cellStyle name="40% - Accent3 3 2 5 3" xfId="6227" xr:uid="{00000000-0005-0000-0000-000063050000}"/>
    <cellStyle name="40% - Accent3 3 2 5 3 2" xfId="14677" xr:uid="{AC586181-6E04-4E85-A156-955010E0DF08}"/>
    <cellStyle name="40% - Accent3 3 2 5 4" xfId="10459" xr:uid="{849BBF99-CB4C-4FD2-AA38-B5C56FBF9067}"/>
    <cellStyle name="40% - Accent3 3 2 6" xfId="2334" xr:uid="{00000000-0005-0000-0000-000064050000}"/>
    <cellStyle name="40% - Accent3 3 2 6 2" xfId="6640" xr:uid="{00000000-0005-0000-0000-000065050000}"/>
    <cellStyle name="40% - Accent3 3 2 6 2 2" xfId="15090" xr:uid="{E2A7FD09-DF1B-497D-9302-BB473C25807A}"/>
    <cellStyle name="40% - Accent3 3 2 6 3" xfId="10872" xr:uid="{54A5480C-A1AD-42BA-9D1F-6003EBF40EB6}"/>
    <cellStyle name="40% - Accent3 3 2 7" xfId="4574" xr:uid="{00000000-0005-0000-0000-000066050000}"/>
    <cellStyle name="40% - Accent3 3 2 7 2" xfId="13024" xr:uid="{75407E10-B58D-4160-9C90-5FBFC60B058C}"/>
    <cellStyle name="40% - Accent3 3 2 8" xfId="8806" xr:uid="{DB7AF388-BB17-407A-A7D2-21E635020D00}"/>
    <cellStyle name="40% - Accent3 3 3" xfId="639" xr:uid="{00000000-0005-0000-0000-000067050000}"/>
    <cellStyle name="40% - Accent3 3 3 2" xfId="2910" xr:uid="{00000000-0005-0000-0000-000068050000}"/>
    <cellStyle name="40% - Accent3 3 3 2 2" xfId="7132" xr:uid="{00000000-0005-0000-0000-000069050000}"/>
    <cellStyle name="40% - Accent3 3 3 2 2 2" xfId="15582" xr:uid="{13A5844C-D4DC-4379-9CA5-A76A2D21EA1F}"/>
    <cellStyle name="40% - Accent3 3 3 2 3" xfId="11364" xr:uid="{4D54C6A4-E341-474B-AA16-99FAC29C2E4C}"/>
    <cellStyle name="40% - Accent3 3 3 3" xfId="4987" xr:uid="{00000000-0005-0000-0000-00006A050000}"/>
    <cellStyle name="40% - Accent3 3 3 3 2" xfId="13437" xr:uid="{F91B4297-0CBC-4F47-BB3A-0E47197B30DE}"/>
    <cellStyle name="40% - Accent3 3 3 4" xfId="9219" xr:uid="{69181828-0834-40FA-86A9-C9135DB7CC32}"/>
    <cellStyle name="40% - Accent3 3 4" xfId="1092" xr:uid="{00000000-0005-0000-0000-00006B050000}"/>
    <cellStyle name="40% - Accent3 3 4 2" xfId="3323" xr:uid="{00000000-0005-0000-0000-00006C050000}"/>
    <cellStyle name="40% - Accent3 3 4 2 2" xfId="7545" xr:uid="{00000000-0005-0000-0000-00006D050000}"/>
    <cellStyle name="40% - Accent3 3 4 2 2 2" xfId="15995" xr:uid="{8783D631-3FFE-4DB2-A200-FDF0C7DD1015}"/>
    <cellStyle name="40% - Accent3 3 4 2 3" xfId="11777" xr:uid="{61370CA5-67BF-47E8-9A6D-42C69790F317}"/>
    <cellStyle name="40% - Accent3 3 4 3" xfId="5400" xr:uid="{00000000-0005-0000-0000-00006E050000}"/>
    <cellStyle name="40% - Accent3 3 4 3 2" xfId="13850" xr:uid="{4DF02046-A7D8-419D-AD01-F233E1730C9E}"/>
    <cellStyle name="40% - Accent3 3 4 4" xfId="9632" xr:uid="{EEF9ED26-53E4-4249-9284-8C8B23C6C1A9}"/>
    <cellStyle name="40% - Accent3 3 5" xfId="1506" xr:uid="{00000000-0005-0000-0000-00006F050000}"/>
    <cellStyle name="40% - Accent3 3 5 2" xfId="3736" xr:uid="{00000000-0005-0000-0000-000070050000}"/>
    <cellStyle name="40% - Accent3 3 5 2 2" xfId="7958" xr:uid="{00000000-0005-0000-0000-000071050000}"/>
    <cellStyle name="40% - Accent3 3 5 2 2 2" xfId="16408" xr:uid="{E76C708B-97A3-472D-A312-328CD4397417}"/>
    <cellStyle name="40% - Accent3 3 5 2 3" xfId="12190" xr:uid="{C985C2DC-0383-4E94-AD21-7B2541C88309}"/>
    <cellStyle name="40% - Accent3 3 5 3" xfId="5813" xr:uid="{00000000-0005-0000-0000-000072050000}"/>
    <cellStyle name="40% - Accent3 3 5 3 2" xfId="14263" xr:uid="{E2EA81B9-7FBD-458A-BA25-0F385FB56801}"/>
    <cellStyle name="40% - Accent3 3 5 4" xfId="10045" xr:uid="{8DDA6AB5-2B1D-4B2B-A484-6F774BCE9B53}"/>
    <cellStyle name="40% - Accent3 3 6" xfId="1920" xr:uid="{00000000-0005-0000-0000-000073050000}"/>
    <cellStyle name="40% - Accent3 3 6 2" xfId="4149" xr:uid="{00000000-0005-0000-0000-000074050000}"/>
    <cellStyle name="40% - Accent3 3 6 2 2" xfId="8371" xr:uid="{00000000-0005-0000-0000-000075050000}"/>
    <cellStyle name="40% - Accent3 3 6 2 2 2" xfId="16821" xr:uid="{DA56B7E2-47D2-41F5-A622-D525551A1981}"/>
    <cellStyle name="40% - Accent3 3 6 2 3" xfId="12603" xr:uid="{4FF1E2D2-6EC6-4375-AEC9-F0DCEB6199DF}"/>
    <cellStyle name="40% - Accent3 3 6 3" xfId="6226" xr:uid="{00000000-0005-0000-0000-000076050000}"/>
    <cellStyle name="40% - Accent3 3 6 3 2" xfId="14676" xr:uid="{20BECF91-CB24-4977-B0E4-B186D8399BFD}"/>
    <cellStyle name="40% - Accent3 3 6 4" xfId="10458" xr:uid="{CB8A0382-2567-4637-A570-DBE8D571735D}"/>
    <cellStyle name="40% - Accent3 3 7" xfId="2333" xr:uid="{00000000-0005-0000-0000-000077050000}"/>
    <cellStyle name="40% - Accent3 3 7 2" xfId="6639" xr:uid="{00000000-0005-0000-0000-000078050000}"/>
    <cellStyle name="40% - Accent3 3 7 2 2" xfId="15089" xr:uid="{552EAC54-85F6-4D80-B6DC-1586A9348EDF}"/>
    <cellStyle name="40% - Accent3 3 7 3" xfId="10871" xr:uid="{66E93B1D-D477-4572-BC78-B5DE6B716E3E}"/>
    <cellStyle name="40% - Accent3 3 8" xfId="4573" xr:uid="{00000000-0005-0000-0000-000079050000}"/>
    <cellStyle name="40% - Accent3 3 8 2" xfId="13023" xr:uid="{771231FA-170D-4ACA-934B-5DE487083225}"/>
    <cellStyle name="40% - Accent3 3 9" xfId="8805" xr:uid="{F6E8A76C-8957-4CBA-A163-B4874A6ED2C4}"/>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2 2 2" xfId="15584" xr:uid="{8A8DCE14-2026-4EC5-9AFF-7E63A1564C39}"/>
    <cellStyle name="40% - Accent3 4 2 2 3" xfId="11366" xr:uid="{942A6A7E-BCD4-45A6-834F-CDAACD264234}"/>
    <cellStyle name="40% - Accent3 4 2 3" xfId="4989" xr:uid="{00000000-0005-0000-0000-00007E050000}"/>
    <cellStyle name="40% - Accent3 4 2 3 2" xfId="13439" xr:uid="{D3E15754-6B1A-4558-BBDF-8AA075CBAF1E}"/>
    <cellStyle name="40% - Accent3 4 2 4" xfId="9221" xr:uid="{D54FD626-E1C8-426D-ADCF-994F7F79D963}"/>
    <cellStyle name="40% - Accent3 4 3" xfId="1094" xr:uid="{00000000-0005-0000-0000-00007F050000}"/>
    <cellStyle name="40% - Accent3 4 3 2" xfId="3325" xr:uid="{00000000-0005-0000-0000-000080050000}"/>
    <cellStyle name="40% - Accent3 4 3 2 2" xfId="7547" xr:uid="{00000000-0005-0000-0000-000081050000}"/>
    <cellStyle name="40% - Accent3 4 3 2 2 2" xfId="15997" xr:uid="{057D9A74-3F67-4827-A850-4FB54AB5AE14}"/>
    <cellStyle name="40% - Accent3 4 3 2 3" xfId="11779" xr:uid="{080E91A8-C130-4009-9778-370ED080B231}"/>
    <cellStyle name="40% - Accent3 4 3 3" xfId="5402" xr:uid="{00000000-0005-0000-0000-000082050000}"/>
    <cellStyle name="40% - Accent3 4 3 3 2" xfId="13852" xr:uid="{59F315B4-5352-4932-A859-5AC8F75704C4}"/>
    <cellStyle name="40% - Accent3 4 3 4" xfId="9634" xr:uid="{BDA2BB68-057F-44B8-8EBC-2DF6556975CD}"/>
    <cellStyle name="40% - Accent3 4 4" xfId="1508" xr:uid="{00000000-0005-0000-0000-000083050000}"/>
    <cellStyle name="40% - Accent3 4 4 2" xfId="3738" xr:uid="{00000000-0005-0000-0000-000084050000}"/>
    <cellStyle name="40% - Accent3 4 4 2 2" xfId="7960" xr:uid="{00000000-0005-0000-0000-000085050000}"/>
    <cellStyle name="40% - Accent3 4 4 2 2 2" xfId="16410" xr:uid="{09475E1D-635E-49EB-AE80-40D9DC093E29}"/>
    <cellStyle name="40% - Accent3 4 4 2 3" xfId="12192" xr:uid="{CB64C42D-925F-4EF3-8937-B393B08A5389}"/>
    <cellStyle name="40% - Accent3 4 4 3" xfId="5815" xr:uid="{00000000-0005-0000-0000-000086050000}"/>
    <cellStyle name="40% - Accent3 4 4 3 2" xfId="14265" xr:uid="{96C3DCB2-D76D-4D09-8745-E3061C50624C}"/>
    <cellStyle name="40% - Accent3 4 4 4" xfId="10047" xr:uid="{1FA4AE92-BE72-4D95-B683-EF2A3C709556}"/>
    <cellStyle name="40% - Accent3 4 5" xfId="1922" xr:uid="{00000000-0005-0000-0000-000087050000}"/>
    <cellStyle name="40% - Accent3 4 5 2" xfId="4151" xr:uid="{00000000-0005-0000-0000-000088050000}"/>
    <cellStyle name="40% - Accent3 4 5 2 2" xfId="8373" xr:uid="{00000000-0005-0000-0000-000089050000}"/>
    <cellStyle name="40% - Accent3 4 5 2 2 2" xfId="16823" xr:uid="{DFA75D5E-312C-4750-AC61-D1F6713C0AD5}"/>
    <cellStyle name="40% - Accent3 4 5 2 3" xfId="12605" xr:uid="{11E2CC69-2865-41C4-A340-B3A90CA93EE7}"/>
    <cellStyle name="40% - Accent3 4 5 3" xfId="6228" xr:uid="{00000000-0005-0000-0000-00008A050000}"/>
    <cellStyle name="40% - Accent3 4 5 3 2" xfId="14678" xr:uid="{7C670416-3834-4ADA-81AD-9A7F8B67E1BE}"/>
    <cellStyle name="40% - Accent3 4 5 4" xfId="10460" xr:uid="{484B7583-D343-46E4-9876-41E2B391D7E7}"/>
    <cellStyle name="40% - Accent3 4 6" xfId="2335" xr:uid="{00000000-0005-0000-0000-00008B050000}"/>
    <cellStyle name="40% - Accent3 4 6 2" xfId="6641" xr:uid="{00000000-0005-0000-0000-00008C050000}"/>
    <cellStyle name="40% - Accent3 4 6 2 2" xfId="15091" xr:uid="{24EEF540-27FB-48A1-A603-0B5DF6AAB217}"/>
    <cellStyle name="40% - Accent3 4 6 3" xfId="10873" xr:uid="{CBE48551-6FF3-4075-B62E-D7BFFAC83AD8}"/>
    <cellStyle name="40% - Accent3 4 7" xfId="4575" xr:uid="{00000000-0005-0000-0000-00008D050000}"/>
    <cellStyle name="40% - Accent3 4 7 2" xfId="13025" xr:uid="{5B54AD0E-B063-49E3-BE66-32B1EE01F1E8}"/>
    <cellStyle name="40% - Accent3 4 8" xfId="8807" xr:uid="{89BC6C25-5C16-4DCF-8098-B2891A127E8D}"/>
    <cellStyle name="40% - Accent3 5" xfId="634" xr:uid="{00000000-0005-0000-0000-00008E050000}"/>
    <cellStyle name="40% - Accent3 5 2" xfId="2905" xr:uid="{00000000-0005-0000-0000-00008F050000}"/>
    <cellStyle name="40% - Accent3 5 2 2" xfId="7127" xr:uid="{00000000-0005-0000-0000-000090050000}"/>
    <cellStyle name="40% - Accent3 5 2 2 2" xfId="15577" xr:uid="{339F7F32-B5CA-4641-8A3B-14BBE453CDF9}"/>
    <cellStyle name="40% - Accent3 5 2 3" xfId="11359" xr:uid="{6A47B3DE-A8B8-463F-A9FA-337C5C34E298}"/>
    <cellStyle name="40% - Accent3 5 3" xfId="4982" xr:uid="{00000000-0005-0000-0000-000091050000}"/>
    <cellStyle name="40% - Accent3 5 3 2" xfId="13432" xr:uid="{574F3006-B14F-40AF-A063-4CA921335246}"/>
    <cellStyle name="40% - Accent3 5 4" xfId="9214" xr:uid="{0E92A65E-BBAC-4FA0-BF21-DC4922A92B64}"/>
    <cellStyle name="40% - Accent3 6" xfId="1087" xr:uid="{00000000-0005-0000-0000-000092050000}"/>
    <cellStyle name="40% - Accent3 6 2" xfId="3318" xr:uid="{00000000-0005-0000-0000-000093050000}"/>
    <cellStyle name="40% - Accent3 6 2 2" xfId="7540" xr:uid="{00000000-0005-0000-0000-000094050000}"/>
    <cellStyle name="40% - Accent3 6 2 2 2" xfId="15990" xr:uid="{8BE39B5A-BF3E-49C2-88F2-14EAF3A0F1BF}"/>
    <cellStyle name="40% - Accent3 6 2 3" xfId="11772" xr:uid="{19A8F323-0187-4E71-A98E-63C26E4E8F54}"/>
    <cellStyle name="40% - Accent3 6 3" xfId="5395" xr:uid="{00000000-0005-0000-0000-000095050000}"/>
    <cellStyle name="40% - Accent3 6 3 2" xfId="13845" xr:uid="{8112619C-CE94-437A-857B-8D3615761816}"/>
    <cellStyle name="40% - Accent3 6 4" xfId="9627" xr:uid="{C17C84D8-2747-4190-8CD0-DBE39BA3F041}"/>
    <cellStyle name="40% - Accent3 7" xfId="1501" xr:uid="{00000000-0005-0000-0000-000096050000}"/>
    <cellStyle name="40% - Accent3 7 2" xfId="3731" xr:uid="{00000000-0005-0000-0000-000097050000}"/>
    <cellStyle name="40% - Accent3 7 2 2" xfId="7953" xr:uid="{00000000-0005-0000-0000-000098050000}"/>
    <cellStyle name="40% - Accent3 7 2 2 2" xfId="16403" xr:uid="{CDE7AFAE-CB25-4620-86EB-215B3479AA17}"/>
    <cellStyle name="40% - Accent3 7 2 3" xfId="12185" xr:uid="{F4996776-C183-4F45-9FF0-C649AF7EDDB1}"/>
    <cellStyle name="40% - Accent3 7 3" xfId="5808" xr:uid="{00000000-0005-0000-0000-000099050000}"/>
    <cellStyle name="40% - Accent3 7 3 2" xfId="14258" xr:uid="{DF5B183B-12F8-41CB-A280-0EE5F8DE4C0A}"/>
    <cellStyle name="40% - Accent3 7 4" xfId="10040" xr:uid="{96882778-25EE-4A12-BBCC-8A7D24766BCB}"/>
    <cellStyle name="40% - Accent3 8" xfId="1915" xr:uid="{00000000-0005-0000-0000-00009A050000}"/>
    <cellStyle name="40% - Accent3 8 2" xfId="4144" xr:uid="{00000000-0005-0000-0000-00009B050000}"/>
    <cellStyle name="40% - Accent3 8 2 2" xfId="8366" xr:uid="{00000000-0005-0000-0000-00009C050000}"/>
    <cellStyle name="40% - Accent3 8 2 2 2" xfId="16816" xr:uid="{A0CBE57D-1664-4253-AD1A-FDF61274F416}"/>
    <cellStyle name="40% - Accent3 8 2 3" xfId="12598" xr:uid="{49D21B1D-E1B4-4472-BC19-5E813F8A95DC}"/>
    <cellStyle name="40% - Accent3 8 3" xfId="6221" xr:uid="{00000000-0005-0000-0000-00009D050000}"/>
    <cellStyle name="40% - Accent3 8 3 2" xfId="14671" xr:uid="{EF9F6A37-A6C0-490C-8888-E697DEEF2B2C}"/>
    <cellStyle name="40% - Accent3 8 4" xfId="10453" xr:uid="{4F6B54B1-905D-44A5-843A-62B4D3D75B62}"/>
    <cellStyle name="40% - Accent3 9" xfId="2328" xr:uid="{00000000-0005-0000-0000-00009E050000}"/>
    <cellStyle name="40% - Accent3 9 2" xfId="6634" xr:uid="{00000000-0005-0000-0000-00009F050000}"/>
    <cellStyle name="40% - Accent3 9 2 2" xfId="15084" xr:uid="{7BBB48C1-3862-4021-A928-46CF4DAF169C}"/>
    <cellStyle name="40% - Accent3 9 3" xfId="10866" xr:uid="{2348EDC9-86A4-437D-85A5-63C4A3C30C0F}"/>
    <cellStyle name="40% - Accent4" xfId="73" builtinId="43" customBuiltin="1"/>
    <cellStyle name="40% - Accent4 10" xfId="4576" xr:uid="{00000000-0005-0000-0000-0000A1050000}"/>
    <cellStyle name="40% - Accent4 10 2" xfId="13026" xr:uid="{D280C6C9-815F-4F62-90B6-9E803690CF8A}"/>
    <cellStyle name="40% - Accent4 11" xfId="8808" xr:uid="{86332B5C-3C34-45D6-9443-5AC29D6E1047}"/>
    <cellStyle name="40% - Accent4 2" xfId="74" xr:uid="{00000000-0005-0000-0000-0000A2050000}"/>
    <cellStyle name="40% - Accent4 2 10" xfId="8809" xr:uid="{817165C6-E778-4BBC-B269-BC79985EC449}"/>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15588" xr:uid="{88D74BD5-5B84-4777-A565-FE33397661E6}"/>
    <cellStyle name="40% - Accent4 2 2 2 2 2 3" xfId="11370" xr:uid="{9CB073D7-F735-4A47-AAED-59D9624525E8}"/>
    <cellStyle name="40% - Accent4 2 2 2 2 3" xfId="4993" xr:uid="{00000000-0005-0000-0000-0000A8050000}"/>
    <cellStyle name="40% - Accent4 2 2 2 2 3 2" xfId="13443" xr:uid="{34A967FE-C075-42D7-99B1-26C6D1D3B133}"/>
    <cellStyle name="40% - Accent4 2 2 2 2 4" xfId="9225" xr:uid="{848BE778-3614-4364-BA85-AB582961A939}"/>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16001" xr:uid="{30C618AC-CD97-483A-8C1C-C16617781B05}"/>
    <cellStyle name="40% - Accent4 2 2 2 3 2 3" xfId="11783" xr:uid="{8C13614E-046C-4251-A55F-B4A0BBFF8753}"/>
    <cellStyle name="40% - Accent4 2 2 2 3 3" xfId="5406" xr:uid="{00000000-0005-0000-0000-0000AC050000}"/>
    <cellStyle name="40% - Accent4 2 2 2 3 3 2" xfId="13856" xr:uid="{77FA31D5-0B22-40C9-B8C5-7B4886BD0D67}"/>
    <cellStyle name="40% - Accent4 2 2 2 3 4" xfId="9638" xr:uid="{BAEB7570-BA02-4C0F-BC8F-7E70DB14521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16414" xr:uid="{E740584C-051E-41D4-96AB-71DFBB987031}"/>
    <cellStyle name="40% - Accent4 2 2 2 4 2 3" xfId="12196" xr:uid="{046596B9-27FE-4183-A673-3A96D5334D04}"/>
    <cellStyle name="40% - Accent4 2 2 2 4 3" xfId="5819" xr:uid="{00000000-0005-0000-0000-0000B0050000}"/>
    <cellStyle name="40% - Accent4 2 2 2 4 3 2" xfId="14269" xr:uid="{95F9A825-4B00-4F8F-BA0A-8E26C364B51B}"/>
    <cellStyle name="40% - Accent4 2 2 2 4 4" xfId="10051" xr:uid="{8A75666F-E1C9-4089-BF9B-1FA9919FDC95}"/>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16827" xr:uid="{F4974FD3-7B0E-4C74-B956-C560F6D405CE}"/>
    <cellStyle name="40% - Accent4 2 2 2 5 2 3" xfId="12609" xr:uid="{A0DEB935-D835-4893-B7E4-A28328E6B855}"/>
    <cellStyle name="40% - Accent4 2 2 2 5 3" xfId="6232" xr:uid="{00000000-0005-0000-0000-0000B4050000}"/>
    <cellStyle name="40% - Accent4 2 2 2 5 3 2" xfId="14682" xr:uid="{372F58C4-3B18-4140-961D-77C8861ABC8C}"/>
    <cellStyle name="40% - Accent4 2 2 2 5 4" xfId="10464" xr:uid="{8B92D6B1-D809-403C-AE9F-C53935006606}"/>
    <cellStyle name="40% - Accent4 2 2 2 6" xfId="2339" xr:uid="{00000000-0005-0000-0000-0000B5050000}"/>
    <cellStyle name="40% - Accent4 2 2 2 6 2" xfId="6645" xr:uid="{00000000-0005-0000-0000-0000B6050000}"/>
    <cellStyle name="40% - Accent4 2 2 2 6 2 2" xfId="15095" xr:uid="{1B0F7201-B258-45DA-B555-8CBB4483FF11}"/>
    <cellStyle name="40% - Accent4 2 2 2 6 3" xfId="10877" xr:uid="{7064CE93-7DD1-4211-8C85-0FC4721DCF16}"/>
    <cellStyle name="40% - Accent4 2 2 2 7" xfId="4579" xr:uid="{00000000-0005-0000-0000-0000B7050000}"/>
    <cellStyle name="40% - Accent4 2 2 2 7 2" xfId="13029" xr:uid="{C6DA299F-C023-442C-A13E-70835E3410D7}"/>
    <cellStyle name="40% - Accent4 2 2 2 8" xfId="8811" xr:uid="{7D5242CF-AA23-4FE5-9D05-288DB1F6D48F}"/>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15587" xr:uid="{8B36C014-8C96-4FF2-97D3-A05945ECBFE0}"/>
    <cellStyle name="40% - Accent4 2 2 3 2 3" xfId="11369" xr:uid="{1509FA02-481A-493B-BF7B-4E1658285E68}"/>
    <cellStyle name="40% - Accent4 2 2 3 3" xfId="4992" xr:uid="{00000000-0005-0000-0000-0000BB050000}"/>
    <cellStyle name="40% - Accent4 2 2 3 3 2" xfId="13442" xr:uid="{3BBE6073-24F2-4723-BDE0-798F451A393E}"/>
    <cellStyle name="40% - Accent4 2 2 3 4" xfId="9224" xr:uid="{E8B90DF0-E1D4-43CF-9315-245FC26DA630}"/>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16000" xr:uid="{53056189-F1C7-408D-8748-03AB4E663714}"/>
    <cellStyle name="40% - Accent4 2 2 4 2 3" xfId="11782" xr:uid="{B7CE9C0E-7DD8-48CC-97BF-E4AE6C495084}"/>
    <cellStyle name="40% - Accent4 2 2 4 3" xfId="5405" xr:uid="{00000000-0005-0000-0000-0000BF050000}"/>
    <cellStyle name="40% - Accent4 2 2 4 3 2" xfId="13855" xr:uid="{0CE4A08D-32C6-49B8-A560-1C41EB9EF0C5}"/>
    <cellStyle name="40% - Accent4 2 2 4 4" xfId="9637" xr:uid="{C477EFA5-9CA6-4D84-B861-C2FF9B55ACE5}"/>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16413" xr:uid="{55AEA6B6-AEC8-4A34-9B04-28AAB4936083}"/>
    <cellStyle name="40% - Accent4 2 2 5 2 3" xfId="12195" xr:uid="{DDF1A566-4A21-404C-950C-F8102663FB4A}"/>
    <cellStyle name="40% - Accent4 2 2 5 3" xfId="5818" xr:uid="{00000000-0005-0000-0000-0000C3050000}"/>
    <cellStyle name="40% - Accent4 2 2 5 3 2" xfId="14268" xr:uid="{9D04BB12-3943-42AE-BFC0-7F0E3C55710A}"/>
    <cellStyle name="40% - Accent4 2 2 5 4" xfId="10050" xr:uid="{3646E89F-F106-4070-8FE2-F6034D5A1666}"/>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16826" xr:uid="{4AC101B0-33B6-4802-A9FA-5404D1B36485}"/>
    <cellStyle name="40% - Accent4 2 2 6 2 3" xfId="12608" xr:uid="{853EE92E-701A-4454-969C-0CEB6BDF4840}"/>
    <cellStyle name="40% - Accent4 2 2 6 3" xfId="6231" xr:uid="{00000000-0005-0000-0000-0000C7050000}"/>
    <cellStyle name="40% - Accent4 2 2 6 3 2" xfId="14681" xr:uid="{398A59EA-A5BC-4B9B-B98F-188407B6354F}"/>
    <cellStyle name="40% - Accent4 2 2 6 4" xfId="10463" xr:uid="{F0F15CB9-8097-4F13-8473-0F31B03AD5BA}"/>
    <cellStyle name="40% - Accent4 2 2 7" xfId="2338" xr:uid="{00000000-0005-0000-0000-0000C8050000}"/>
    <cellStyle name="40% - Accent4 2 2 7 2" xfId="6644" xr:uid="{00000000-0005-0000-0000-0000C9050000}"/>
    <cellStyle name="40% - Accent4 2 2 7 2 2" xfId="15094" xr:uid="{8031B1DF-28C5-4E7B-969F-1ED6C8736F66}"/>
    <cellStyle name="40% - Accent4 2 2 7 3" xfId="10876" xr:uid="{246DCA22-FD35-4294-9D48-CAC4E5F4EA23}"/>
    <cellStyle name="40% - Accent4 2 2 8" xfId="4578" xr:uid="{00000000-0005-0000-0000-0000CA050000}"/>
    <cellStyle name="40% - Accent4 2 2 8 2" xfId="13028" xr:uid="{E68002A9-0C4A-46EA-9FCA-3376570B515B}"/>
    <cellStyle name="40% - Accent4 2 2 9" xfId="8810" xr:uid="{40F9EE17-F462-426D-8898-DBB622BC862E}"/>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15589" xr:uid="{8E1F8B78-EA17-499C-AE10-661A2FD44594}"/>
    <cellStyle name="40% - Accent4 2 3 2 2 3" xfId="11371" xr:uid="{2D50F758-4671-44E2-A751-CCF2B9F38CF7}"/>
    <cellStyle name="40% - Accent4 2 3 2 3" xfId="4994" xr:uid="{00000000-0005-0000-0000-0000CF050000}"/>
    <cellStyle name="40% - Accent4 2 3 2 3 2" xfId="13444" xr:uid="{7F68D727-2DBE-4E82-B87F-E6E7EAB81719}"/>
    <cellStyle name="40% - Accent4 2 3 2 4" xfId="9226" xr:uid="{158FC3AA-0004-48A9-8AC7-362653B5714B}"/>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16002" xr:uid="{24A74EBF-A56B-4225-89EC-8AA8096A1C31}"/>
    <cellStyle name="40% - Accent4 2 3 3 2 3" xfId="11784" xr:uid="{3461E8A9-46EA-4B24-A1F2-CB31AA23371E}"/>
    <cellStyle name="40% - Accent4 2 3 3 3" xfId="5407" xr:uid="{00000000-0005-0000-0000-0000D3050000}"/>
    <cellStyle name="40% - Accent4 2 3 3 3 2" xfId="13857" xr:uid="{0987B7EC-DE2A-42AF-898A-FEF77F94A5A7}"/>
    <cellStyle name="40% - Accent4 2 3 3 4" xfId="9639" xr:uid="{A87358C7-196A-4B9F-AC0B-8EA4F9E0E59E}"/>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16415" xr:uid="{F9B3FE5A-16E5-429A-A23D-169F73E41705}"/>
    <cellStyle name="40% - Accent4 2 3 4 2 3" xfId="12197" xr:uid="{EBBD4CDC-276D-43C1-9DF8-9CB6C7235F79}"/>
    <cellStyle name="40% - Accent4 2 3 4 3" xfId="5820" xr:uid="{00000000-0005-0000-0000-0000D7050000}"/>
    <cellStyle name="40% - Accent4 2 3 4 3 2" xfId="14270" xr:uid="{2993D1BA-78BB-410E-B442-99DFCB944009}"/>
    <cellStyle name="40% - Accent4 2 3 4 4" xfId="10052" xr:uid="{E794DB8C-E8CF-4B0D-A06C-A622746F1B31}"/>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16828" xr:uid="{27D7F184-CA9F-4533-A913-F93E7C3621A2}"/>
    <cellStyle name="40% - Accent4 2 3 5 2 3" xfId="12610" xr:uid="{87D634E1-846D-45E4-9EAC-93C0AAF08E56}"/>
    <cellStyle name="40% - Accent4 2 3 5 3" xfId="6233" xr:uid="{00000000-0005-0000-0000-0000DB050000}"/>
    <cellStyle name="40% - Accent4 2 3 5 3 2" xfId="14683" xr:uid="{66538DC3-A17B-4EEB-B15B-492DB0033C09}"/>
    <cellStyle name="40% - Accent4 2 3 5 4" xfId="10465" xr:uid="{F53989E5-19C5-410E-A6B2-1BE4F6202247}"/>
    <cellStyle name="40% - Accent4 2 3 6" xfId="2340" xr:uid="{00000000-0005-0000-0000-0000DC050000}"/>
    <cellStyle name="40% - Accent4 2 3 6 2" xfId="6646" xr:uid="{00000000-0005-0000-0000-0000DD050000}"/>
    <cellStyle name="40% - Accent4 2 3 6 2 2" xfId="15096" xr:uid="{6377AC63-DE03-458C-B988-1E6B4427C7A0}"/>
    <cellStyle name="40% - Accent4 2 3 6 3" xfId="10878" xr:uid="{A8198D6C-276B-4E85-BFA4-4064B2263D95}"/>
    <cellStyle name="40% - Accent4 2 3 7" xfId="4580" xr:uid="{00000000-0005-0000-0000-0000DE050000}"/>
    <cellStyle name="40% - Accent4 2 3 7 2" xfId="13030" xr:uid="{11C00B2B-C2EA-48B5-AA3B-2C2092BD67F9}"/>
    <cellStyle name="40% - Accent4 2 3 8" xfId="8812" xr:uid="{DA3BAA06-1561-43A9-B469-C70BDC6D9124}"/>
    <cellStyle name="40% - Accent4 2 4" xfId="643" xr:uid="{00000000-0005-0000-0000-0000DF050000}"/>
    <cellStyle name="40% - Accent4 2 4 2" xfId="2914" xr:uid="{00000000-0005-0000-0000-0000E0050000}"/>
    <cellStyle name="40% - Accent4 2 4 2 2" xfId="7136" xr:uid="{00000000-0005-0000-0000-0000E1050000}"/>
    <cellStyle name="40% - Accent4 2 4 2 2 2" xfId="15586" xr:uid="{96554A17-FB90-4EEB-8CB9-01D9A0D10CAE}"/>
    <cellStyle name="40% - Accent4 2 4 2 3" xfId="11368" xr:uid="{647EEA8D-2912-42B0-BE31-C312E8527A1F}"/>
    <cellStyle name="40% - Accent4 2 4 3" xfId="4991" xr:uid="{00000000-0005-0000-0000-0000E2050000}"/>
    <cellStyle name="40% - Accent4 2 4 3 2" xfId="13441" xr:uid="{0A63074E-D8B6-4663-8E33-01A1F01BA1E3}"/>
    <cellStyle name="40% - Accent4 2 4 4" xfId="9223" xr:uid="{50346CE1-CD4C-42FA-8AD9-5FCF047558D3}"/>
    <cellStyle name="40% - Accent4 2 5" xfId="1096" xr:uid="{00000000-0005-0000-0000-0000E3050000}"/>
    <cellStyle name="40% - Accent4 2 5 2" xfId="3327" xr:uid="{00000000-0005-0000-0000-0000E4050000}"/>
    <cellStyle name="40% - Accent4 2 5 2 2" xfId="7549" xr:uid="{00000000-0005-0000-0000-0000E5050000}"/>
    <cellStyle name="40% - Accent4 2 5 2 2 2" xfId="15999" xr:uid="{17354B4C-B2CD-414A-9534-57489DCB65A8}"/>
    <cellStyle name="40% - Accent4 2 5 2 3" xfId="11781" xr:uid="{3CB141B1-B023-4D27-B8D0-BB492D39159D}"/>
    <cellStyle name="40% - Accent4 2 5 3" xfId="5404" xr:uid="{00000000-0005-0000-0000-0000E6050000}"/>
    <cellStyle name="40% - Accent4 2 5 3 2" xfId="13854" xr:uid="{D1418318-470B-4D34-B431-75749B1F2E24}"/>
    <cellStyle name="40% - Accent4 2 5 4" xfId="9636" xr:uid="{5F4AA7F8-617F-467C-A0D2-1E934E99A00A}"/>
    <cellStyle name="40% - Accent4 2 6" xfId="1510" xr:uid="{00000000-0005-0000-0000-0000E7050000}"/>
    <cellStyle name="40% - Accent4 2 6 2" xfId="3740" xr:uid="{00000000-0005-0000-0000-0000E8050000}"/>
    <cellStyle name="40% - Accent4 2 6 2 2" xfId="7962" xr:uid="{00000000-0005-0000-0000-0000E9050000}"/>
    <cellStyle name="40% - Accent4 2 6 2 2 2" xfId="16412" xr:uid="{C10A7948-76C5-4413-A747-09CD14D13E8C}"/>
    <cellStyle name="40% - Accent4 2 6 2 3" xfId="12194" xr:uid="{11FAE296-F371-4C07-B58E-94705BD3AC9F}"/>
    <cellStyle name="40% - Accent4 2 6 3" xfId="5817" xr:uid="{00000000-0005-0000-0000-0000EA050000}"/>
    <cellStyle name="40% - Accent4 2 6 3 2" xfId="14267" xr:uid="{FCC3A70D-3C16-4733-ABB9-198ED89AABAF}"/>
    <cellStyle name="40% - Accent4 2 6 4" xfId="10049" xr:uid="{5146633B-8EB3-4D8C-92AE-FCDA8E19C465}"/>
    <cellStyle name="40% - Accent4 2 7" xfId="1924" xr:uid="{00000000-0005-0000-0000-0000EB050000}"/>
    <cellStyle name="40% - Accent4 2 7 2" xfId="4153" xr:uid="{00000000-0005-0000-0000-0000EC050000}"/>
    <cellStyle name="40% - Accent4 2 7 2 2" xfId="8375" xr:uid="{00000000-0005-0000-0000-0000ED050000}"/>
    <cellStyle name="40% - Accent4 2 7 2 2 2" xfId="16825" xr:uid="{8DE3B9D7-464E-40C9-B954-5E0353C20E3D}"/>
    <cellStyle name="40% - Accent4 2 7 2 3" xfId="12607" xr:uid="{A5939ABC-C10D-4D85-BBB2-1358C33C893C}"/>
    <cellStyle name="40% - Accent4 2 7 3" xfId="6230" xr:uid="{00000000-0005-0000-0000-0000EE050000}"/>
    <cellStyle name="40% - Accent4 2 7 3 2" xfId="14680" xr:uid="{B6BC79EA-D33F-4586-89C1-910533D1E422}"/>
    <cellStyle name="40% - Accent4 2 7 4" xfId="10462" xr:uid="{06782F5C-B6E0-4465-95AC-653CDE632B46}"/>
    <cellStyle name="40% - Accent4 2 8" xfId="2337" xr:uid="{00000000-0005-0000-0000-0000EF050000}"/>
    <cellStyle name="40% - Accent4 2 8 2" xfId="6643" xr:uid="{00000000-0005-0000-0000-0000F0050000}"/>
    <cellStyle name="40% - Accent4 2 8 2 2" xfId="15093" xr:uid="{2CF4B7CC-23E3-4E63-B277-3EA4AB825E18}"/>
    <cellStyle name="40% - Accent4 2 8 3" xfId="10875" xr:uid="{584A2836-C80B-4374-8779-52CE60937549}"/>
    <cellStyle name="40% - Accent4 2 9" xfId="4577" xr:uid="{00000000-0005-0000-0000-0000F1050000}"/>
    <cellStyle name="40% - Accent4 2 9 2" xfId="13027" xr:uid="{4388DBAE-D581-48E1-AA53-D345995D2F9C}"/>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15591" xr:uid="{6FA18723-ADB0-437A-A76B-D69EC8FEA813}"/>
    <cellStyle name="40% - Accent4 3 2 2 2 3" xfId="11373" xr:uid="{6A9EEC96-57CB-400C-88EE-DE5113EE0BF5}"/>
    <cellStyle name="40% - Accent4 3 2 2 3" xfId="4996" xr:uid="{00000000-0005-0000-0000-0000F7050000}"/>
    <cellStyle name="40% - Accent4 3 2 2 3 2" xfId="13446" xr:uid="{6406A037-EDFC-4A82-92C1-1D3BF78AAFBE}"/>
    <cellStyle name="40% - Accent4 3 2 2 4" xfId="9228" xr:uid="{971ED7FE-03FC-4EF4-B435-117ADCADDE48}"/>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16004" xr:uid="{37399C47-0BB7-42BC-BB62-2A78ADF5630E}"/>
    <cellStyle name="40% - Accent4 3 2 3 2 3" xfId="11786" xr:uid="{55664367-3D98-4D25-857A-DD7B23F89688}"/>
    <cellStyle name="40% - Accent4 3 2 3 3" xfId="5409" xr:uid="{00000000-0005-0000-0000-0000FB050000}"/>
    <cellStyle name="40% - Accent4 3 2 3 3 2" xfId="13859" xr:uid="{1E5153BE-F5E5-45A9-AB19-C98B3477643C}"/>
    <cellStyle name="40% - Accent4 3 2 3 4" xfId="9641" xr:uid="{EB791EB0-9C4A-48EB-88F8-5CF9D73A3186}"/>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16417" xr:uid="{60492FD8-A73E-44A4-8790-96FEF93743D2}"/>
    <cellStyle name="40% - Accent4 3 2 4 2 3" xfId="12199" xr:uid="{245855FA-7C04-40CB-BA00-23C894C38DB1}"/>
    <cellStyle name="40% - Accent4 3 2 4 3" xfId="5822" xr:uid="{00000000-0005-0000-0000-0000FF050000}"/>
    <cellStyle name="40% - Accent4 3 2 4 3 2" xfId="14272" xr:uid="{9534029E-7B9C-4D0A-B022-4C8B0651E984}"/>
    <cellStyle name="40% - Accent4 3 2 4 4" xfId="10054" xr:uid="{33E7505B-1DFB-451F-AC2C-3B559E722A81}"/>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16830" xr:uid="{84801574-76D5-4739-866E-3F5115AB1046}"/>
    <cellStyle name="40% - Accent4 3 2 5 2 3" xfId="12612" xr:uid="{E66C7F6F-CDB5-49F7-9409-373A9035ADD2}"/>
    <cellStyle name="40% - Accent4 3 2 5 3" xfId="6235" xr:uid="{00000000-0005-0000-0000-000003060000}"/>
    <cellStyle name="40% - Accent4 3 2 5 3 2" xfId="14685" xr:uid="{E0122CDD-4DEF-4DD9-B082-9D7361BD9F23}"/>
    <cellStyle name="40% - Accent4 3 2 5 4" xfId="10467" xr:uid="{B1FD225E-96F7-4BF6-A2A9-327873CB4C65}"/>
    <cellStyle name="40% - Accent4 3 2 6" xfId="2342" xr:uid="{00000000-0005-0000-0000-000004060000}"/>
    <cellStyle name="40% - Accent4 3 2 6 2" xfId="6648" xr:uid="{00000000-0005-0000-0000-000005060000}"/>
    <cellStyle name="40% - Accent4 3 2 6 2 2" xfId="15098" xr:uid="{95C0407A-AE09-46AE-9F2A-FBF9E5756A15}"/>
    <cellStyle name="40% - Accent4 3 2 6 3" xfId="10880" xr:uid="{CDA11B8C-7E93-4F92-A4C7-E7B92BED034C}"/>
    <cellStyle name="40% - Accent4 3 2 7" xfId="4582" xr:uid="{00000000-0005-0000-0000-000006060000}"/>
    <cellStyle name="40% - Accent4 3 2 7 2" xfId="13032" xr:uid="{D31AF376-D01A-41B2-AA0C-A05B1A3F0AD9}"/>
    <cellStyle name="40% - Accent4 3 2 8" xfId="8814" xr:uid="{F05C7D75-74F4-4717-8B1B-2A7660E70A3C}"/>
    <cellStyle name="40% - Accent4 3 3" xfId="647" xr:uid="{00000000-0005-0000-0000-000007060000}"/>
    <cellStyle name="40% - Accent4 3 3 2" xfId="2918" xr:uid="{00000000-0005-0000-0000-000008060000}"/>
    <cellStyle name="40% - Accent4 3 3 2 2" xfId="7140" xr:uid="{00000000-0005-0000-0000-000009060000}"/>
    <cellStyle name="40% - Accent4 3 3 2 2 2" xfId="15590" xr:uid="{9CECBB5E-8274-4CEE-837F-4D71EED83819}"/>
    <cellStyle name="40% - Accent4 3 3 2 3" xfId="11372" xr:uid="{5D362919-5556-4B78-817C-24036D3ED615}"/>
    <cellStyle name="40% - Accent4 3 3 3" xfId="4995" xr:uid="{00000000-0005-0000-0000-00000A060000}"/>
    <cellStyle name="40% - Accent4 3 3 3 2" xfId="13445" xr:uid="{CEA227AE-FFD9-4947-BC87-05D67072719D}"/>
    <cellStyle name="40% - Accent4 3 3 4" xfId="9227" xr:uid="{BC89C6C5-C5DB-41A8-826C-E3CEEA980EC0}"/>
    <cellStyle name="40% - Accent4 3 4" xfId="1100" xr:uid="{00000000-0005-0000-0000-00000B060000}"/>
    <cellStyle name="40% - Accent4 3 4 2" xfId="3331" xr:uid="{00000000-0005-0000-0000-00000C060000}"/>
    <cellStyle name="40% - Accent4 3 4 2 2" xfId="7553" xr:uid="{00000000-0005-0000-0000-00000D060000}"/>
    <cellStyle name="40% - Accent4 3 4 2 2 2" xfId="16003" xr:uid="{B8B43275-6B90-41E7-BAE4-A68B01F6D91A}"/>
    <cellStyle name="40% - Accent4 3 4 2 3" xfId="11785" xr:uid="{54BACE0C-81D6-475D-ADC8-A33F66930022}"/>
    <cellStyle name="40% - Accent4 3 4 3" xfId="5408" xr:uid="{00000000-0005-0000-0000-00000E060000}"/>
    <cellStyle name="40% - Accent4 3 4 3 2" xfId="13858" xr:uid="{9F50D2DD-21E6-471F-8CBC-3B16F2A4B297}"/>
    <cellStyle name="40% - Accent4 3 4 4" xfId="9640" xr:uid="{94E8C95C-94C5-47AF-9B44-0B018D546919}"/>
    <cellStyle name="40% - Accent4 3 5" xfId="1514" xr:uid="{00000000-0005-0000-0000-00000F060000}"/>
    <cellStyle name="40% - Accent4 3 5 2" xfId="3744" xr:uid="{00000000-0005-0000-0000-000010060000}"/>
    <cellStyle name="40% - Accent4 3 5 2 2" xfId="7966" xr:uid="{00000000-0005-0000-0000-000011060000}"/>
    <cellStyle name="40% - Accent4 3 5 2 2 2" xfId="16416" xr:uid="{E34D485A-CE93-4E36-9EC7-19D75C2C6AAC}"/>
    <cellStyle name="40% - Accent4 3 5 2 3" xfId="12198" xr:uid="{E13A8CE2-370E-4AE6-A907-77C76792FCD9}"/>
    <cellStyle name="40% - Accent4 3 5 3" xfId="5821" xr:uid="{00000000-0005-0000-0000-000012060000}"/>
    <cellStyle name="40% - Accent4 3 5 3 2" xfId="14271" xr:uid="{5BA7FD73-48FD-4DC5-834B-2D23942DE6C8}"/>
    <cellStyle name="40% - Accent4 3 5 4" xfId="10053" xr:uid="{55ABDD75-BEF0-41C9-9668-FC633DCEF722}"/>
    <cellStyle name="40% - Accent4 3 6" xfId="1928" xr:uid="{00000000-0005-0000-0000-000013060000}"/>
    <cellStyle name="40% - Accent4 3 6 2" xfId="4157" xr:uid="{00000000-0005-0000-0000-000014060000}"/>
    <cellStyle name="40% - Accent4 3 6 2 2" xfId="8379" xr:uid="{00000000-0005-0000-0000-000015060000}"/>
    <cellStyle name="40% - Accent4 3 6 2 2 2" xfId="16829" xr:uid="{71BCBC1A-A4D2-4BF5-8166-33005367D458}"/>
    <cellStyle name="40% - Accent4 3 6 2 3" xfId="12611" xr:uid="{6E9D255B-466A-45EC-AB58-5351EA205A5B}"/>
    <cellStyle name="40% - Accent4 3 6 3" xfId="6234" xr:uid="{00000000-0005-0000-0000-000016060000}"/>
    <cellStyle name="40% - Accent4 3 6 3 2" xfId="14684" xr:uid="{AE69B29B-454E-433F-8C04-AC9B721E7843}"/>
    <cellStyle name="40% - Accent4 3 6 4" xfId="10466" xr:uid="{48369B35-1BE7-4CF3-94F3-B7DAC818095D}"/>
    <cellStyle name="40% - Accent4 3 7" xfId="2341" xr:uid="{00000000-0005-0000-0000-000017060000}"/>
    <cellStyle name="40% - Accent4 3 7 2" xfId="6647" xr:uid="{00000000-0005-0000-0000-000018060000}"/>
    <cellStyle name="40% - Accent4 3 7 2 2" xfId="15097" xr:uid="{82BFDDF2-453A-49AF-ADA4-AC8FA22FE9B0}"/>
    <cellStyle name="40% - Accent4 3 7 3" xfId="10879" xr:uid="{4AF01EBE-20F5-462C-BFE0-7C866BD9F092}"/>
    <cellStyle name="40% - Accent4 3 8" xfId="4581" xr:uid="{00000000-0005-0000-0000-000019060000}"/>
    <cellStyle name="40% - Accent4 3 8 2" xfId="13031" xr:uid="{3A3C73DD-8AFB-4388-B7BE-A6ECB9333291}"/>
    <cellStyle name="40% - Accent4 3 9" xfId="8813" xr:uid="{14494BBF-C7AE-4FAE-AEEE-E323830CAA43}"/>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2 2 2" xfId="15592" xr:uid="{744208F0-6BC8-4E5F-B71F-F41AC333B448}"/>
    <cellStyle name="40% - Accent4 4 2 2 3" xfId="11374" xr:uid="{3865A12A-4E8F-4B94-8F23-298DCE80ADDF}"/>
    <cellStyle name="40% - Accent4 4 2 3" xfId="4997" xr:uid="{00000000-0005-0000-0000-00001E060000}"/>
    <cellStyle name="40% - Accent4 4 2 3 2" xfId="13447" xr:uid="{ED8826CC-C122-4901-93DB-BFB57E2E70A8}"/>
    <cellStyle name="40% - Accent4 4 2 4" xfId="9229" xr:uid="{D10A1540-7E51-4BE1-9D5A-CF17FB7B9DBE}"/>
    <cellStyle name="40% - Accent4 4 3" xfId="1102" xr:uid="{00000000-0005-0000-0000-00001F060000}"/>
    <cellStyle name="40% - Accent4 4 3 2" xfId="3333" xr:uid="{00000000-0005-0000-0000-000020060000}"/>
    <cellStyle name="40% - Accent4 4 3 2 2" xfId="7555" xr:uid="{00000000-0005-0000-0000-000021060000}"/>
    <cellStyle name="40% - Accent4 4 3 2 2 2" xfId="16005" xr:uid="{4683437B-108D-44D5-90B7-EA8F0EA9D045}"/>
    <cellStyle name="40% - Accent4 4 3 2 3" xfId="11787" xr:uid="{0DB7DBFB-328F-412E-86D7-ADEC8CE05298}"/>
    <cellStyle name="40% - Accent4 4 3 3" xfId="5410" xr:uid="{00000000-0005-0000-0000-000022060000}"/>
    <cellStyle name="40% - Accent4 4 3 3 2" xfId="13860" xr:uid="{FDCFE804-3220-4E8A-AB7F-2BC76B6138F9}"/>
    <cellStyle name="40% - Accent4 4 3 4" xfId="9642" xr:uid="{1419A480-3FF8-43DD-85CC-8F790F6F3C33}"/>
    <cellStyle name="40% - Accent4 4 4" xfId="1516" xr:uid="{00000000-0005-0000-0000-000023060000}"/>
    <cellStyle name="40% - Accent4 4 4 2" xfId="3746" xr:uid="{00000000-0005-0000-0000-000024060000}"/>
    <cellStyle name="40% - Accent4 4 4 2 2" xfId="7968" xr:uid="{00000000-0005-0000-0000-000025060000}"/>
    <cellStyle name="40% - Accent4 4 4 2 2 2" xfId="16418" xr:uid="{296914D7-17BC-48C7-BC75-635F424E24EB}"/>
    <cellStyle name="40% - Accent4 4 4 2 3" xfId="12200" xr:uid="{39A09A35-28AF-4AC2-A25E-DDE2C2ACDC06}"/>
    <cellStyle name="40% - Accent4 4 4 3" xfId="5823" xr:uid="{00000000-0005-0000-0000-000026060000}"/>
    <cellStyle name="40% - Accent4 4 4 3 2" xfId="14273" xr:uid="{BACE7818-3F25-4AE5-BF7F-FB1B17F43809}"/>
    <cellStyle name="40% - Accent4 4 4 4" xfId="10055" xr:uid="{CADF5341-12B7-4DF1-9E3E-BC45153CE7DD}"/>
    <cellStyle name="40% - Accent4 4 5" xfId="1930" xr:uid="{00000000-0005-0000-0000-000027060000}"/>
    <cellStyle name="40% - Accent4 4 5 2" xfId="4159" xr:uid="{00000000-0005-0000-0000-000028060000}"/>
    <cellStyle name="40% - Accent4 4 5 2 2" xfId="8381" xr:uid="{00000000-0005-0000-0000-000029060000}"/>
    <cellStyle name="40% - Accent4 4 5 2 2 2" xfId="16831" xr:uid="{2E4EAD01-26F6-4B11-8336-ACDBAF16FDAA}"/>
    <cellStyle name="40% - Accent4 4 5 2 3" xfId="12613" xr:uid="{165F2588-26FB-4FF3-B0E3-5EB70244F08D}"/>
    <cellStyle name="40% - Accent4 4 5 3" xfId="6236" xr:uid="{00000000-0005-0000-0000-00002A060000}"/>
    <cellStyle name="40% - Accent4 4 5 3 2" xfId="14686" xr:uid="{8CC4954E-0A17-47C8-9F42-7E8A5CEC61CF}"/>
    <cellStyle name="40% - Accent4 4 5 4" xfId="10468" xr:uid="{C0205DC4-563F-46BC-B7AE-A0EB12F8CB5B}"/>
    <cellStyle name="40% - Accent4 4 6" xfId="2343" xr:uid="{00000000-0005-0000-0000-00002B060000}"/>
    <cellStyle name="40% - Accent4 4 6 2" xfId="6649" xr:uid="{00000000-0005-0000-0000-00002C060000}"/>
    <cellStyle name="40% - Accent4 4 6 2 2" xfId="15099" xr:uid="{C5EF0EF8-596E-443A-A59D-E0F134A5B21E}"/>
    <cellStyle name="40% - Accent4 4 6 3" xfId="10881" xr:uid="{469D89A3-9D86-4B94-AF9D-C105C15477F9}"/>
    <cellStyle name="40% - Accent4 4 7" xfId="4583" xr:uid="{00000000-0005-0000-0000-00002D060000}"/>
    <cellStyle name="40% - Accent4 4 7 2" xfId="13033" xr:uid="{F6194329-7EF9-488F-A108-2A18FB5C8F49}"/>
    <cellStyle name="40% - Accent4 4 8" xfId="8815" xr:uid="{AB3840F1-B61D-45FB-B6F8-830BF282347F}"/>
    <cellStyle name="40% - Accent4 5" xfId="642" xr:uid="{00000000-0005-0000-0000-00002E060000}"/>
    <cellStyle name="40% - Accent4 5 2" xfId="2913" xr:uid="{00000000-0005-0000-0000-00002F060000}"/>
    <cellStyle name="40% - Accent4 5 2 2" xfId="7135" xr:uid="{00000000-0005-0000-0000-000030060000}"/>
    <cellStyle name="40% - Accent4 5 2 2 2" xfId="15585" xr:uid="{2C11EEC0-D244-4999-B32B-D61D2E2F9DDA}"/>
    <cellStyle name="40% - Accent4 5 2 3" xfId="11367" xr:uid="{5BA6A466-470B-4895-BF70-E87404368E3F}"/>
    <cellStyle name="40% - Accent4 5 3" xfId="4990" xr:uid="{00000000-0005-0000-0000-000031060000}"/>
    <cellStyle name="40% - Accent4 5 3 2" xfId="13440" xr:uid="{22390011-1FE8-4D9F-B3C8-9FEFCEED218D}"/>
    <cellStyle name="40% - Accent4 5 4" xfId="9222" xr:uid="{C37A95ED-1F6B-4C31-92D5-FBEAD4389351}"/>
    <cellStyle name="40% - Accent4 6" xfId="1095" xr:uid="{00000000-0005-0000-0000-000032060000}"/>
    <cellStyle name="40% - Accent4 6 2" xfId="3326" xr:uid="{00000000-0005-0000-0000-000033060000}"/>
    <cellStyle name="40% - Accent4 6 2 2" xfId="7548" xr:uid="{00000000-0005-0000-0000-000034060000}"/>
    <cellStyle name="40% - Accent4 6 2 2 2" xfId="15998" xr:uid="{7AD4E80B-05DB-4EE1-AB00-548F701AA784}"/>
    <cellStyle name="40% - Accent4 6 2 3" xfId="11780" xr:uid="{B4DBF0EC-D277-4E40-BA12-A749F0819E12}"/>
    <cellStyle name="40% - Accent4 6 3" xfId="5403" xr:uid="{00000000-0005-0000-0000-000035060000}"/>
    <cellStyle name="40% - Accent4 6 3 2" xfId="13853" xr:uid="{C5E24800-0D09-431E-B4ED-62DB78BCE77A}"/>
    <cellStyle name="40% - Accent4 6 4" xfId="9635" xr:uid="{EA04EA0F-5F34-4D01-A570-076BF70F059E}"/>
    <cellStyle name="40% - Accent4 7" xfId="1509" xr:uid="{00000000-0005-0000-0000-000036060000}"/>
    <cellStyle name="40% - Accent4 7 2" xfId="3739" xr:uid="{00000000-0005-0000-0000-000037060000}"/>
    <cellStyle name="40% - Accent4 7 2 2" xfId="7961" xr:uid="{00000000-0005-0000-0000-000038060000}"/>
    <cellStyle name="40% - Accent4 7 2 2 2" xfId="16411" xr:uid="{5226C3D2-60FE-4606-8375-415000CD4475}"/>
    <cellStyle name="40% - Accent4 7 2 3" xfId="12193" xr:uid="{3DD58013-ECE3-4682-B4A8-C7ADDC01E69F}"/>
    <cellStyle name="40% - Accent4 7 3" xfId="5816" xr:uid="{00000000-0005-0000-0000-000039060000}"/>
    <cellStyle name="40% - Accent4 7 3 2" xfId="14266" xr:uid="{834F2EC6-63E3-4F34-BD69-1AFDE1F10C4C}"/>
    <cellStyle name="40% - Accent4 7 4" xfId="10048" xr:uid="{67070650-C5DA-4838-AAF1-AF009AD9B99B}"/>
    <cellStyle name="40% - Accent4 8" xfId="1923" xr:uid="{00000000-0005-0000-0000-00003A060000}"/>
    <cellStyle name="40% - Accent4 8 2" xfId="4152" xr:uid="{00000000-0005-0000-0000-00003B060000}"/>
    <cellStyle name="40% - Accent4 8 2 2" xfId="8374" xr:uid="{00000000-0005-0000-0000-00003C060000}"/>
    <cellStyle name="40% - Accent4 8 2 2 2" xfId="16824" xr:uid="{3E2E8B6B-E34A-4FD0-9C2F-BD5C92AB9453}"/>
    <cellStyle name="40% - Accent4 8 2 3" xfId="12606" xr:uid="{BB528F9F-3482-496E-A29D-46737CE90E31}"/>
    <cellStyle name="40% - Accent4 8 3" xfId="6229" xr:uid="{00000000-0005-0000-0000-00003D060000}"/>
    <cellStyle name="40% - Accent4 8 3 2" xfId="14679" xr:uid="{F729B46B-7932-4A89-BDAB-8B678208E479}"/>
    <cellStyle name="40% - Accent4 8 4" xfId="10461" xr:uid="{22EA7ADF-519D-4589-AFBA-0A159E0497A9}"/>
    <cellStyle name="40% - Accent4 9" xfId="2336" xr:uid="{00000000-0005-0000-0000-00003E060000}"/>
    <cellStyle name="40% - Accent4 9 2" xfId="6642" xr:uid="{00000000-0005-0000-0000-00003F060000}"/>
    <cellStyle name="40% - Accent4 9 2 2" xfId="15092" xr:uid="{BE51F0BB-F173-4533-A640-ED7CAC3FAD1A}"/>
    <cellStyle name="40% - Accent4 9 3" xfId="10874" xr:uid="{885E9BBC-8750-4651-8B38-594EAECE2753}"/>
    <cellStyle name="40% - Accent5" xfId="81" builtinId="47" customBuiltin="1"/>
    <cellStyle name="40% - Accent5 10" xfId="4584" xr:uid="{00000000-0005-0000-0000-000041060000}"/>
    <cellStyle name="40% - Accent5 10 2" xfId="13034" xr:uid="{E78EE603-A005-4083-80FD-CC7DFB4A36D8}"/>
    <cellStyle name="40% - Accent5 11" xfId="8816" xr:uid="{DBDFCAF2-8020-4F8C-AFCA-A7008D6F6ECB}"/>
    <cellStyle name="40% - Accent5 2" xfId="82" xr:uid="{00000000-0005-0000-0000-000042060000}"/>
    <cellStyle name="40% - Accent5 2 10" xfId="8817" xr:uid="{FA6F6D32-E53D-4CAC-A9E6-A7441FBE34C5}"/>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15596" xr:uid="{91004C97-34B9-4F53-B9AE-2E57A019E574}"/>
    <cellStyle name="40% - Accent5 2 2 2 2 2 3" xfId="11378" xr:uid="{5E962B37-BCB8-4844-9D77-32D3B9971D02}"/>
    <cellStyle name="40% - Accent5 2 2 2 2 3" xfId="5001" xr:uid="{00000000-0005-0000-0000-000048060000}"/>
    <cellStyle name="40% - Accent5 2 2 2 2 3 2" xfId="13451" xr:uid="{86297538-26D3-468E-ACEE-7B92DDEB944C}"/>
    <cellStyle name="40% - Accent5 2 2 2 2 4" xfId="9233" xr:uid="{3CBA437F-9289-45DA-BE92-E3287919C6FC}"/>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16009" xr:uid="{CAF9ED5F-16BC-4D52-9857-286111C9421E}"/>
    <cellStyle name="40% - Accent5 2 2 2 3 2 3" xfId="11791" xr:uid="{B02E6E1B-57A9-4855-B58B-BF4AE2344A6E}"/>
    <cellStyle name="40% - Accent5 2 2 2 3 3" xfId="5414" xr:uid="{00000000-0005-0000-0000-00004C060000}"/>
    <cellStyle name="40% - Accent5 2 2 2 3 3 2" xfId="13864" xr:uid="{19A4C48A-0BA2-45B8-9D23-DD3FF55328B6}"/>
    <cellStyle name="40% - Accent5 2 2 2 3 4" xfId="9646" xr:uid="{A127D66E-74D8-459D-83C5-3A7368E5C99B}"/>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16422" xr:uid="{8B9E854E-50EF-4051-A1C0-1C76D39C3FD9}"/>
    <cellStyle name="40% - Accent5 2 2 2 4 2 3" xfId="12204" xr:uid="{A1571EFA-9BF3-4EA8-81CE-200BAA60B601}"/>
    <cellStyle name="40% - Accent5 2 2 2 4 3" xfId="5827" xr:uid="{00000000-0005-0000-0000-000050060000}"/>
    <cellStyle name="40% - Accent5 2 2 2 4 3 2" xfId="14277" xr:uid="{D9AF1444-FCE8-41ED-B449-D3402812CE9B}"/>
    <cellStyle name="40% - Accent5 2 2 2 4 4" xfId="10059" xr:uid="{8D27D3AC-98F8-419D-8028-ECEFBAF2970C}"/>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16835" xr:uid="{21C9739B-4BC1-431E-90E7-1F90EC434CF9}"/>
    <cellStyle name="40% - Accent5 2 2 2 5 2 3" xfId="12617" xr:uid="{5D45A7C5-7DCB-48FA-80CD-2CD31BCB9F4C}"/>
    <cellStyle name="40% - Accent5 2 2 2 5 3" xfId="6240" xr:uid="{00000000-0005-0000-0000-000054060000}"/>
    <cellStyle name="40% - Accent5 2 2 2 5 3 2" xfId="14690" xr:uid="{B0BD0B15-E698-4830-8FC4-3921A363A4DC}"/>
    <cellStyle name="40% - Accent5 2 2 2 5 4" xfId="10472" xr:uid="{AC9A73A8-BDFF-4886-8D52-E181CC7ACF1B}"/>
    <cellStyle name="40% - Accent5 2 2 2 6" xfId="2347" xr:uid="{00000000-0005-0000-0000-000055060000}"/>
    <cellStyle name="40% - Accent5 2 2 2 6 2" xfId="6653" xr:uid="{00000000-0005-0000-0000-000056060000}"/>
    <cellStyle name="40% - Accent5 2 2 2 6 2 2" xfId="15103" xr:uid="{A29847AA-50F0-41AE-8451-E9E488A75BF7}"/>
    <cellStyle name="40% - Accent5 2 2 2 6 3" xfId="10885" xr:uid="{46C718F1-24F2-4BC7-98D6-5D0556A28673}"/>
    <cellStyle name="40% - Accent5 2 2 2 7" xfId="4587" xr:uid="{00000000-0005-0000-0000-000057060000}"/>
    <cellStyle name="40% - Accent5 2 2 2 7 2" xfId="13037" xr:uid="{37873295-5520-4009-8133-40FF70CF3F76}"/>
    <cellStyle name="40% - Accent5 2 2 2 8" xfId="8819" xr:uid="{7E38E7E5-8775-4823-B084-06D926A8937E}"/>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15595" xr:uid="{9E50868B-363C-44F6-BEA4-C1765571A914}"/>
    <cellStyle name="40% - Accent5 2 2 3 2 3" xfId="11377" xr:uid="{8B04B593-FD52-4726-9088-D82EC43D1A2E}"/>
    <cellStyle name="40% - Accent5 2 2 3 3" xfId="5000" xr:uid="{00000000-0005-0000-0000-00005B060000}"/>
    <cellStyle name="40% - Accent5 2 2 3 3 2" xfId="13450" xr:uid="{5B379F9F-C6A2-4F2B-B4B9-5095D9C8B9B4}"/>
    <cellStyle name="40% - Accent5 2 2 3 4" xfId="9232" xr:uid="{A221394E-3770-4352-9412-8984322AF4FF}"/>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16008" xr:uid="{89E53EC6-FEBC-4782-8BFC-3F1C2952FEFE}"/>
    <cellStyle name="40% - Accent5 2 2 4 2 3" xfId="11790" xr:uid="{CA907E95-404D-49BD-A509-AEA7AA22FF10}"/>
    <cellStyle name="40% - Accent5 2 2 4 3" xfId="5413" xr:uid="{00000000-0005-0000-0000-00005F060000}"/>
    <cellStyle name="40% - Accent5 2 2 4 3 2" xfId="13863" xr:uid="{DB0BA16D-D972-4852-89C2-F6035CEB22D5}"/>
    <cellStyle name="40% - Accent5 2 2 4 4" xfId="9645" xr:uid="{38006745-6552-46EC-BA5A-34B277D55414}"/>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16421" xr:uid="{88601917-039B-4123-A361-2F6AC8F1FFFE}"/>
    <cellStyle name="40% - Accent5 2 2 5 2 3" xfId="12203" xr:uid="{B3D0DAD1-508A-4B4C-BD81-A0EBE8E8D844}"/>
    <cellStyle name="40% - Accent5 2 2 5 3" xfId="5826" xr:uid="{00000000-0005-0000-0000-000063060000}"/>
    <cellStyle name="40% - Accent5 2 2 5 3 2" xfId="14276" xr:uid="{356B05A4-779C-4BAA-90E4-2A5C7A065F12}"/>
    <cellStyle name="40% - Accent5 2 2 5 4" xfId="10058" xr:uid="{02B317F9-5D5A-48ED-A372-0C75D9802182}"/>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16834" xr:uid="{11A15DF3-F400-4784-880A-B320E27ABA78}"/>
    <cellStyle name="40% - Accent5 2 2 6 2 3" xfId="12616" xr:uid="{EE5E4BE5-9F23-4B01-8201-5BC88F0AC114}"/>
    <cellStyle name="40% - Accent5 2 2 6 3" xfId="6239" xr:uid="{00000000-0005-0000-0000-000067060000}"/>
    <cellStyle name="40% - Accent5 2 2 6 3 2" xfId="14689" xr:uid="{7351B5BC-9FDB-455B-9A90-064D7D7985EA}"/>
    <cellStyle name="40% - Accent5 2 2 6 4" xfId="10471" xr:uid="{BAFD112F-9FB5-479F-A94B-30B8FA90CFB7}"/>
    <cellStyle name="40% - Accent5 2 2 7" xfId="2346" xr:uid="{00000000-0005-0000-0000-000068060000}"/>
    <cellStyle name="40% - Accent5 2 2 7 2" xfId="6652" xr:uid="{00000000-0005-0000-0000-000069060000}"/>
    <cellStyle name="40% - Accent5 2 2 7 2 2" xfId="15102" xr:uid="{2313EDCD-16EE-447B-9E36-752637BE4707}"/>
    <cellStyle name="40% - Accent5 2 2 7 3" xfId="10884" xr:uid="{DA1168D0-65FE-4B3D-A375-522FE746BEA1}"/>
    <cellStyle name="40% - Accent5 2 2 8" xfId="4586" xr:uid="{00000000-0005-0000-0000-00006A060000}"/>
    <cellStyle name="40% - Accent5 2 2 8 2" xfId="13036" xr:uid="{841907BA-82CE-4205-A2A2-13B0EA31F70D}"/>
    <cellStyle name="40% - Accent5 2 2 9" xfId="8818" xr:uid="{06AE35E1-BE9C-4E77-BDDF-9D35F0122598}"/>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15597" xr:uid="{5B34DE69-1C84-4A08-AE43-3E5457AB0028}"/>
    <cellStyle name="40% - Accent5 2 3 2 2 3" xfId="11379" xr:uid="{FB2D36D0-CA4E-4492-B739-0735F295A56B}"/>
    <cellStyle name="40% - Accent5 2 3 2 3" xfId="5002" xr:uid="{00000000-0005-0000-0000-00006F060000}"/>
    <cellStyle name="40% - Accent5 2 3 2 3 2" xfId="13452" xr:uid="{F2A03BF1-76BE-41DF-AE4F-CD60E06D5D24}"/>
    <cellStyle name="40% - Accent5 2 3 2 4" xfId="9234" xr:uid="{F4AABCB5-F6BA-421A-8F81-1D5F6F5D2D0A}"/>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16010" xr:uid="{9A433E86-92CE-4787-8F44-76C527A2B004}"/>
    <cellStyle name="40% - Accent5 2 3 3 2 3" xfId="11792" xr:uid="{55970A8E-2FA3-4AAA-B0DB-474142AA3482}"/>
    <cellStyle name="40% - Accent5 2 3 3 3" xfId="5415" xr:uid="{00000000-0005-0000-0000-000073060000}"/>
    <cellStyle name="40% - Accent5 2 3 3 3 2" xfId="13865" xr:uid="{25FE6D3D-9E03-48FD-9253-9EBDE3A5284F}"/>
    <cellStyle name="40% - Accent5 2 3 3 4" xfId="9647" xr:uid="{5183F707-1CBA-49EA-9176-92F95A1622D8}"/>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16423" xr:uid="{EB949E4B-5E2E-4385-BB28-F4D00E689756}"/>
    <cellStyle name="40% - Accent5 2 3 4 2 3" xfId="12205" xr:uid="{5D4155F4-4105-41B0-901E-001BBE24DC36}"/>
    <cellStyle name="40% - Accent5 2 3 4 3" xfId="5828" xr:uid="{00000000-0005-0000-0000-000077060000}"/>
    <cellStyle name="40% - Accent5 2 3 4 3 2" xfId="14278" xr:uid="{52C9C810-563B-4521-B055-F0D337A3177A}"/>
    <cellStyle name="40% - Accent5 2 3 4 4" xfId="10060" xr:uid="{1656B8F8-B70B-4B7F-A749-597061B0C4AE}"/>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16836" xr:uid="{288871F8-E66B-4165-8271-A57B4131F509}"/>
    <cellStyle name="40% - Accent5 2 3 5 2 3" xfId="12618" xr:uid="{92D0FBC4-4BCC-4E75-8DB1-72CF4A1E11FC}"/>
    <cellStyle name="40% - Accent5 2 3 5 3" xfId="6241" xr:uid="{00000000-0005-0000-0000-00007B060000}"/>
    <cellStyle name="40% - Accent5 2 3 5 3 2" xfId="14691" xr:uid="{60210F74-3D5B-4F95-A91C-B36349954A4E}"/>
    <cellStyle name="40% - Accent5 2 3 5 4" xfId="10473" xr:uid="{AC156456-0E39-48B5-BB7A-A784D329FC70}"/>
    <cellStyle name="40% - Accent5 2 3 6" xfId="2348" xr:uid="{00000000-0005-0000-0000-00007C060000}"/>
    <cellStyle name="40% - Accent5 2 3 6 2" xfId="6654" xr:uid="{00000000-0005-0000-0000-00007D060000}"/>
    <cellStyle name="40% - Accent5 2 3 6 2 2" xfId="15104" xr:uid="{CB4494E6-B1CC-4B77-A162-29466B5E1620}"/>
    <cellStyle name="40% - Accent5 2 3 6 3" xfId="10886" xr:uid="{F302256D-02DD-40FE-A3E5-716BDBBDA708}"/>
    <cellStyle name="40% - Accent5 2 3 7" xfId="4588" xr:uid="{00000000-0005-0000-0000-00007E060000}"/>
    <cellStyle name="40% - Accent5 2 3 7 2" xfId="13038" xr:uid="{12D7DD2A-DE2A-4948-AFCD-8580DAB3CCB5}"/>
    <cellStyle name="40% - Accent5 2 3 8" xfId="8820" xr:uid="{9E797812-925D-4AC8-A401-1EB6F9E30A8B}"/>
    <cellStyle name="40% - Accent5 2 4" xfId="651" xr:uid="{00000000-0005-0000-0000-00007F060000}"/>
    <cellStyle name="40% - Accent5 2 4 2" xfId="2922" xr:uid="{00000000-0005-0000-0000-000080060000}"/>
    <cellStyle name="40% - Accent5 2 4 2 2" xfId="7144" xr:uid="{00000000-0005-0000-0000-000081060000}"/>
    <cellStyle name="40% - Accent5 2 4 2 2 2" xfId="15594" xr:uid="{FFBBFEA4-4F1B-4B51-94E7-EA3199EB39FD}"/>
    <cellStyle name="40% - Accent5 2 4 2 3" xfId="11376" xr:uid="{AAC0CDA5-1559-4517-9C35-79944DB4E534}"/>
    <cellStyle name="40% - Accent5 2 4 3" xfId="4999" xr:uid="{00000000-0005-0000-0000-000082060000}"/>
    <cellStyle name="40% - Accent5 2 4 3 2" xfId="13449" xr:uid="{BDDD53FF-1580-4792-9632-34D868C2BE37}"/>
    <cellStyle name="40% - Accent5 2 4 4" xfId="9231" xr:uid="{94E5ACE3-A996-41B7-AF69-103CFD4293EE}"/>
    <cellStyle name="40% - Accent5 2 5" xfId="1104" xr:uid="{00000000-0005-0000-0000-000083060000}"/>
    <cellStyle name="40% - Accent5 2 5 2" xfId="3335" xr:uid="{00000000-0005-0000-0000-000084060000}"/>
    <cellStyle name="40% - Accent5 2 5 2 2" xfId="7557" xr:uid="{00000000-0005-0000-0000-000085060000}"/>
    <cellStyle name="40% - Accent5 2 5 2 2 2" xfId="16007" xr:uid="{A78FE1C3-5953-4FFE-90A1-8A706060C974}"/>
    <cellStyle name="40% - Accent5 2 5 2 3" xfId="11789" xr:uid="{FC416E48-A17C-49C7-A950-07E930E1DE08}"/>
    <cellStyle name="40% - Accent5 2 5 3" xfId="5412" xr:uid="{00000000-0005-0000-0000-000086060000}"/>
    <cellStyle name="40% - Accent5 2 5 3 2" xfId="13862" xr:uid="{AF310BBA-56F5-4040-925B-8CFDE5B779D4}"/>
    <cellStyle name="40% - Accent5 2 5 4" xfId="9644" xr:uid="{98A9EFE0-4F4D-4D08-B609-900CC4A7D5C8}"/>
    <cellStyle name="40% - Accent5 2 6" xfId="1518" xr:uid="{00000000-0005-0000-0000-000087060000}"/>
    <cellStyle name="40% - Accent5 2 6 2" xfId="3748" xr:uid="{00000000-0005-0000-0000-000088060000}"/>
    <cellStyle name="40% - Accent5 2 6 2 2" xfId="7970" xr:uid="{00000000-0005-0000-0000-000089060000}"/>
    <cellStyle name="40% - Accent5 2 6 2 2 2" xfId="16420" xr:uid="{E497E8C8-6EF0-43BA-9643-DF4229B7476F}"/>
    <cellStyle name="40% - Accent5 2 6 2 3" xfId="12202" xr:uid="{1F1C7C47-BD7C-4A0F-B6F0-F3E67FA9EF5C}"/>
    <cellStyle name="40% - Accent5 2 6 3" xfId="5825" xr:uid="{00000000-0005-0000-0000-00008A060000}"/>
    <cellStyle name="40% - Accent5 2 6 3 2" xfId="14275" xr:uid="{C54B328A-F4A1-40A4-8275-9F8CC9482E8C}"/>
    <cellStyle name="40% - Accent5 2 6 4" xfId="10057" xr:uid="{07D86AC8-61C2-4FC9-95B2-70B46D18D224}"/>
    <cellStyle name="40% - Accent5 2 7" xfId="1932" xr:uid="{00000000-0005-0000-0000-00008B060000}"/>
    <cellStyle name="40% - Accent5 2 7 2" xfId="4161" xr:uid="{00000000-0005-0000-0000-00008C060000}"/>
    <cellStyle name="40% - Accent5 2 7 2 2" xfId="8383" xr:uid="{00000000-0005-0000-0000-00008D060000}"/>
    <cellStyle name="40% - Accent5 2 7 2 2 2" xfId="16833" xr:uid="{AB8C9E20-D66C-4A0E-B1EC-C803506513C9}"/>
    <cellStyle name="40% - Accent5 2 7 2 3" xfId="12615" xr:uid="{430D66A1-9CC8-4666-B8F0-C44A9E3BE5E9}"/>
    <cellStyle name="40% - Accent5 2 7 3" xfId="6238" xr:uid="{00000000-0005-0000-0000-00008E060000}"/>
    <cellStyle name="40% - Accent5 2 7 3 2" xfId="14688" xr:uid="{5A0FE9BA-A784-40BB-9D69-95F0346E8794}"/>
    <cellStyle name="40% - Accent5 2 7 4" xfId="10470" xr:uid="{0F399024-1C85-46B3-9FA7-2D8749DBD25C}"/>
    <cellStyle name="40% - Accent5 2 8" xfId="2345" xr:uid="{00000000-0005-0000-0000-00008F060000}"/>
    <cellStyle name="40% - Accent5 2 8 2" xfId="6651" xr:uid="{00000000-0005-0000-0000-000090060000}"/>
    <cellStyle name="40% - Accent5 2 8 2 2" xfId="15101" xr:uid="{8416C9A4-47F0-4945-9D4B-B19CD4C63C6A}"/>
    <cellStyle name="40% - Accent5 2 8 3" xfId="10883" xr:uid="{8E6E56F2-DE5E-461F-BCC0-BB61D042B4B6}"/>
    <cellStyle name="40% - Accent5 2 9" xfId="4585" xr:uid="{00000000-0005-0000-0000-000091060000}"/>
    <cellStyle name="40% - Accent5 2 9 2" xfId="13035" xr:uid="{1212B20F-0983-4EE2-AB9F-2F98451D5808}"/>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15599" xr:uid="{2C3A75C1-B929-42E3-B3B2-0CB7FD4527FF}"/>
    <cellStyle name="40% - Accent5 3 2 2 2 3" xfId="11381" xr:uid="{6A25F74C-3C77-49B0-AA67-0869A891B87E}"/>
    <cellStyle name="40% - Accent5 3 2 2 3" xfId="5004" xr:uid="{00000000-0005-0000-0000-000097060000}"/>
    <cellStyle name="40% - Accent5 3 2 2 3 2" xfId="13454" xr:uid="{2E3F004B-7008-439F-B85A-478301922FF7}"/>
    <cellStyle name="40% - Accent5 3 2 2 4" xfId="9236" xr:uid="{B7FD3BDF-7291-4587-8035-302D0CC300CD}"/>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16012" xr:uid="{07FD8760-615D-45A7-8D82-4721353C7B6E}"/>
    <cellStyle name="40% - Accent5 3 2 3 2 3" xfId="11794" xr:uid="{B694037A-38E0-4E3B-8AEB-3CC22B17C6F3}"/>
    <cellStyle name="40% - Accent5 3 2 3 3" xfId="5417" xr:uid="{00000000-0005-0000-0000-00009B060000}"/>
    <cellStyle name="40% - Accent5 3 2 3 3 2" xfId="13867" xr:uid="{4DE7B40B-AFD8-4944-8AFF-B1E64490BEEA}"/>
    <cellStyle name="40% - Accent5 3 2 3 4" xfId="9649" xr:uid="{D39B5277-FC96-4D24-95CB-E1CEDCE4D34E}"/>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16425" xr:uid="{E421F6D2-C8D2-4E88-8417-5D6D5DC88828}"/>
    <cellStyle name="40% - Accent5 3 2 4 2 3" xfId="12207" xr:uid="{35D4B8E0-646A-4387-B33D-B47CDFD7E644}"/>
    <cellStyle name="40% - Accent5 3 2 4 3" xfId="5830" xr:uid="{00000000-0005-0000-0000-00009F060000}"/>
    <cellStyle name="40% - Accent5 3 2 4 3 2" xfId="14280" xr:uid="{ED30627D-9EB3-418C-B2BC-23C2EF04E78D}"/>
    <cellStyle name="40% - Accent5 3 2 4 4" xfId="10062" xr:uid="{4B38206E-38E4-4430-A7FC-9CD0D6B4DF03}"/>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16838" xr:uid="{5F123A13-62BE-40D5-A76A-C9B58E574E4E}"/>
    <cellStyle name="40% - Accent5 3 2 5 2 3" xfId="12620" xr:uid="{FA365839-F0A3-46F5-AE01-7ECF91A6D693}"/>
    <cellStyle name="40% - Accent5 3 2 5 3" xfId="6243" xr:uid="{00000000-0005-0000-0000-0000A3060000}"/>
    <cellStyle name="40% - Accent5 3 2 5 3 2" xfId="14693" xr:uid="{3002B635-8C06-4A3C-93F0-65A6EE3C8E1B}"/>
    <cellStyle name="40% - Accent5 3 2 5 4" xfId="10475" xr:uid="{C9C0F56A-E11C-464D-AD8A-DB14C9C7F6BE}"/>
    <cellStyle name="40% - Accent5 3 2 6" xfId="2350" xr:uid="{00000000-0005-0000-0000-0000A4060000}"/>
    <cellStyle name="40% - Accent5 3 2 6 2" xfId="6656" xr:uid="{00000000-0005-0000-0000-0000A5060000}"/>
    <cellStyle name="40% - Accent5 3 2 6 2 2" xfId="15106" xr:uid="{2C634D47-6F43-4A97-86BC-819B0E75D821}"/>
    <cellStyle name="40% - Accent5 3 2 6 3" xfId="10888" xr:uid="{2F227D69-52A2-4472-9251-2EA11E54EF1B}"/>
    <cellStyle name="40% - Accent5 3 2 7" xfId="4590" xr:uid="{00000000-0005-0000-0000-0000A6060000}"/>
    <cellStyle name="40% - Accent5 3 2 7 2" xfId="13040" xr:uid="{742B8706-8015-4671-9585-DEC71B67A21D}"/>
    <cellStyle name="40% - Accent5 3 2 8" xfId="8822" xr:uid="{53D57427-80B7-4B66-A3F2-9B38B3C9F871}"/>
    <cellStyle name="40% - Accent5 3 3" xfId="655" xr:uid="{00000000-0005-0000-0000-0000A7060000}"/>
    <cellStyle name="40% - Accent5 3 3 2" xfId="2926" xr:uid="{00000000-0005-0000-0000-0000A8060000}"/>
    <cellStyle name="40% - Accent5 3 3 2 2" xfId="7148" xr:uid="{00000000-0005-0000-0000-0000A9060000}"/>
    <cellStyle name="40% - Accent5 3 3 2 2 2" xfId="15598" xr:uid="{2A4A71C6-BAF8-497F-8915-6A48B22EA2C5}"/>
    <cellStyle name="40% - Accent5 3 3 2 3" xfId="11380" xr:uid="{019026B3-19BF-4CB8-9FF3-E9BBA5A63891}"/>
    <cellStyle name="40% - Accent5 3 3 3" xfId="5003" xr:uid="{00000000-0005-0000-0000-0000AA060000}"/>
    <cellStyle name="40% - Accent5 3 3 3 2" xfId="13453" xr:uid="{505E66B8-CB60-4463-B33B-F1BC3E32BC44}"/>
    <cellStyle name="40% - Accent5 3 3 4" xfId="9235" xr:uid="{95AC4155-502D-43A7-812F-F910355F7662}"/>
    <cellStyle name="40% - Accent5 3 4" xfId="1108" xr:uid="{00000000-0005-0000-0000-0000AB060000}"/>
    <cellStyle name="40% - Accent5 3 4 2" xfId="3339" xr:uid="{00000000-0005-0000-0000-0000AC060000}"/>
    <cellStyle name="40% - Accent5 3 4 2 2" xfId="7561" xr:uid="{00000000-0005-0000-0000-0000AD060000}"/>
    <cellStyle name="40% - Accent5 3 4 2 2 2" xfId="16011" xr:uid="{358BBD6A-4862-4A06-9859-08F2E9481043}"/>
    <cellStyle name="40% - Accent5 3 4 2 3" xfId="11793" xr:uid="{958E78D9-AA2F-4295-A067-2336D7EE4F4C}"/>
    <cellStyle name="40% - Accent5 3 4 3" xfId="5416" xr:uid="{00000000-0005-0000-0000-0000AE060000}"/>
    <cellStyle name="40% - Accent5 3 4 3 2" xfId="13866" xr:uid="{616BF249-6D9A-4FC9-87EC-7785E53ECB64}"/>
    <cellStyle name="40% - Accent5 3 4 4" xfId="9648" xr:uid="{D61E08AA-FF46-4A1D-99A7-CA31914B528E}"/>
    <cellStyle name="40% - Accent5 3 5" xfId="1522" xr:uid="{00000000-0005-0000-0000-0000AF060000}"/>
    <cellStyle name="40% - Accent5 3 5 2" xfId="3752" xr:uid="{00000000-0005-0000-0000-0000B0060000}"/>
    <cellStyle name="40% - Accent5 3 5 2 2" xfId="7974" xr:uid="{00000000-0005-0000-0000-0000B1060000}"/>
    <cellStyle name="40% - Accent5 3 5 2 2 2" xfId="16424" xr:uid="{E8137B7B-372A-47AD-9FC5-9E8B79B7E78E}"/>
    <cellStyle name="40% - Accent5 3 5 2 3" xfId="12206" xr:uid="{A02D1923-E3E2-4ED0-9F57-2E2176C3906E}"/>
    <cellStyle name="40% - Accent5 3 5 3" xfId="5829" xr:uid="{00000000-0005-0000-0000-0000B2060000}"/>
    <cellStyle name="40% - Accent5 3 5 3 2" xfId="14279" xr:uid="{FB863CBE-D258-40EF-BEB2-0E1B07EDE00A}"/>
    <cellStyle name="40% - Accent5 3 5 4" xfId="10061" xr:uid="{FDA31E5A-30C6-4629-B7BF-A38BAFC88D10}"/>
    <cellStyle name="40% - Accent5 3 6" xfId="1936" xr:uid="{00000000-0005-0000-0000-0000B3060000}"/>
    <cellStyle name="40% - Accent5 3 6 2" xfId="4165" xr:uid="{00000000-0005-0000-0000-0000B4060000}"/>
    <cellStyle name="40% - Accent5 3 6 2 2" xfId="8387" xr:uid="{00000000-0005-0000-0000-0000B5060000}"/>
    <cellStyle name="40% - Accent5 3 6 2 2 2" xfId="16837" xr:uid="{EBE29FF6-A366-4F19-963A-F8508A115CC6}"/>
    <cellStyle name="40% - Accent5 3 6 2 3" xfId="12619" xr:uid="{67875E70-FA15-4A5C-B944-0706CF3D0764}"/>
    <cellStyle name="40% - Accent5 3 6 3" xfId="6242" xr:uid="{00000000-0005-0000-0000-0000B6060000}"/>
    <cellStyle name="40% - Accent5 3 6 3 2" xfId="14692" xr:uid="{EBE6378C-CE05-4D8C-8038-80FB1B3D785B}"/>
    <cellStyle name="40% - Accent5 3 6 4" xfId="10474" xr:uid="{7BA0D779-9608-4A2C-A3E7-E3BBC53CCDA8}"/>
    <cellStyle name="40% - Accent5 3 7" xfId="2349" xr:uid="{00000000-0005-0000-0000-0000B7060000}"/>
    <cellStyle name="40% - Accent5 3 7 2" xfId="6655" xr:uid="{00000000-0005-0000-0000-0000B8060000}"/>
    <cellStyle name="40% - Accent5 3 7 2 2" xfId="15105" xr:uid="{30992DD8-CAE8-4ABC-95CE-EC7C9FFDFF9C}"/>
    <cellStyle name="40% - Accent5 3 7 3" xfId="10887" xr:uid="{15082F5C-2A9B-4E46-88CD-79006E2A4F5F}"/>
    <cellStyle name="40% - Accent5 3 8" xfId="4589" xr:uid="{00000000-0005-0000-0000-0000B9060000}"/>
    <cellStyle name="40% - Accent5 3 8 2" xfId="13039" xr:uid="{8A586C20-DB7C-488A-AB4C-8666B4674B49}"/>
    <cellStyle name="40% - Accent5 3 9" xfId="8821" xr:uid="{BDC4C9BB-281E-4590-953D-3FAE175E2765}"/>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2 2 2" xfId="15600" xr:uid="{6CF9D5BF-0D2D-47E2-B7CE-F667AF405FBA}"/>
    <cellStyle name="40% - Accent5 4 2 2 3" xfId="11382" xr:uid="{5DB843C4-4ED3-4D29-AD11-CC51BA8B8204}"/>
    <cellStyle name="40% - Accent5 4 2 3" xfId="5005" xr:uid="{00000000-0005-0000-0000-0000BE060000}"/>
    <cellStyle name="40% - Accent5 4 2 3 2" xfId="13455" xr:uid="{E24216D3-80CF-4E82-8471-E8745377379F}"/>
    <cellStyle name="40% - Accent5 4 2 4" xfId="9237" xr:uid="{F85434C0-5FF6-4BF0-9222-B7DEA3CEE712}"/>
    <cellStyle name="40% - Accent5 4 3" xfId="1110" xr:uid="{00000000-0005-0000-0000-0000BF060000}"/>
    <cellStyle name="40% - Accent5 4 3 2" xfId="3341" xr:uid="{00000000-0005-0000-0000-0000C0060000}"/>
    <cellStyle name="40% - Accent5 4 3 2 2" xfId="7563" xr:uid="{00000000-0005-0000-0000-0000C1060000}"/>
    <cellStyle name="40% - Accent5 4 3 2 2 2" xfId="16013" xr:uid="{E9C7B7D3-4184-49F1-9355-82CBA1D8F67D}"/>
    <cellStyle name="40% - Accent5 4 3 2 3" xfId="11795" xr:uid="{F5A7E123-C016-453C-BFC4-9F16775C8750}"/>
    <cellStyle name="40% - Accent5 4 3 3" xfId="5418" xr:uid="{00000000-0005-0000-0000-0000C2060000}"/>
    <cellStyle name="40% - Accent5 4 3 3 2" xfId="13868" xr:uid="{FD595714-1FD4-4CAD-9374-1CDF6CF7F32B}"/>
    <cellStyle name="40% - Accent5 4 3 4" xfId="9650" xr:uid="{0F0BCC1D-51E8-4063-9D6B-CAD0E1C16B93}"/>
    <cellStyle name="40% - Accent5 4 4" xfId="1524" xr:uid="{00000000-0005-0000-0000-0000C3060000}"/>
    <cellStyle name="40% - Accent5 4 4 2" xfId="3754" xr:uid="{00000000-0005-0000-0000-0000C4060000}"/>
    <cellStyle name="40% - Accent5 4 4 2 2" xfId="7976" xr:uid="{00000000-0005-0000-0000-0000C5060000}"/>
    <cellStyle name="40% - Accent5 4 4 2 2 2" xfId="16426" xr:uid="{6B2D268B-CEF1-4CE7-AD52-B823D9F2369D}"/>
    <cellStyle name="40% - Accent5 4 4 2 3" xfId="12208" xr:uid="{0742AD15-E87A-406B-85FD-D2A9871BEB2C}"/>
    <cellStyle name="40% - Accent5 4 4 3" xfId="5831" xr:uid="{00000000-0005-0000-0000-0000C6060000}"/>
    <cellStyle name="40% - Accent5 4 4 3 2" xfId="14281" xr:uid="{D5AF21DC-BBA6-4D17-B65E-7FFAF12FAEC2}"/>
    <cellStyle name="40% - Accent5 4 4 4" xfId="10063" xr:uid="{B1CBF02F-FDB0-4377-9DD6-B74189B87CB4}"/>
    <cellStyle name="40% - Accent5 4 5" xfId="1938" xr:uid="{00000000-0005-0000-0000-0000C7060000}"/>
    <cellStyle name="40% - Accent5 4 5 2" xfId="4167" xr:uid="{00000000-0005-0000-0000-0000C8060000}"/>
    <cellStyle name="40% - Accent5 4 5 2 2" xfId="8389" xr:uid="{00000000-0005-0000-0000-0000C9060000}"/>
    <cellStyle name="40% - Accent5 4 5 2 2 2" xfId="16839" xr:uid="{E2982449-90C7-4464-A105-9E7082BDB423}"/>
    <cellStyle name="40% - Accent5 4 5 2 3" xfId="12621" xr:uid="{C2B1F4C7-6BBA-4E38-9765-AD6E17F7FED9}"/>
    <cellStyle name="40% - Accent5 4 5 3" xfId="6244" xr:uid="{00000000-0005-0000-0000-0000CA060000}"/>
    <cellStyle name="40% - Accent5 4 5 3 2" xfId="14694" xr:uid="{A27418FB-1431-4A94-8DFB-FB650FA742DC}"/>
    <cellStyle name="40% - Accent5 4 5 4" xfId="10476" xr:uid="{A0D09451-3651-4A37-B120-5A32C748208E}"/>
    <cellStyle name="40% - Accent5 4 6" xfId="2351" xr:uid="{00000000-0005-0000-0000-0000CB060000}"/>
    <cellStyle name="40% - Accent5 4 6 2" xfId="6657" xr:uid="{00000000-0005-0000-0000-0000CC060000}"/>
    <cellStyle name="40% - Accent5 4 6 2 2" xfId="15107" xr:uid="{2538F48C-3240-4A91-A269-B97A509E910C}"/>
    <cellStyle name="40% - Accent5 4 6 3" xfId="10889" xr:uid="{7159D7C4-E7A7-4875-9AF8-EABABB48EB7D}"/>
    <cellStyle name="40% - Accent5 4 7" xfId="4591" xr:uid="{00000000-0005-0000-0000-0000CD060000}"/>
    <cellStyle name="40% - Accent5 4 7 2" xfId="13041" xr:uid="{9A745C37-B198-4DAC-82A2-E8C0AB636119}"/>
    <cellStyle name="40% - Accent5 4 8" xfId="8823" xr:uid="{7BFD3E2B-6425-4723-8EFC-43F59428DCE9}"/>
    <cellStyle name="40% - Accent5 5" xfId="650" xr:uid="{00000000-0005-0000-0000-0000CE060000}"/>
    <cellStyle name="40% - Accent5 5 2" xfId="2921" xr:uid="{00000000-0005-0000-0000-0000CF060000}"/>
    <cellStyle name="40% - Accent5 5 2 2" xfId="7143" xr:uid="{00000000-0005-0000-0000-0000D0060000}"/>
    <cellStyle name="40% - Accent5 5 2 2 2" xfId="15593" xr:uid="{F4EDA185-F0D1-41FF-AEA4-BFFBCA7E9285}"/>
    <cellStyle name="40% - Accent5 5 2 3" xfId="11375" xr:uid="{522A675D-AA50-44C7-BC39-864B1C2C4384}"/>
    <cellStyle name="40% - Accent5 5 3" xfId="4998" xr:uid="{00000000-0005-0000-0000-0000D1060000}"/>
    <cellStyle name="40% - Accent5 5 3 2" xfId="13448" xr:uid="{B3594FDE-97EF-4C8A-A81A-D72C029CF21B}"/>
    <cellStyle name="40% - Accent5 5 4" xfId="9230" xr:uid="{D7C3F8EB-FD39-4374-A0BD-CBF540D3BE5C}"/>
    <cellStyle name="40% - Accent5 6" xfId="1103" xr:uid="{00000000-0005-0000-0000-0000D2060000}"/>
    <cellStyle name="40% - Accent5 6 2" xfId="3334" xr:uid="{00000000-0005-0000-0000-0000D3060000}"/>
    <cellStyle name="40% - Accent5 6 2 2" xfId="7556" xr:uid="{00000000-0005-0000-0000-0000D4060000}"/>
    <cellStyle name="40% - Accent5 6 2 2 2" xfId="16006" xr:uid="{71B05A21-FD84-44D8-A99B-0A5778554920}"/>
    <cellStyle name="40% - Accent5 6 2 3" xfId="11788" xr:uid="{AAE8D7FE-44BB-47EB-AB00-008717C28998}"/>
    <cellStyle name="40% - Accent5 6 3" xfId="5411" xr:uid="{00000000-0005-0000-0000-0000D5060000}"/>
    <cellStyle name="40% - Accent5 6 3 2" xfId="13861" xr:uid="{615F38B6-8221-4FB4-9349-8013B754C3F6}"/>
    <cellStyle name="40% - Accent5 6 4" xfId="9643" xr:uid="{2F2482F4-9012-4773-B7AC-D06A076A55BA}"/>
    <cellStyle name="40% - Accent5 7" xfId="1517" xr:uid="{00000000-0005-0000-0000-0000D6060000}"/>
    <cellStyle name="40% - Accent5 7 2" xfId="3747" xr:uid="{00000000-0005-0000-0000-0000D7060000}"/>
    <cellStyle name="40% - Accent5 7 2 2" xfId="7969" xr:uid="{00000000-0005-0000-0000-0000D8060000}"/>
    <cellStyle name="40% - Accent5 7 2 2 2" xfId="16419" xr:uid="{03120BDE-0B0A-41F5-9D3E-14DAA3994593}"/>
    <cellStyle name="40% - Accent5 7 2 3" xfId="12201" xr:uid="{C735F227-A448-4BE2-BD28-615501D7222C}"/>
    <cellStyle name="40% - Accent5 7 3" xfId="5824" xr:uid="{00000000-0005-0000-0000-0000D9060000}"/>
    <cellStyle name="40% - Accent5 7 3 2" xfId="14274" xr:uid="{501ADB0E-0F67-48E7-84EE-A2EF495E708D}"/>
    <cellStyle name="40% - Accent5 7 4" xfId="10056" xr:uid="{E80D0C2C-325C-40FF-A2F6-CB6510AED4E0}"/>
    <cellStyle name="40% - Accent5 8" xfId="1931" xr:uid="{00000000-0005-0000-0000-0000DA060000}"/>
    <cellStyle name="40% - Accent5 8 2" xfId="4160" xr:uid="{00000000-0005-0000-0000-0000DB060000}"/>
    <cellStyle name="40% - Accent5 8 2 2" xfId="8382" xr:uid="{00000000-0005-0000-0000-0000DC060000}"/>
    <cellStyle name="40% - Accent5 8 2 2 2" xfId="16832" xr:uid="{5E952C58-75DA-42F0-AEAB-66314E9EAFD2}"/>
    <cellStyle name="40% - Accent5 8 2 3" xfId="12614" xr:uid="{8F70685E-FE44-409E-9948-1BF7C416C455}"/>
    <cellStyle name="40% - Accent5 8 3" xfId="6237" xr:uid="{00000000-0005-0000-0000-0000DD060000}"/>
    <cellStyle name="40% - Accent5 8 3 2" xfId="14687" xr:uid="{6A8940DC-9367-4737-ADF7-620437FB3D0C}"/>
    <cellStyle name="40% - Accent5 8 4" xfId="10469" xr:uid="{DAD5C171-195F-4163-A4DA-C0373D67FDE0}"/>
    <cellStyle name="40% - Accent5 9" xfId="2344" xr:uid="{00000000-0005-0000-0000-0000DE060000}"/>
    <cellStyle name="40% - Accent5 9 2" xfId="6650" xr:uid="{00000000-0005-0000-0000-0000DF060000}"/>
    <cellStyle name="40% - Accent5 9 2 2" xfId="15100" xr:uid="{B383034F-5B8A-4AF3-A6DF-3C05D475BB68}"/>
    <cellStyle name="40% - Accent5 9 3" xfId="10882" xr:uid="{B607E173-9375-4C2B-B408-816D0A4B4650}"/>
    <cellStyle name="40% - Accent6" xfId="89" builtinId="51" customBuiltin="1"/>
    <cellStyle name="40% - Accent6 10" xfId="4592" xr:uid="{00000000-0005-0000-0000-0000E1060000}"/>
    <cellStyle name="40% - Accent6 10 2" xfId="13042" xr:uid="{8EEA5A6C-4101-421E-8C2F-18554258AF83}"/>
    <cellStyle name="40% - Accent6 11" xfId="8824" xr:uid="{7DA1791F-B204-40E9-BF61-5F6111606F4C}"/>
    <cellStyle name="40% - Accent6 2" xfId="90" xr:uid="{00000000-0005-0000-0000-0000E2060000}"/>
    <cellStyle name="40% - Accent6 2 10" xfId="8825" xr:uid="{3A1B5E15-DC05-4C57-A14F-0AF525A641DA}"/>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15604" xr:uid="{E6546AFF-E709-4991-BD93-2F366882A91A}"/>
    <cellStyle name="40% - Accent6 2 2 2 2 2 3" xfId="11386" xr:uid="{619AA48A-C11D-41E3-92DF-98A03CC09006}"/>
    <cellStyle name="40% - Accent6 2 2 2 2 3" xfId="5009" xr:uid="{00000000-0005-0000-0000-0000E8060000}"/>
    <cellStyle name="40% - Accent6 2 2 2 2 3 2" xfId="13459" xr:uid="{1D35A09A-5BD1-4799-860C-C751C16BE3F0}"/>
    <cellStyle name="40% - Accent6 2 2 2 2 4" xfId="9241" xr:uid="{280C7445-38E0-4D7C-8240-4918F44CC80D}"/>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16017" xr:uid="{586ABF5A-5DC8-4909-B192-6F6F86278F95}"/>
    <cellStyle name="40% - Accent6 2 2 2 3 2 3" xfId="11799" xr:uid="{BA08373E-355E-4BAC-84BB-5643F55BC663}"/>
    <cellStyle name="40% - Accent6 2 2 2 3 3" xfId="5422" xr:uid="{00000000-0005-0000-0000-0000EC060000}"/>
    <cellStyle name="40% - Accent6 2 2 2 3 3 2" xfId="13872" xr:uid="{68A0DA8C-8C70-4A53-9DA8-4B59FFD00B88}"/>
    <cellStyle name="40% - Accent6 2 2 2 3 4" xfId="9654" xr:uid="{D150745D-2E61-42AC-AFAA-9B330054B3C5}"/>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16430" xr:uid="{9A39A731-F0B9-4DDD-88FD-8580F19F1A1E}"/>
    <cellStyle name="40% - Accent6 2 2 2 4 2 3" xfId="12212" xr:uid="{E502E58F-EE62-4D95-BC3C-B9DABEAB57BA}"/>
    <cellStyle name="40% - Accent6 2 2 2 4 3" xfId="5835" xr:uid="{00000000-0005-0000-0000-0000F0060000}"/>
    <cellStyle name="40% - Accent6 2 2 2 4 3 2" xfId="14285" xr:uid="{3F45699F-8CBA-4E28-8250-FB1BA6A158A5}"/>
    <cellStyle name="40% - Accent6 2 2 2 4 4" xfId="10067" xr:uid="{4CDF8F26-496D-4938-855F-1CC364D7724B}"/>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16843" xr:uid="{C7CD5B74-BE55-4B94-9E94-187D8BAF999C}"/>
    <cellStyle name="40% - Accent6 2 2 2 5 2 3" xfId="12625" xr:uid="{EC44CD62-7BE4-43A6-8483-3F27C82FEEBA}"/>
    <cellStyle name="40% - Accent6 2 2 2 5 3" xfId="6248" xr:uid="{00000000-0005-0000-0000-0000F4060000}"/>
    <cellStyle name="40% - Accent6 2 2 2 5 3 2" xfId="14698" xr:uid="{547F15FE-4AC6-437D-8216-48628EAAE9D2}"/>
    <cellStyle name="40% - Accent6 2 2 2 5 4" xfId="10480" xr:uid="{0B76816F-502F-45FF-93D5-5461B08772B4}"/>
    <cellStyle name="40% - Accent6 2 2 2 6" xfId="2355" xr:uid="{00000000-0005-0000-0000-0000F5060000}"/>
    <cellStyle name="40% - Accent6 2 2 2 6 2" xfId="6661" xr:uid="{00000000-0005-0000-0000-0000F6060000}"/>
    <cellStyle name="40% - Accent6 2 2 2 6 2 2" xfId="15111" xr:uid="{692D09C3-3390-477A-AA19-977F01E5E1CA}"/>
    <cellStyle name="40% - Accent6 2 2 2 6 3" xfId="10893" xr:uid="{1BDD94F6-E2AC-4CA6-9EF0-68EA5FFFF7AB}"/>
    <cellStyle name="40% - Accent6 2 2 2 7" xfId="4595" xr:uid="{00000000-0005-0000-0000-0000F7060000}"/>
    <cellStyle name="40% - Accent6 2 2 2 7 2" xfId="13045" xr:uid="{26ECAF12-5240-42CB-BA99-66CA04A5F665}"/>
    <cellStyle name="40% - Accent6 2 2 2 8" xfId="8827" xr:uid="{90C51CCD-2FD7-407D-903B-95F3D43EED3E}"/>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15603" xr:uid="{B8562FFA-9922-4E51-B644-83683CEEA30E}"/>
    <cellStyle name="40% - Accent6 2 2 3 2 3" xfId="11385" xr:uid="{71D79255-A876-44ED-BDAC-38B6F37CF34E}"/>
    <cellStyle name="40% - Accent6 2 2 3 3" xfId="5008" xr:uid="{00000000-0005-0000-0000-0000FB060000}"/>
    <cellStyle name="40% - Accent6 2 2 3 3 2" xfId="13458" xr:uid="{70BB40D8-717F-4242-A7A8-860424C59530}"/>
    <cellStyle name="40% - Accent6 2 2 3 4" xfId="9240" xr:uid="{E89A5C0C-F450-4871-84FA-16F1F01527CB}"/>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16016" xr:uid="{CE9C53DC-E572-4938-A3CA-0F019ECC7119}"/>
    <cellStyle name="40% - Accent6 2 2 4 2 3" xfId="11798" xr:uid="{14FC2534-28DF-412D-AC54-130F4F83D37B}"/>
    <cellStyle name="40% - Accent6 2 2 4 3" xfId="5421" xr:uid="{00000000-0005-0000-0000-0000FF060000}"/>
    <cellStyle name="40% - Accent6 2 2 4 3 2" xfId="13871" xr:uid="{A6E62C4B-DE7E-49CD-8706-81564822E94A}"/>
    <cellStyle name="40% - Accent6 2 2 4 4" xfId="9653" xr:uid="{4BD45973-FC33-46A9-A419-69D10BD218CA}"/>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16429" xr:uid="{D77DBEDE-BC25-4E9E-B2C4-138D88437741}"/>
    <cellStyle name="40% - Accent6 2 2 5 2 3" xfId="12211" xr:uid="{57BECE30-967F-485B-94C5-FFA87E584E3C}"/>
    <cellStyle name="40% - Accent6 2 2 5 3" xfId="5834" xr:uid="{00000000-0005-0000-0000-000003070000}"/>
    <cellStyle name="40% - Accent6 2 2 5 3 2" xfId="14284" xr:uid="{BDEA7554-1637-4874-B96A-C277EC40DBE4}"/>
    <cellStyle name="40% - Accent6 2 2 5 4" xfId="10066" xr:uid="{D832FB24-20BC-4591-B0AB-7390FA46AD10}"/>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16842" xr:uid="{A3FD4C34-5ED6-44E1-A227-A0CC5D865891}"/>
    <cellStyle name="40% - Accent6 2 2 6 2 3" xfId="12624" xr:uid="{C35A8F85-B4BF-4E5E-A792-631D75170DE6}"/>
    <cellStyle name="40% - Accent6 2 2 6 3" xfId="6247" xr:uid="{00000000-0005-0000-0000-000007070000}"/>
    <cellStyle name="40% - Accent6 2 2 6 3 2" xfId="14697" xr:uid="{A7CF3780-1313-4A9D-959F-296B8DE2271A}"/>
    <cellStyle name="40% - Accent6 2 2 6 4" xfId="10479" xr:uid="{EA947859-2229-4D65-B035-E8924848FCB8}"/>
    <cellStyle name="40% - Accent6 2 2 7" xfId="2354" xr:uid="{00000000-0005-0000-0000-000008070000}"/>
    <cellStyle name="40% - Accent6 2 2 7 2" xfId="6660" xr:uid="{00000000-0005-0000-0000-000009070000}"/>
    <cellStyle name="40% - Accent6 2 2 7 2 2" xfId="15110" xr:uid="{C210C947-488E-44AB-98FE-22A7BB98AD04}"/>
    <cellStyle name="40% - Accent6 2 2 7 3" xfId="10892" xr:uid="{2EF55DE0-437B-4D4F-BC59-7AE9624C634B}"/>
    <cellStyle name="40% - Accent6 2 2 8" xfId="4594" xr:uid="{00000000-0005-0000-0000-00000A070000}"/>
    <cellStyle name="40% - Accent6 2 2 8 2" xfId="13044" xr:uid="{0E18FA4D-2CEF-4A87-B100-EB35944FB4D3}"/>
    <cellStyle name="40% - Accent6 2 2 9" xfId="8826" xr:uid="{9AC82289-0E7F-4FF0-B637-3BC14B0170BE}"/>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15605" xr:uid="{0338FE9E-39D1-41EA-9377-E323262BBD0D}"/>
    <cellStyle name="40% - Accent6 2 3 2 2 3" xfId="11387" xr:uid="{04B21EE0-E1E7-456C-8792-964A6F3F5142}"/>
    <cellStyle name="40% - Accent6 2 3 2 3" xfId="5010" xr:uid="{00000000-0005-0000-0000-00000F070000}"/>
    <cellStyle name="40% - Accent6 2 3 2 3 2" xfId="13460" xr:uid="{D489CDE1-1B2F-4620-B10B-10EB235EDF8D}"/>
    <cellStyle name="40% - Accent6 2 3 2 4" xfId="9242" xr:uid="{2E649CA2-F3F8-4D55-B101-79554B540930}"/>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16018" xr:uid="{491954AE-CADF-4E1D-B499-5A9A49BF1F15}"/>
    <cellStyle name="40% - Accent6 2 3 3 2 3" xfId="11800" xr:uid="{C2C37F2B-F1FA-461A-8D5F-AB9D108C0C0E}"/>
    <cellStyle name="40% - Accent6 2 3 3 3" xfId="5423" xr:uid="{00000000-0005-0000-0000-000013070000}"/>
    <cellStyle name="40% - Accent6 2 3 3 3 2" xfId="13873" xr:uid="{A3497892-D5D7-42BD-9FAA-E5554921940B}"/>
    <cellStyle name="40% - Accent6 2 3 3 4" xfId="9655" xr:uid="{60808B78-115E-435C-9806-5DF45E89BE0D}"/>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16431" xr:uid="{DDA3B8AA-659C-4649-A64A-F24763E92F04}"/>
    <cellStyle name="40% - Accent6 2 3 4 2 3" xfId="12213" xr:uid="{B91EE071-DE14-4CE0-BA1E-A5E793DB77BD}"/>
    <cellStyle name="40% - Accent6 2 3 4 3" xfId="5836" xr:uid="{00000000-0005-0000-0000-000017070000}"/>
    <cellStyle name="40% - Accent6 2 3 4 3 2" xfId="14286" xr:uid="{494B9CE3-7638-41A6-9BB1-8C7239219A34}"/>
    <cellStyle name="40% - Accent6 2 3 4 4" xfId="10068" xr:uid="{933BC8C8-4CA7-4CE1-9096-16B0F5A652C9}"/>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16844" xr:uid="{BA4EA044-19BE-46E4-8AF8-5D5B811FF676}"/>
    <cellStyle name="40% - Accent6 2 3 5 2 3" xfId="12626" xr:uid="{AF308A3C-94D7-46E7-97EB-3CBA721DE6DB}"/>
    <cellStyle name="40% - Accent6 2 3 5 3" xfId="6249" xr:uid="{00000000-0005-0000-0000-00001B070000}"/>
    <cellStyle name="40% - Accent6 2 3 5 3 2" xfId="14699" xr:uid="{09E6D9CF-C5CD-4D91-9C02-0E8DE7951C47}"/>
    <cellStyle name="40% - Accent6 2 3 5 4" xfId="10481" xr:uid="{4A76D38A-349B-428F-9707-02D30738D917}"/>
    <cellStyle name="40% - Accent6 2 3 6" xfId="2356" xr:uid="{00000000-0005-0000-0000-00001C070000}"/>
    <cellStyle name="40% - Accent6 2 3 6 2" xfId="6662" xr:uid="{00000000-0005-0000-0000-00001D070000}"/>
    <cellStyle name="40% - Accent6 2 3 6 2 2" xfId="15112" xr:uid="{5BD1CB9F-BE2A-4C00-8370-D34B946FBD5C}"/>
    <cellStyle name="40% - Accent6 2 3 6 3" xfId="10894" xr:uid="{EE2DA1CC-29B9-4D94-82AA-031547BF1028}"/>
    <cellStyle name="40% - Accent6 2 3 7" xfId="4596" xr:uid="{00000000-0005-0000-0000-00001E070000}"/>
    <cellStyle name="40% - Accent6 2 3 7 2" xfId="13046" xr:uid="{9D6AB9C0-DD89-4D39-A134-55C355420D47}"/>
    <cellStyle name="40% - Accent6 2 3 8" xfId="8828" xr:uid="{C9E9CFA1-4889-4EC5-A5B0-1A73382A0275}"/>
    <cellStyle name="40% - Accent6 2 4" xfId="659" xr:uid="{00000000-0005-0000-0000-00001F070000}"/>
    <cellStyle name="40% - Accent6 2 4 2" xfId="2930" xr:uid="{00000000-0005-0000-0000-000020070000}"/>
    <cellStyle name="40% - Accent6 2 4 2 2" xfId="7152" xr:uid="{00000000-0005-0000-0000-000021070000}"/>
    <cellStyle name="40% - Accent6 2 4 2 2 2" xfId="15602" xr:uid="{A49E5D1B-1037-41D0-9997-3FAF3D83D36C}"/>
    <cellStyle name="40% - Accent6 2 4 2 3" xfId="11384" xr:uid="{BD34DACD-3304-4BE6-A716-8EB2875E6F3A}"/>
    <cellStyle name="40% - Accent6 2 4 3" xfId="5007" xr:uid="{00000000-0005-0000-0000-000022070000}"/>
    <cellStyle name="40% - Accent6 2 4 3 2" xfId="13457" xr:uid="{2C674F50-39E6-4671-A441-1A6AE7C6A38E}"/>
    <cellStyle name="40% - Accent6 2 4 4" xfId="9239" xr:uid="{C12F20E7-5C81-45EC-ACDA-4DDB05DBC8B8}"/>
    <cellStyle name="40% - Accent6 2 5" xfId="1112" xr:uid="{00000000-0005-0000-0000-000023070000}"/>
    <cellStyle name="40% - Accent6 2 5 2" xfId="3343" xr:uid="{00000000-0005-0000-0000-000024070000}"/>
    <cellStyle name="40% - Accent6 2 5 2 2" xfId="7565" xr:uid="{00000000-0005-0000-0000-000025070000}"/>
    <cellStyle name="40% - Accent6 2 5 2 2 2" xfId="16015" xr:uid="{0C2D1660-48CA-4085-AD1E-D31C9694E62E}"/>
    <cellStyle name="40% - Accent6 2 5 2 3" xfId="11797" xr:uid="{464D1504-017C-4EE3-B7C5-C7B6ACBC97D0}"/>
    <cellStyle name="40% - Accent6 2 5 3" xfId="5420" xr:uid="{00000000-0005-0000-0000-000026070000}"/>
    <cellStyle name="40% - Accent6 2 5 3 2" xfId="13870" xr:uid="{DF18D20F-DCBA-4AC7-9469-4F5B6736D2D3}"/>
    <cellStyle name="40% - Accent6 2 5 4" xfId="9652" xr:uid="{0FDC122E-00ED-4F24-BD97-2FA033030933}"/>
    <cellStyle name="40% - Accent6 2 6" xfId="1526" xr:uid="{00000000-0005-0000-0000-000027070000}"/>
    <cellStyle name="40% - Accent6 2 6 2" xfId="3756" xr:uid="{00000000-0005-0000-0000-000028070000}"/>
    <cellStyle name="40% - Accent6 2 6 2 2" xfId="7978" xr:uid="{00000000-0005-0000-0000-000029070000}"/>
    <cellStyle name="40% - Accent6 2 6 2 2 2" xfId="16428" xr:uid="{E5699F0A-4BE7-4C61-BD67-C7658066BF5A}"/>
    <cellStyle name="40% - Accent6 2 6 2 3" xfId="12210" xr:uid="{07C61FA4-7009-464F-A55A-53273B4D5A42}"/>
    <cellStyle name="40% - Accent6 2 6 3" xfId="5833" xr:uid="{00000000-0005-0000-0000-00002A070000}"/>
    <cellStyle name="40% - Accent6 2 6 3 2" xfId="14283" xr:uid="{B0CC2FDD-4D40-43BB-B4F6-31A7264B21B4}"/>
    <cellStyle name="40% - Accent6 2 6 4" xfId="10065" xr:uid="{D09228EF-F984-47DA-A5E0-184743889AA6}"/>
    <cellStyle name="40% - Accent6 2 7" xfId="1940" xr:uid="{00000000-0005-0000-0000-00002B070000}"/>
    <cellStyle name="40% - Accent6 2 7 2" xfId="4169" xr:uid="{00000000-0005-0000-0000-00002C070000}"/>
    <cellStyle name="40% - Accent6 2 7 2 2" xfId="8391" xr:uid="{00000000-0005-0000-0000-00002D070000}"/>
    <cellStyle name="40% - Accent6 2 7 2 2 2" xfId="16841" xr:uid="{4C14F0C0-3006-4135-9AEF-F59294702062}"/>
    <cellStyle name="40% - Accent6 2 7 2 3" xfId="12623" xr:uid="{D8D4EBA8-004A-4B2B-8074-511A7B3A6CD3}"/>
    <cellStyle name="40% - Accent6 2 7 3" xfId="6246" xr:uid="{00000000-0005-0000-0000-00002E070000}"/>
    <cellStyle name="40% - Accent6 2 7 3 2" xfId="14696" xr:uid="{59ECEDA2-C153-4CE2-A31C-EE350BDFF8E7}"/>
    <cellStyle name="40% - Accent6 2 7 4" xfId="10478" xr:uid="{DF005F41-30C0-4EB2-B4B2-DCEF37D01281}"/>
    <cellStyle name="40% - Accent6 2 8" xfId="2353" xr:uid="{00000000-0005-0000-0000-00002F070000}"/>
    <cellStyle name="40% - Accent6 2 8 2" xfId="6659" xr:uid="{00000000-0005-0000-0000-000030070000}"/>
    <cellStyle name="40% - Accent6 2 8 2 2" xfId="15109" xr:uid="{279AB06C-7635-49E8-B6FE-0AFD4B6C2173}"/>
    <cellStyle name="40% - Accent6 2 8 3" xfId="10891" xr:uid="{61DDC949-1836-42E8-B92A-21B85323E593}"/>
    <cellStyle name="40% - Accent6 2 9" xfId="4593" xr:uid="{00000000-0005-0000-0000-000031070000}"/>
    <cellStyle name="40% - Accent6 2 9 2" xfId="13043" xr:uid="{EABF916D-BCC6-4DED-A030-890537A4D437}"/>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15607" xr:uid="{40518B4B-04FD-481D-A076-8366DC2547BA}"/>
    <cellStyle name="40% - Accent6 3 2 2 2 3" xfId="11389" xr:uid="{01F696D8-9745-48AB-B348-0BC96EF922AA}"/>
    <cellStyle name="40% - Accent6 3 2 2 3" xfId="5012" xr:uid="{00000000-0005-0000-0000-000037070000}"/>
    <cellStyle name="40% - Accent6 3 2 2 3 2" xfId="13462" xr:uid="{03A9529E-C3D7-402B-8D47-D26A49D4F47A}"/>
    <cellStyle name="40% - Accent6 3 2 2 4" xfId="9244" xr:uid="{27E6D32E-60AB-4182-8838-0A1196718F9F}"/>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16020" xr:uid="{0B4B2EE1-9453-4A5B-BE11-5EDA522B1F55}"/>
    <cellStyle name="40% - Accent6 3 2 3 2 3" xfId="11802" xr:uid="{F2609DBB-13BA-465D-A3DC-BFC776CE85BF}"/>
    <cellStyle name="40% - Accent6 3 2 3 3" xfId="5425" xr:uid="{00000000-0005-0000-0000-00003B070000}"/>
    <cellStyle name="40% - Accent6 3 2 3 3 2" xfId="13875" xr:uid="{7C70B068-11AD-4716-9864-7046CA3FBC4C}"/>
    <cellStyle name="40% - Accent6 3 2 3 4" xfId="9657" xr:uid="{7DAC501D-24B2-4CFF-BE28-6FEAD2D49C5D}"/>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16433" xr:uid="{AA508A8F-197D-4AA9-9EA0-31E756F8128E}"/>
    <cellStyle name="40% - Accent6 3 2 4 2 3" xfId="12215" xr:uid="{BD1128F5-D471-4BE6-9335-CBCA215A8DE8}"/>
    <cellStyle name="40% - Accent6 3 2 4 3" xfId="5838" xr:uid="{00000000-0005-0000-0000-00003F070000}"/>
    <cellStyle name="40% - Accent6 3 2 4 3 2" xfId="14288" xr:uid="{CED40D6E-F89D-4484-9DDA-B74288C4BFA7}"/>
    <cellStyle name="40% - Accent6 3 2 4 4" xfId="10070" xr:uid="{2B5FE4F2-FC33-4887-827E-9918964FFFF4}"/>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16846" xr:uid="{60278D7E-C5C7-4F0A-8BF9-C31E3907988C}"/>
    <cellStyle name="40% - Accent6 3 2 5 2 3" xfId="12628" xr:uid="{3B314A2E-3545-4EE6-ABF5-F6B6FCDBFEB6}"/>
    <cellStyle name="40% - Accent6 3 2 5 3" xfId="6251" xr:uid="{00000000-0005-0000-0000-000043070000}"/>
    <cellStyle name="40% - Accent6 3 2 5 3 2" xfId="14701" xr:uid="{C349017D-EF62-4FE1-A3C7-5B99A7932ECB}"/>
    <cellStyle name="40% - Accent6 3 2 5 4" xfId="10483" xr:uid="{2FC8DCEC-4E16-41D4-8824-13988B6C363F}"/>
    <cellStyle name="40% - Accent6 3 2 6" xfId="2358" xr:uid="{00000000-0005-0000-0000-000044070000}"/>
    <cellStyle name="40% - Accent6 3 2 6 2" xfId="6664" xr:uid="{00000000-0005-0000-0000-000045070000}"/>
    <cellStyle name="40% - Accent6 3 2 6 2 2" xfId="15114" xr:uid="{68C4E027-E022-4CAA-A732-BF424DB0DBAA}"/>
    <cellStyle name="40% - Accent6 3 2 6 3" xfId="10896" xr:uid="{272AC6AA-3FAE-49A9-8CF7-E386812166EB}"/>
    <cellStyle name="40% - Accent6 3 2 7" xfId="4598" xr:uid="{00000000-0005-0000-0000-000046070000}"/>
    <cellStyle name="40% - Accent6 3 2 7 2" xfId="13048" xr:uid="{B4635BAB-72A5-474C-B6AE-03D99AAD19FD}"/>
    <cellStyle name="40% - Accent6 3 2 8" xfId="8830" xr:uid="{DE706840-5095-4AB8-9887-0F58FA69A138}"/>
    <cellStyle name="40% - Accent6 3 3" xfId="663" xr:uid="{00000000-0005-0000-0000-000047070000}"/>
    <cellStyle name="40% - Accent6 3 3 2" xfId="2934" xr:uid="{00000000-0005-0000-0000-000048070000}"/>
    <cellStyle name="40% - Accent6 3 3 2 2" xfId="7156" xr:uid="{00000000-0005-0000-0000-000049070000}"/>
    <cellStyle name="40% - Accent6 3 3 2 2 2" xfId="15606" xr:uid="{E58E7022-C99C-4A6F-B8B3-8B8B52989D7A}"/>
    <cellStyle name="40% - Accent6 3 3 2 3" xfId="11388" xr:uid="{77AC58F7-2BF8-4B56-9D9B-26683CE790FD}"/>
    <cellStyle name="40% - Accent6 3 3 3" xfId="5011" xr:uid="{00000000-0005-0000-0000-00004A070000}"/>
    <cellStyle name="40% - Accent6 3 3 3 2" xfId="13461" xr:uid="{FB204597-30BB-428A-BAB7-4C765F36073C}"/>
    <cellStyle name="40% - Accent6 3 3 4" xfId="9243" xr:uid="{81171B94-8CE4-4DF1-8BA6-F016DD7BF17D}"/>
    <cellStyle name="40% - Accent6 3 4" xfId="1116" xr:uid="{00000000-0005-0000-0000-00004B070000}"/>
    <cellStyle name="40% - Accent6 3 4 2" xfId="3347" xr:uid="{00000000-0005-0000-0000-00004C070000}"/>
    <cellStyle name="40% - Accent6 3 4 2 2" xfId="7569" xr:uid="{00000000-0005-0000-0000-00004D070000}"/>
    <cellStyle name="40% - Accent6 3 4 2 2 2" xfId="16019" xr:uid="{F176F755-61BD-44A3-A525-CECFF131089C}"/>
    <cellStyle name="40% - Accent6 3 4 2 3" xfId="11801" xr:uid="{25E7FBF0-E881-4A7C-B2E6-8660F3C8BFCD}"/>
    <cellStyle name="40% - Accent6 3 4 3" xfId="5424" xr:uid="{00000000-0005-0000-0000-00004E070000}"/>
    <cellStyle name="40% - Accent6 3 4 3 2" xfId="13874" xr:uid="{5139AD66-B75A-46F7-894D-58DF2FEA2484}"/>
    <cellStyle name="40% - Accent6 3 4 4" xfId="9656" xr:uid="{DED6B632-5E72-4AC3-A9F0-FA4B2A007C73}"/>
    <cellStyle name="40% - Accent6 3 5" xfId="1530" xr:uid="{00000000-0005-0000-0000-00004F070000}"/>
    <cellStyle name="40% - Accent6 3 5 2" xfId="3760" xr:uid="{00000000-0005-0000-0000-000050070000}"/>
    <cellStyle name="40% - Accent6 3 5 2 2" xfId="7982" xr:uid="{00000000-0005-0000-0000-000051070000}"/>
    <cellStyle name="40% - Accent6 3 5 2 2 2" xfId="16432" xr:uid="{EA8C2CA9-4810-4458-BA78-660C9547E211}"/>
    <cellStyle name="40% - Accent6 3 5 2 3" xfId="12214" xr:uid="{1C5366B6-35C1-41A2-BFC4-705C0F35D6CB}"/>
    <cellStyle name="40% - Accent6 3 5 3" xfId="5837" xr:uid="{00000000-0005-0000-0000-000052070000}"/>
    <cellStyle name="40% - Accent6 3 5 3 2" xfId="14287" xr:uid="{578C4731-8418-47D8-8228-9241ACE93B9E}"/>
    <cellStyle name="40% - Accent6 3 5 4" xfId="10069" xr:uid="{44581572-68B4-44D3-B817-80058B43D5DE}"/>
    <cellStyle name="40% - Accent6 3 6" xfId="1944" xr:uid="{00000000-0005-0000-0000-000053070000}"/>
    <cellStyle name="40% - Accent6 3 6 2" xfId="4173" xr:uid="{00000000-0005-0000-0000-000054070000}"/>
    <cellStyle name="40% - Accent6 3 6 2 2" xfId="8395" xr:uid="{00000000-0005-0000-0000-000055070000}"/>
    <cellStyle name="40% - Accent6 3 6 2 2 2" xfId="16845" xr:uid="{8B4C1E68-FE5F-4008-838E-50568A055B76}"/>
    <cellStyle name="40% - Accent6 3 6 2 3" xfId="12627" xr:uid="{BF3349E6-6A16-43A1-B298-2D8DA18D3792}"/>
    <cellStyle name="40% - Accent6 3 6 3" xfId="6250" xr:uid="{00000000-0005-0000-0000-000056070000}"/>
    <cellStyle name="40% - Accent6 3 6 3 2" xfId="14700" xr:uid="{8CEB53D8-5099-4225-ACC7-2BEF2467D6B1}"/>
    <cellStyle name="40% - Accent6 3 6 4" xfId="10482" xr:uid="{63DFD187-CFD7-4576-9411-CC9EE1BDAA1E}"/>
    <cellStyle name="40% - Accent6 3 7" xfId="2357" xr:uid="{00000000-0005-0000-0000-000057070000}"/>
    <cellStyle name="40% - Accent6 3 7 2" xfId="6663" xr:uid="{00000000-0005-0000-0000-000058070000}"/>
    <cellStyle name="40% - Accent6 3 7 2 2" xfId="15113" xr:uid="{5CC4BF22-BCDE-4DE7-B054-815015D62AA4}"/>
    <cellStyle name="40% - Accent6 3 7 3" xfId="10895" xr:uid="{D622591A-4D18-4160-9120-9E758B6E4AF8}"/>
    <cellStyle name="40% - Accent6 3 8" xfId="4597" xr:uid="{00000000-0005-0000-0000-000059070000}"/>
    <cellStyle name="40% - Accent6 3 8 2" xfId="13047" xr:uid="{8923D884-651E-41AD-B948-E6DF991248A9}"/>
    <cellStyle name="40% - Accent6 3 9" xfId="8829" xr:uid="{B1061186-491C-4D51-8145-AD570FD4F401}"/>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2 2 2" xfId="15608" xr:uid="{D3DE129E-4DE1-40E5-866A-FA6957F9F39D}"/>
    <cellStyle name="40% - Accent6 4 2 2 3" xfId="11390" xr:uid="{B5BAAA7E-D3F9-4A94-9F54-4E468C66E5AA}"/>
    <cellStyle name="40% - Accent6 4 2 3" xfId="5013" xr:uid="{00000000-0005-0000-0000-00005E070000}"/>
    <cellStyle name="40% - Accent6 4 2 3 2" xfId="13463" xr:uid="{542902D5-8D67-4D3D-8366-4CDD6902F0FD}"/>
    <cellStyle name="40% - Accent6 4 2 4" xfId="9245" xr:uid="{151DA00A-7BB8-41D3-A943-030153481F4F}"/>
    <cellStyle name="40% - Accent6 4 3" xfId="1118" xr:uid="{00000000-0005-0000-0000-00005F070000}"/>
    <cellStyle name="40% - Accent6 4 3 2" xfId="3349" xr:uid="{00000000-0005-0000-0000-000060070000}"/>
    <cellStyle name="40% - Accent6 4 3 2 2" xfId="7571" xr:uid="{00000000-0005-0000-0000-000061070000}"/>
    <cellStyle name="40% - Accent6 4 3 2 2 2" xfId="16021" xr:uid="{67245F98-2AB5-41E2-A23E-5680183C4526}"/>
    <cellStyle name="40% - Accent6 4 3 2 3" xfId="11803" xr:uid="{270A163B-441D-443D-A9C9-6B2B3E3E877F}"/>
    <cellStyle name="40% - Accent6 4 3 3" xfId="5426" xr:uid="{00000000-0005-0000-0000-000062070000}"/>
    <cellStyle name="40% - Accent6 4 3 3 2" xfId="13876" xr:uid="{EF71955D-9747-4578-AB85-D66826042CE7}"/>
    <cellStyle name="40% - Accent6 4 3 4" xfId="9658" xr:uid="{83586B71-9F67-40D2-A1EA-DD426C4F0F12}"/>
    <cellStyle name="40% - Accent6 4 4" xfId="1532" xr:uid="{00000000-0005-0000-0000-000063070000}"/>
    <cellStyle name="40% - Accent6 4 4 2" xfId="3762" xr:uid="{00000000-0005-0000-0000-000064070000}"/>
    <cellStyle name="40% - Accent6 4 4 2 2" xfId="7984" xr:uid="{00000000-0005-0000-0000-000065070000}"/>
    <cellStyle name="40% - Accent6 4 4 2 2 2" xfId="16434" xr:uid="{F4189BBD-68DB-47BB-A411-807F841549A8}"/>
    <cellStyle name="40% - Accent6 4 4 2 3" xfId="12216" xr:uid="{83E53704-22BA-492C-B9DA-4D319EA7BDC6}"/>
    <cellStyle name="40% - Accent6 4 4 3" xfId="5839" xr:uid="{00000000-0005-0000-0000-000066070000}"/>
    <cellStyle name="40% - Accent6 4 4 3 2" xfId="14289" xr:uid="{BC923024-92A4-4193-99DC-724EFF9463A1}"/>
    <cellStyle name="40% - Accent6 4 4 4" xfId="10071" xr:uid="{03D6B143-3C88-4260-964E-60E340A443E9}"/>
    <cellStyle name="40% - Accent6 4 5" xfId="1946" xr:uid="{00000000-0005-0000-0000-000067070000}"/>
    <cellStyle name="40% - Accent6 4 5 2" xfId="4175" xr:uid="{00000000-0005-0000-0000-000068070000}"/>
    <cellStyle name="40% - Accent6 4 5 2 2" xfId="8397" xr:uid="{00000000-0005-0000-0000-000069070000}"/>
    <cellStyle name="40% - Accent6 4 5 2 2 2" xfId="16847" xr:uid="{DE132CFC-B120-45DE-B6CA-069635D70278}"/>
    <cellStyle name="40% - Accent6 4 5 2 3" xfId="12629" xr:uid="{59B45437-4651-4154-A406-F91B3719311B}"/>
    <cellStyle name="40% - Accent6 4 5 3" xfId="6252" xr:uid="{00000000-0005-0000-0000-00006A070000}"/>
    <cellStyle name="40% - Accent6 4 5 3 2" xfId="14702" xr:uid="{04894C11-AB19-4363-806E-B1A678E9C1FC}"/>
    <cellStyle name="40% - Accent6 4 5 4" xfId="10484" xr:uid="{7602BAA8-A203-4F7F-9D46-5119CE022F92}"/>
    <cellStyle name="40% - Accent6 4 6" xfId="2359" xr:uid="{00000000-0005-0000-0000-00006B070000}"/>
    <cellStyle name="40% - Accent6 4 6 2" xfId="6665" xr:uid="{00000000-0005-0000-0000-00006C070000}"/>
    <cellStyle name="40% - Accent6 4 6 2 2" xfId="15115" xr:uid="{E4E34B73-6C6C-4DEC-8007-466E92BAFED4}"/>
    <cellStyle name="40% - Accent6 4 6 3" xfId="10897" xr:uid="{188FC2A4-E9FD-405C-BADB-D69B472FA9A0}"/>
    <cellStyle name="40% - Accent6 4 7" xfId="4599" xr:uid="{00000000-0005-0000-0000-00006D070000}"/>
    <cellStyle name="40% - Accent6 4 7 2" xfId="13049" xr:uid="{28C0DEC7-53E9-45EE-A04E-0DD18B786D9C}"/>
    <cellStyle name="40% - Accent6 4 8" xfId="8831" xr:uid="{CFF5AE35-A79D-4A38-A8E2-AEA0393DC92A}"/>
    <cellStyle name="40% - Accent6 5" xfId="658" xr:uid="{00000000-0005-0000-0000-00006E070000}"/>
    <cellStyle name="40% - Accent6 5 2" xfId="2929" xr:uid="{00000000-0005-0000-0000-00006F070000}"/>
    <cellStyle name="40% - Accent6 5 2 2" xfId="7151" xr:uid="{00000000-0005-0000-0000-000070070000}"/>
    <cellStyle name="40% - Accent6 5 2 2 2" xfId="15601" xr:uid="{D21704A2-9511-400E-9FC3-6C19D84C64CF}"/>
    <cellStyle name="40% - Accent6 5 2 3" xfId="11383" xr:uid="{47B0902C-36CE-40B9-BAFD-579C8B5659D1}"/>
    <cellStyle name="40% - Accent6 5 3" xfId="5006" xr:uid="{00000000-0005-0000-0000-000071070000}"/>
    <cellStyle name="40% - Accent6 5 3 2" xfId="13456" xr:uid="{68EA7318-339C-4AE2-AF30-D4794C956E52}"/>
    <cellStyle name="40% - Accent6 5 4" xfId="9238" xr:uid="{5C58BD41-4246-4120-96F5-46AF2C278611}"/>
    <cellStyle name="40% - Accent6 6" xfId="1111" xr:uid="{00000000-0005-0000-0000-000072070000}"/>
    <cellStyle name="40% - Accent6 6 2" xfId="3342" xr:uid="{00000000-0005-0000-0000-000073070000}"/>
    <cellStyle name="40% - Accent6 6 2 2" xfId="7564" xr:uid="{00000000-0005-0000-0000-000074070000}"/>
    <cellStyle name="40% - Accent6 6 2 2 2" xfId="16014" xr:uid="{31D8974D-0AA9-44D6-BA6C-C609170BFC94}"/>
    <cellStyle name="40% - Accent6 6 2 3" xfId="11796" xr:uid="{1B30B1B2-6BD1-4C74-9F95-446006C00717}"/>
    <cellStyle name="40% - Accent6 6 3" xfId="5419" xr:uid="{00000000-0005-0000-0000-000075070000}"/>
    <cellStyle name="40% - Accent6 6 3 2" xfId="13869" xr:uid="{6C5B8B38-F1B0-4806-881A-2CE60B842DC0}"/>
    <cellStyle name="40% - Accent6 6 4" xfId="9651" xr:uid="{9B7AF2B4-62E6-46E1-B0B5-21CE5021E51E}"/>
    <cellStyle name="40% - Accent6 7" xfId="1525" xr:uid="{00000000-0005-0000-0000-000076070000}"/>
    <cellStyle name="40% - Accent6 7 2" xfId="3755" xr:uid="{00000000-0005-0000-0000-000077070000}"/>
    <cellStyle name="40% - Accent6 7 2 2" xfId="7977" xr:uid="{00000000-0005-0000-0000-000078070000}"/>
    <cellStyle name="40% - Accent6 7 2 2 2" xfId="16427" xr:uid="{411E0202-AA4C-493A-953F-F6DBCBF79945}"/>
    <cellStyle name="40% - Accent6 7 2 3" xfId="12209" xr:uid="{113A414D-6DF1-423D-8505-31C99C29DAB8}"/>
    <cellStyle name="40% - Accent6 7 3" xfId="5832" xr:uid="{00000000-0005-0000-0000-000079070000}"/>
    <cellStyle name="40% - Accent6 7 3 2" xfId="14282" xr:uid="{1BEDB57B-CCD6-46D4-B4DC-318D89FE52E3}"/>
    <cellStyle name="40% - Accent6 7 4" xfId="10064" xr:uid="{3234874E-1292-4E0B-9045-591DB7CDCBC6}"/>
    <cellStyle name="40% - Accent6 8" xfId="1939" xr:uid="{00000000-0005-0000-0000-00007A070000}"/>
    <cellStyle name="40% - Accent6 8 2" xfId="4168" xr:uid="{00000000-0005-0000-0000-00007B070000}"/>
    <cellStyle name="40% - Accent6 8 2 2" xfId="8390" xr:uid="{00000000-0005-0000-0000-00007C070000}"/>
    <cellStyle name="40% - Accent6 8 2 2 2" xfId="16840" xr:uid="{28EA7E6B-530F-4547-948B-AB868C93E275}"/>
    <cellStyle name="40% - Accent6 8 2 3" xfId="12622" xr:uid="{3C5D8678-9475-49D6-BDE3-F450F03C2E13}"/>
    <cellStyle name="40% - Accent6 8 3" xfId="6245" xr:uid="{00000000-0005-0000-0000-00007D070000}"/>
    <cellStyle name="40% - Accent6 8 3 2" xfId="14695" xr:uid="{0EF4FE2B-1ADC-45D1-9F49-84ACA8AF3479}"/>
    <cellStyle name="40% - Accent6 8 4" xfId="10477" xr:uid="{F0D65F39-9799-4E69-B661-405743287B88}"/>
    <cellStyle name="40% - Accent6 9" xfId="2352" xr:uid="{00000000-0005-0000-0000-00007E070000}"/>
    <cellStyle name="40% - Accent6 9 2" xfId="6658" xr:uid="{00000000-0005-0000-0000-00007F070000}"/>
    <cellStyle name="40% - Accent6 9 2 2" xfId="15108" xr:uid="{760A29CD-231F-4D71-BC65-E6F1E7145477}"/>
    <cellStyle name="40% - Accent6 9 3" xfId="10890" xr:uid="{2AF34671-6432-47E5-AD4E-2AA4413F5472}"/>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15433" xr:uid="{8E2C0A8C-E91D-4E27-B53D-A28C17CA05E1}"/>
    <cellStyle name="Comma 4 2 2 2 10 3" xfId="11215" xr:uid="{128991ED-594E-406E-AC50-CB9924E51C92}"/>
    <cellStyle name="Comma 4 2 2 2 11" xfId="4600" xr:uid="{00000000-0005-0000-0000-0000A3070000}"/>
    <cellStyle name="Comma 4 2 2 2 11 2" xfId="13050" xr:uid="{6C9520C6-7294-4CB0-991C-2F1782B0FAB8}"/>
    <cellStyle name="Comma 4 2 2 2 12" xfId="8832" xr:uid="{213F9C6F-B59D-4278-9CC5-901C91CC6114}"/>
    <cellStyle name="Comma 4 2 2 2 2" xfId="129" xr:uid="{00000000-0005-0000-0000-0000A4070000}"/>
    <cellStyle name="Comma 4 2 2 2 2 10" xfId="4601" xr:uid="{00000000-0005-0000-0000-0000A5070000}"/>
    <cellStyle name="Comma 4 2 2 2 2 10 2" xfId="13051" xr:uid="{9C4CEB97-9622-469A-A4CC-2854269CE238}"/>
    <cellStyle name="Comma 4 2 2 2 2 11" xfId="8833" xr:uid="{2DBCDF49-A1D5-48E8-B462-71EDF7026BB2}"/>
    <cellStyle name="Comma 4 2 2 2 2 2" xfId="130" xr:uid="{00000000-0005-0000-0000-0000A6070000}"/>
    <cellStyle name="Comma 4 2 2 2 2 2 10" xfId="8834" xr:uid="{0818EEB6-C21D-4597-B7CC-A37DA66E11E6}"/>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15611" xr:uid="{10AAA7DF-22FB-404F-A940-99A9F2E56FA4}"/>
    <cellStyle name="Comma 4 2 2 2 2 2 2 2 3" xfId="11393" xr:uid="{69266811-C991-4334-98FE-79AFB87CA1ED}"/>
    <cellStyle name="Comma 4 2 2 2 2 2 2 3" xfId="5016" xr:uid="{00000000-0005-0000-0000-0000AA070000}"/>
    <cellStyle name="Comma 4 2 2 2 2 2 2 3 2" xfId="13466" xr:uid="{4E73E29B-2CEC-48E7-9309-870B35B6B018}"/>
    <cellStyle name="Comma 4 2 2 2 2 2 2 4" xfId="9248" xr:uid="{220C462B-28CE-4933-950F-E43678B5A621}"/>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16024" xr:uid="{7D723F78-1E4A-4C50-B7CF-1CA5B766087A}"/>
    <cellStyle name="Comma 4 2 2 2 2 2 3 2 3" xfId="11806" xr:uid="{EB9189C6-318B-4756-84A6-6BAB2E4AA1AF}"/>
    <cellStyle name="Comma 4 2 2 2 2 2 3 3" xfId="5429" xr:uid="{00000000-0005-0000-0000-0000AE070000}"/>
    <cellStyle name="Comma 4 2 2 2 2 2 3 3 2" xfId="13879" xr:uid="{F8989B5B-140E-4FCA-AE7A-608DC09B280A}"/>
    <cellStyle name="Comma 4 2 2 2 2 2 3 4" xfId="9661" xr:uid="{90CD1828-9DB0-4410-9C96-85BA404C892D}"/>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16437" xr:uid="{18F4188E-2870-4485-A839-CC3FD4932A86}"/>
    <cellStyle name="Comma 4 2 2 2 2 2 4 2 3" xfId="12219" xr:uid="{D01F4F58-51E7-45D2-AE96-8549BCA30FF1}"/>
    <cellStyle name="Comma 4 2 2 2 2 2 4 3" xfId="5842" xr:uid="{00000000-0005-0000-0000-0000B2070000}"/>
    <cellStyle name="Comma 4 2 2 2 2 2 4 3 2" xfId="14292" xr:uid="{C97454FE-6C78-4636-A046-9E3CEC35E369}"/>
    <cellStyle name="Comma 4 2 2 2 2 2 4 4" xfId="10074" xr:uid="{1FBCAEE8-6D6B-4733-8BF1-C167EFF6CA14}"/>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16850" xr:uid="{23D88870-ACB6-45A9-AC85-0D2F3458B134}"/>
    <cellStyle name="Comma 4 2 2 2 2 2 5 2 3" xfId="12632" xr:uid="{D40C7B36-6BCE-410A-84F8-FC618824129B}"/>
    <cellStyle name="Comma 4 2 2 2 2 2 5 3" xfId="6255" xr:uid="{00000000-0005-0000-0000-0000B6070000}"/>
    <cellStyle name="Comma 4 2 2 2 2 2 5 3 2" xfId="14705" xr:uid="{4E627C03-DF98-414E-9551-0FC046846F45}"/>
    <cellStyle name="Comma 4 2 2 2 2 2 5 4" xfId="10487" xr:uid="{6CB9DF5B-6E0F-474E-8EFD-A5B8897F607D}"/>
    <cellStyle name="Comma 4 2 2 2 2 2 6" xfId="2384" xr:uid="{00000000-0005-0000-0000-0000B7070000}"/>
    <cellStyle name="Comma 4 2 2 2 2 2 6 2" xfId="6668" xr:uid="{00000000-0005-0000-0000-0000B8070000}"/>
    <cellStyle name="Comma 4 2 2 2 2 2 6 2 2" xfId="15118" xr:uid="{8491F2B6-6C0F-44D0-B031-E1658DC8821A}"/>
    <cellStyle name="Comma 4 2 2 2 2 2 6 3" xfId="10900" xr:uid="{E5BEB74B-FC7E-4C17-832E-0143432689A5}"/>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15435" xr:uid="{CFFBECE1-C7D2-45B1-BE94-91B8E8642381}"/>
    <cellStyle name="Comma 4 2 2 2 2 2 8 3" xfId="11217" xr:uid="{AAC168FD-0CF6-4ED2-9459-405DF4D94B8B}"/>
    <cellStyle name="Comma 4 2 2 2 2 2 9" xfId="4602" xr:uid="{00000000-0005-0000-0000-0000BC070000}"/>
    <cellStyle name="Comma 4 2 2 2 2 2 9 2" xfId="13052" xr:uid="{B8872A73-2AA8-41F1-9EF8-9727ED1522F0}"/>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15610" xr:uid="{FBDBE2A6-EA81-43B4-AEE9-D57B5DDAEAAB}"/>
    <cellStyle name="Comma 4 2 2 2 2 3 2 3" xfId="11392" xr:uid="{D3C9E8D7-CF58-430B-B2E1-BF81EBA308A1}"/>
    <cellStyle name="Comma 4 2 2 2 2 3 3" xfId="5015" xr:uid="{00000000-0005-0000-0000-0000C0070000}"/>
    <cellStyle name="Comma 4 2 2 2 2 3 3 2" xfId="13465" xr:uid="{7CD45176-8004-479C-8BA6-C9054D3EB3B1}"/>
    <cellStyle name="Comma 4 2 2 2 2 3 4" xfId="9247" xr:uid="{7B07F5A4-BA30-4885-8FA5-3330AFB88ACA}"/>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16023" xr:uid="{D431CAA8-746A-444A-B698-E0ED7E267F29}"/>
    <cellStyle name="Comma 4 2 2 2 2 4 2 3" xfId="11805" xr:uid="{D4C3F568-C9D7-47BF-8534-A3EEED73EAD5}"/>
    <cellStyle name="Comma 4 2 2 2 2 4 3" xfId="5428" xr:uid="{00000000-0005-0000-0000-0000C4070000}"/>
    <cellStyle name="Comma 4 2 2 2 2 4 3 2" xfId="13878" xr:uid="{7A9C657F-F07B-4D63-AAF3-3D3C30B7E2A2}"/>
    <cellStyle name="Comma 4 2 2 2 2 4 4" xfId="9660" xr:uid="{23CCA2E8-648E-4283-AC43-394A80074860}"/>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16436" xr:uid="{A381F19E-B2E0-40A8-9DA7-BD631D859615}"/>
    <cellStyle name="Comma 4 2 2 2 2 5 2 3" xfId="12218" xr:uid="{F8148A54-0DF8-457E-A418-0D965537BC3F}"/>
    <cellStyle name="Comma 4 2 2 2 2 5 3" xfId="5841" xr:uid="{00000000-0005-0000-0000-0000C8070000}"/>
    <cellStyle name="Comma 4 2 2 2 2 5 3 2" xfId="14291" xr:uid="{63DA33DA-8F20-4367-A3C3-EE3629B56E25}"/>
    <cellStyle name="Comma 4 2 2 2 2 5 4" xfId="10073" xr:uid="{7646B3AB-B0A3-49BD-8399-ECEDCFA028FB}"/>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16849" xr:uid="{DC0C30AF-EA92-4601-84BD-04D4A4BD140A}"/>
    <cellStyle name="Comma 4 2 2 2 2 6 2 3" xfId="12631" xr:uid="{2AEA17AB-55ED-4C68-A29A-666880E0A954}"/>
    <cellStyle name="Comma 4 2 2 2 2 6 3" xfId="6254" xr:uid="{00000000-0005-0000-0000-0000CC070000}"/>
    <cellStyle name="Comma 4 2 2 2 2 6 3 2" xfId="14704" xr:uid="{26F145E2-A912-42E3-929E-0F129C3A316D}"/>
    <cellStyle name="Comma 4 2 2 2 2 6 4" xfId="10486" xr:uid="{E29E307B-EE13-4BA5-8294-2FFB8073D3D0}"/>
    <cellStyle name="Comma 4 2 2 2 2 7" xfId="2383" xr:uid="{00000000-0005-0000-0000-0000CD070000}"/>
    <cellStyle name="Comma 4 2 2 2 2 7 2" xfId="6667" xr:uid="{00000000-0005-0000-0000-0000CE070000}"/>
    <cellStyle name="Comma 4 2 2 2 2 7 2 2" xfId="15117" xr:uid="{199F3891-4C3E-46D9-B0AA-F38D53E3D20F}"/>
    <cellStyle name="Comma 4 2 2 2 2 7 3" xfId="10899" xr:uid="{4D00F854-1D9D-48B6-879D-5F1B8D0D1EE5}"/>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15434" xr:uid="{868135EA-B271-4DC6-8890-7C98BF84CDA9}"/>
    <cellStyle name="Comma 4 2 2 2 2 9 3" xfId="11216" xr:uid="{04FC0F9A-99A3-48FD-84A6-9FF04379084E}"/>
    <cellStyle name="Comma 4 2 2 2 3" xfId="131" xr:uid="{00000000-0005-0000-0000-0000D2070000}"/>
    <cellStyle name="Comma 4 2 2 2 3 10" xfId="8835" xr:uid="{77F347A2-BD49-4A6B-A808-35778FB605CD}"/>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15612" xr:uid="{197E7A00-6248-4F76-985A-897CA75568F9}"/>
    <cellStyle name="Comma 4 2 2 2 3 2 2 3" xfId="11394" xr:uid="{07091839-9BD5-4B24-A609-B27FBE56BC84}"/>
    <cellStyle name="Comma 4 2 2 2 3 2 3" xfId="5017" xr:uid="{00000000-0005-0000-0000-0000D6070000}"/>
    <cellStyle name="Comma 4 2 2 2 3 2 3 2" xfId="13467" xr:uid="{E519A0AE-1F10-43ED-9FA3-B117AEC3FDF4}"/>
    <cellStyle name="Comma 4 2 2 2 3 2 4" xfId="9249" xr:uid="{6D7D8E6D-0E0E-4005-9543-DC7331F46208}"/>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16025" xr:uid="{F3424701-EDD2-4F0F-9EB3-1B563BDB20D2}"/>
    <cellStyle name="Comma 4 2 2 2 3 3 2 3" xfId="11807" xr:uid="{601F3EE8-EBA7-48A2-912C-0DF2B7A3A2A6}"/>
    <cellStyle name="Comma 4 2 2 2 3 3 3" xfId="5430" xr:uid="{00000000-0005-0000-0000-0000DA070000}"/>
    <cellStyle name="Comma 4 2 2 2 3 3 3 2" xfId="13880" xr:uid="{F983B96C-945E-4A70-A700-DC67C24F724E}"/>
    <cellStyle name="Comma 4 2 2 2 3 3 4" xfId="9662" xr:uid="{60E18EC9-0881-4F34-884C-A3F216C48F8E}"/>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16438" xr:uid="{B90775CA-8074-4C71-A9B7-4D495DC0D70A}"/>
    <cellStyle name="Comma 4 2 2 2 3 4 2 3" xfId="12220" xr:uid="{A16D43A9-2AE5-457C-AE06-7610095E6767}"/>
    <cellStyle name="Comma 4 2 2 2 3 4 3" xfId="5843" xr:uid="{00000000-0005-0000-0000-0000DE070000}"/>
    <cellStyle name="Comma 4 2 2 2 3 4 3 2" xfId="14293" xr:uid="{DC832504-ADD4-4A88-AD06-D39E143A3521}"/>
    <cellStyle name="Comma 4 2 2 2 3 4 4" xfId="10075" xr:uid="{DBE609B8-9DD1-4148-9D0C-FBAEE1DE67F9}"/>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16851" xr:uid="{79E0FBB2-E28E-4779-A51E-B7EB2F6E21F1}"/>
    <cellStyle name="Comma 4 2 2 2 3 5 2 3" xfId="12633" xr:uid="{34C6C48E-387C-4522-B0AD-10978E9D9906}"/>
    <cellStyle name="Comma 4 2 2 2 3 5 3" xfId="6256" xr:uid="{00000000-0005-0000-0000-0000E2070000}"/>
    <cellStyle name="Comma 4 2 2 2 3 5 3 2" xfId="14706" xr:uid="{EB336698-086F-4FCE-B734-CF18BA97A176}"/>
    <cellStyle name="Comma 4 2 2 2 3 5 4" xfId="10488" xr:uid="{672F3581-EEB5-4FB4-9A39-DE288CF31745}"/>
    <cellStyle name="Comma 4 2 2 2 3 6" xfId="2385" xr:uid="{00000000-0005-0000-0000-0000E3070000}"/>
    <cellStyle name="Comma 4 2 2 2 3 6 2" xfId="6669" xr:uid="{00000000-0005-0000-0000-0000E4070000}"/>
    <cellStyle name="Comma 4 2 2 2 3 6 2 2" xfId="15119" xr:uid="{019D5006-1F16-4F2E-91EB-77DE9F0A8F11}"/>
    <cellStyle name="Comma 4 2 2 2 3 6 3" xfId="10901" xr:uid="{D7B0DD49-F112-4879-BC88-70D7F4333F3A}"/>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15436" xr:uid="{CE941198-5681-436F-9E1C-0F54764243DE}"/>
    <cellStyle name="Comma 4 2 2 2 3 8 3" xfId="11218" xr:uid="{C779C969-32C9-4A34-976E-D1FCA464A315}"/>
    <cellStyle name="Comma 4 2 2 2 3 9" xfId="4603" xr:uid="{00000000-0005-0000-0000-0000E8070000}"/>
    <cellStyle name="Comma 4 2 2 2 3 9 2" xfId="13053" xr:uid="{219D4779-F00F-4FAF-AD2C-00CB39AD7053}"/>
    <cellStyle name="Comma 4 2 2 2 4" xfId="666" xr:uid="{00000000-0005-0000-0000-0000E9070000}"/>
    <cellStyle name="Comma 4 2 2 2 4 2" xfId="2937" xr:uid="{00000000-0005-0000-0000-0000EA070000}"/>
    <cellStyle name="Comma 4 2 2 2 4 2 2" xfId="7159" xr:uid="{00000000-0005-0000-0000-0000EB070000}"/>
    <cellStyle name="Comma 4 2 2 2 4 2 2 2" xfId="15609" xr:uid="{D1A2805E-A0F6-4C2F-B886-9339DD4FC360}"/>
    <cellStyle name="Comma 4 2 2 2 4 2 3" xfId="11391" xr:uid="{BE010BBD-5108-46D4-868C-26AC75EA6B08}"/>
    <cellStyle name="Comma 4 2 2 2 4 3" xfId="5014" xr:uid="{00000000-0005-0000-0000-0000EC070000}"/>
    <cellStyle name="Comma 4 2 2 2 4 3 2" xfId="13464" xr:uid="{97D5BF43-C080-4691-92A2-E2D34E3242E1}"/>
    <cellStyle name="Comma 4 2 2 2 4 4" xfId="9246" xr:uid="{FA2BB318-C231-4FA7-8E9A-D8196EEE4763}"/>
    <cellStyle name="Comma 4 2 2 2 5" xfId="1119" xr:uid="{00000000-0005-0000-0000-0000ED070000}"/>
    <cellStyle name="Comma 4 2 2 2 5 2" xfId="3350" xr:uid="{00000000-0005-0000-0000-0000EE070000}"/>
    <cellStyle name="Comma 4 2 2 2 5 2 2" xfId="7572" xr:uid="{00000000-0005-0000-0000-0000EF070000}"/>
    <cellStyle name="Comma 4 2 2 2 5 2 2 2" xfId="16022" xr:uid="{DF6923A6-E45E-45BB-8713-7797B4958CB0}"/>
    <cellStyle name="Comma 4 2 2 2 5 2 3" xfId="11804" xr:uid="{512D3DA1-20C9-4AA8-877B-0237288DA980}"/>
    <cellStyle name="Comma 4 2 2 2 5 3" xfId="5427" xr:uid="{00000000-0005-0000-0000-0000F0070000}"/>
    <cellStyle name="Comma 4 2 2 2 5 3 2" xfId="13877" xr:uid="{0C982BD0-C3BD-4206-87A0-D37AC8BF17D6}"/>
    <cellStyle name="Comma 4 2 2 2 5 4" xfId="9659" xr:uid="{9AC473B8-493B-4A75-A010-BE1F819C3B20}"/>
    <cellStyle name="Comma 4 2 2 2 6" xfId="1533" xr:uid="{00000000-0005-0000-0000-0000F1070000}"/>
    <cellStyle name="Comma 4 2 2 2 6 2" xfId="3763" xr:uid="{00000000-0005-0000-0000-0000F2070000}"/>
    <cellStyle name="Comma 4 2 2 2 6 2 2" xfId="7985" xr:uid="{00000000-0005-0000-0000-0000F3070000}"/>
    <cellStyle name="Comma 4 2 2 2 6 2 2 2" xfId="16435" xr:uid="{E71A82CB-0608-4077-AEE7-48CE9448C49E}"/>
    <cellStyle name="Comma 4 2 2 2 6 2 3" xfId="12217" xr:uid="{68B9E3BA-2EDE-4D05-9C77-8FFBB50BB170}"/>
    <cellStyle name="Comma 4 2 2 2 6 3" xfId="5840" xr:uid="{00000000-0005-0000-0000-0000F4070000}"/>
    <cellStyle name="Comma 4 2 2 2 6 3 2" xfId="14290" xr:uid="{2F6731D3-AE86-4846-B913-8E6652D77FC7}"/>
    <cellStyle name="Comma 4 2 2 2 6 4" xfId="10072" xr:uid="{536E378B-321A-4E82-BABD-29B86253A437}"/>
    <cellStyle name="Comma 4 2 2 2 7" xfId="1947" xr:uid="{00000000-0005-0000-0000-0000F5070000}"/>
    <cellStyle name="Comma 4 2 2 2 7 2" xfId="4176" xr:uid="{00000000-0005-0000-0000-0000F6070000}"/>
    <cellStyle name="Comma 4 2 2 2 7 2 2" xfId="8398" xr:uid="{00000000-0005-0000-0000-0000F7070000}"/>
    <cellStyle name="Comma 4 2 2 2 7 2 2 2" xfId="16848" xr:uid="{7F2A66CB-151E-4521-8817-3113FDD78D7F}"/>
    <cellStyle name="Comma 4 2 2 2 7 2 3" xfId="12630" xr:uid="{389BE286-9A9F-45C0-A55C-B63101BB9E9C}"/>
    <cellStyle name="Comma 4 2 2 2 7 3" xfId="6253" xr:uid="{00000000-0005-0000-0000-0000F8070000}"/>
    <cellStyle name="Comma 4 2 2 2 7 3 2" xfId="14703" xr:uid="{37F7A28B-C8D0-4144-B45A-F65001ACD8A0}"/>
    <cellStyle name="Comma 4 2 2 2 7 4" xfId="10485" xr:uid="{3A3D6B60-DAAF-4B39-B7BA-1F380500B17B}"/>
    <cellStyle name="Comma 4 2 2 2 8" xfId="2382" xr:uid="{00000000-0005-0000-0000-0000F9070000}"/>
    <cellStyle name="Comma 4 2 2 2 8 2" xfId="6666" xr:uid="{00000000-0005-0000-0000-0000FA070000}"/>
    <cellStyle name="Comma 4 2 2 2 8 2 2" xfId="15116" xr:uid="{C856183F-D0AB-494C-B1AC-8C6FDA1758C2}"/>
    <cellStyle name="Comma 4 2 2 2 8 3" xfId="10898" xr:uid="{F27E1042-6238-4F37-83E2-8D6EEEFD9F49}"/>
    <cellStyle name="Comma 4 2 2 2 9" xfId="2381" xr:uid="{00000000-0005-0000-0000-0000FB070000}"/>
    <cellStyle name="Comma 4 2 2 3" xfId="132" xr:uid="{00000000-0005-0000-0000-0000FC070000}"/>
    <cellStyle name="Comma 4 2 2 3 10" xfId="4604" xr:uid="{00000000-0005-0000-0000-0000FD070000}"/>
    <cellStyle name="Comma 4 2 2 3 10 2" xfId="13054" xr:uid="{4771771D-DF89-4D93-B12B-DAC590C53787}"/>
    <cellStyle name="Comma 4 2 2 3 11" xfId="8836" xr:uid="{7FDC1E96-81A1-4C4C-AA4B-02E2CB2664C7}"/>
    <cellStyle name="Comma 4 2 2 3 2" xfId="133" xr:uid="{00000000-0005-0000-0000-0000FE070000}"/>
    <cellStyle name="Comma 4 2 2 3 2 10" xfId="8837" xr:uid="{77641831-0CD1-4D17-9BC2-CD68C2616E1B}"/>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15614" xr:uid="{A05786A5-BF5E-4EC8-BFF6-2911461B066B}"/>
    <cellStyle name="Comma 4 2 2 3 2 2 2 3" xfId="11396" xr:uid="{D23C56AF-E4C6-4C1D-AFBA-92A00EE0EF23}"/>
    <cellStyle name="Comma 4 2 2 3 2 2 3" xfId="5019" xr:uid="{00000000-0005-0000-0000-000002080000}"/>
    <cellStyle name="Comma 4 2 2 3 2 2 3 2" xfId="13469" xr:uid="{FDF12B97-FD84-43B7-AF21-EECEB4BD00F2}"/>
    <cellStyle name="Comma 4 2 2 3 2 2 4" xfId="9251" xr:uid="{930101EE-E625-40B2-9B01-9D2C916619BD}"/>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16027" xr:uid="{DB5F3766-0856-4553-B570-1F421490F5C1}"/>
    <cellStyle name="Comma 4 2 2 3 2 3 2 3" xfId="11809" xr:uid="{6DEAAB72-696B-4A33-915A-FBE3C408974F}"/>
    <cellStyle name="Comma 4 2 2 3 2 3 3" xfId="5432" xr:uid="{00000000-0005-0000-0000-000006080000}"/>
    <cellStyle name="Comma 4 2 2 3 2 3 3 2" xfId="13882" xr:uid="{A9ECFAB1-40E9-4925-AD2A-131C92A6DCA6}"/>
    <cellStyle name="Comma 4 2 2 3 2 3 4" xfId="9664" xr:uid="{9E39994E-D5CF-430A-8B08-D5505417B217}"/>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16440" xr:uid="{13B8B8D5-87CA-4064-8142-97DAFBC25135}"/>
    <cellStyle name="Comma 4 2 2 3 2 4 2 3" xfId="12222" xr:uid="{DEA8D0AB-90B5-421F-910D-8FE940EFB7BD}"/>
    <cellStyle name="Comma 4 2 2 3 2 4 3" xfId="5845" xr:uid="{00000000-0005-0000-0000-00000A080000}"/>
    <cellStyle name="Comma 4 2 2 3 2 4 3 2" xfId="14295" xr:uid="{70033B73-B346-4A54-8AA2-6543E88E7E40}"/>
    <cellStyle name="Comma 4 2 2 3 2 4 4" xfId="10077" xr:uid="{3A65706E-5333-4158-81F6-457272B36DE3}"/>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16853" xr:uid="{81865DFF-675C-47D3-AAF5-94CDBB19818C}"/>
    <cellStyle name="Comma 4 2 2 3 2 5 2 3" xfId="12635" xr:uid="{B18C1BFF-B0B5-4C08-85DB-7CB431FD8341}"/>
    <cellStyle name="Comma 4 2 2 3 2 5 3" xfId="6258" xr:uid="{00000000-0005-0000-0000-00000E080000}"/>
    <cellStyle name="Comma 4 2 2 3 2 5 3 2" xfId="14708" xr:uid="{B1406E2E-5500-419B-BE09-FEDA0FB8582C}"/>
    <cellStyle name="Comma 4 2 2 3 2 5 4" xfId="10490" xr:uid="{13F49F47-AE56-494A-B786-CB6047362B40}"/>
    <cellStyle name="Comma 4 2 2 3 2 6" xfId="2387" xr:uid="{00000000-0005-0000-0000-00000F080000}"/>
    <cellStyle name="Comma 4 2 2 3 2 6 2" xfId="6671" xr:uid="{00000000-0005-0000-0000-000010080000}"/>
    <cellStyle name="Comma 4 2 2 3 2 6 2 2" xfId="15121" xr:uid="{D32A0DF5-E2F7-4A26-934B-56DB47B786E5}"/>
    <cellStyle name="Comma 4 2 2 3 2 6 3" xfId="10903" xr:uid="{EB0925B0-1176-4F0B-8F23-B7B99A279321}"/>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15438" xr:uid="{88B65046-8F09-4806-8529-643DC1C85C22}"/>
    <cellStyle name="Comma 4 2 2 3 2 8 3" xfId="11220" xr:uid="{40015782-7C1B-4F3B-9469-C0271B9E7E12}"/>
    <cellStyle name="Comma 4 2 2 3 2 9" xfId="4605" xr:uid="{00000000-0005-0000-0000-000014080000}"/>
    <cellStyle name="Comma 4 2 2 3 2 9 2" xfId="13055" xr:uid="{9DC1B9A7-6E7D-4B4C-AACA-646FE017D5BE}"/>
    <cellStyle name="Comma 4 2 2 3 3" xfId="670" xr:uid="{00000000-0005-0000-0000-000015080000}"/>
    <cellStyle name="Comma 4 2 2 3 3 2" xfId="2941" xr:uid="{00000000-0005-0000-0000-000016080000}"/>
    <cellStyle name="Comma 4 2 2 3 3 2 2" xfId="7163" xr:uid="{00000000-0005-0000-0000-000017080000}"/>
    <cellStyle name="Comma 4 2 2 3 3 2 2 2" xfId="15613" xr:uid="{1F09CD1B-D75A-4F4C-AB6C-1EE02F0C8DD4}"/>
    <cellStyle name="Comma 4 2 2 3 3 2 3" xfId="11395" xr:uid="{F90FEDDA-0D60-46AA-A534-AE02C302F29D}"/>
    <cellStyle name="Comma 4 2 2 3 3 3" xfId="5018" xr:uid="{00000000-0005-0000-0000-000018080000}"/>
    <cellStyle name="Comma 4 2 2 3 3 3 2" xfId="13468" xr:uid="{4EABC0DB-EA15-424D-A8F9-CF12D90B1618}"/>
    <cellStyle name="Comma 4 2 2 3 3 4" xfId="9250" xr:uid="{E2515454-69AF-4C25-9A48-F3CF06F90D86}"/>
    <cellStyle name="Comma 4 2 2 3 4" xfId="1123" xr:uid="{00000000-0005-0000-0000-000019080000}"/>
    <cellStyle name="Comma 4 2 2 3 4 2" xfId="3354" xr:uid="{00000000-0005-0000-0000-00001A080000}"/>
    <cellStyle name="Comma 4 2 2 3 4 2 2" xfId="7576" xr:uid="{00000000-0005-0000-0000-00001B080000}"/>
    <cellStyle name="Comma 4 2 2 3 4 2 2 2" xfId="16026" xr:uid="{9FF9E750-CFBA-49B6-A854-2D18D25CB81D}"/>
    <cellStyle name="Comma 4 2 2 3 4 2 3" xfId="11808" xr:uid="{680211C7-0782-48AA-97AA-19D9E9A917D4}"/>
    <cellStyle name="Comma 4 2 2 3 4 3" xfId="5431" xr:uid="{00000000-0005-0000-0000-00001C080000}"/>
    <cellStyle name="Comma 4 2 2 3 4 3 2" xfId="13881" xr:uid="{B8B78F4D-947A-402D-95F2-88DC7D0BD191}"/>
    <cellStyle name="Comma 4 2 2 3 4 4" xfId="9663" xr:uid="{93413E65-AA07-4D73-92CE-0CE186D2CD3F}"/>
    <cellStyle name="Comma 4 2 2 3 5" xfId="1537" xr:uid="{00000000-0005-0000-0000-00001D080000}"/>
    <cellStyle name="Comma 4 2 2 3 5 2" xfId="3767" xr:uid="{00000000-0005-0000-0000-00001E080000}"/>
    <cellStyle name="Comma 4 2 2 3 5 2 2" xfId="7989" xr:uid="{00000000-0005-0000-0000-00001F080000}"/>
    <cellStyle name="Comma 4 2 2 3 5 2 2 2" xfId="16439" xr:uid="{C8296D08-F0D0-4D12-A2A9-4D7DCEE8D4F9}"/>
    <cellStyle name="Comma 4 2 2 3 5 2 3" xfId="12221" xr:uid="{F87D65C7-172E-48BA-9D67-CB9FA9A3E47A}"/>
    <cellStyle name="Comma 4 2 2 3 5 3" xfId="5844" xr:uid="{00000000-0005-0000-0000-000020080000}"/>
    <cellStyle name="Comma 4 2 2 3 5 3 2" xfId="14294" xr:uid="{2793F6A9-0AA2-46EB-8BB9-7C06EF0B6925}"/>
    <cellStyle name="Comma 4 2 2 3 5 4" xfId="10076" xr:uid="{8CBC8C9E-22C0-4A83-AE58-7389B7EB013B}"/>
    <cellStyle name="Comma 4 2 2 3 6" xfId="1951" xr:uid="{00000000-0005-0000-0000-000021080000}"/>
    <cellStyle name="Comma 4 2 2 3 6 2" xfId="4180" xr:uid="{00000000-0005-0000-0000-000022080000}"/>
    <cellStyle name="Comma 4 2 2 3 6 2 2" xfId="8402" xr:uid="{00000000-0005-0000-0000-000023080000}"/>
    <cellStyle name="Comma 4 2 2 3 6 2 2 2" xfId="16852" xr:uid="{FE0EA843-5255-4141-82C9-55924F492D2F}"/>
    <cellStyle name="Comma 4 2 2 3 6 2 3" xfId="12634" xr:uid="{16F06C1C-2524-4C1C-BE3C-A2B2A4323BA1}"/>
    <cellStyle name="Comma 4 2 2 3 6 3" xfId="6257" xr:uid="{00000000-0005-0000-0000-000024080000}"/>
    <cellStyle name="Comma 4 2 2 3 6 3 2" xfId="14707" xr:uid="{0F969603-DB96-4703-9D7C-FEE2AF5C7690}"/>
    <cellStyle name="Comma 4 2 2 3 6 4" xfId="10489" xr:uid="{2ED25147-86A2-46F7-8E54-8E46686B9C93}"/>
    <cellStyle name="Comma 4 2 2 3 7" xfId="2386" xr:uid="{00000000-0005-0000-0000-000025080000}"/>
    <cellStyle name="Comma 4 2 2 3 7 2" xfId="6670" xr:uid="{00000000-0005-0000-0000-000026080000}"/>
    <cellStyle name="Comma 4 2 2 3 7 2 2" xfId="15120" xr:uid="{D9D1CF2F-9E89-4508-84BF-2EC18A269958}"/>
    <cellStyle name="Comma 4 2 2 3 7 3" xfId="10902" xr:uid="{E3A174B4-4690-4DC5-A6B9-962BD930C913}"/>
    <cellStyle name="Comma 4 2 2 3 8" xfId="2377" xr:uid="{00000000-0005-0000-0000-000027080000}"/>
    <cellStyle name="Comma 4 2 2 3 9" xfId="2764" xr:uid="{00000000-0005-0000-0000-000028080000}"/>
    <cellStyle name="Comma 4 2 2 3 9 2" xfId="6987" xr:uid="{00000000-0005-0000-0000-000029080000}"/>
    <cellStyle name="Comma 4 2 2 3 9 2 2" xfId="15437" xr:uid="{EB7CC856-A272-46BE-B03C-3CFBDDF7B36B}"/>
    <cellStyle name="Comma 4 2 2 3 9 3" xfId="11219" xr:uid="{D7ED5773-C666-4B3B-A99A-92F7F248D338}"/>
    <cellStyle name="Comma 4 2 2 4" xfId="134" xr:uid="{00000000-0005-0000-0000-00002A080000}"/>
    <cellStyle name="Comma 4 2 2 4 10" xfId="8838" xr:uid="{4B5C8A03-A17C-49ED-9492-9A3D42DDF73F}"/>
    <cellStyle name="Comma 4 2 2 4 2" xfId="672" xr:uid="{00000000-0005-0000-0000-00002B080000}"/>
    <cellStyle name="Comma 4 2 2 4 2 2" xfId="2943" xr:uid="{00000000-0005-0000-0000-00002C080000}"/>
    <cellStyle name="Comma 4 2 2 4 2 2 2" xfId="7165" xr:uid="{00000000-0005-0000-0000-00002D080000}"/>
    <cellStyle name="Comma 4 2 2 4 2 2 2 2" xfId="15615" xr:uid="{15A551B9-7AEC-45FE-BE29-9488021D0D9B}"/>
    <cellStyle name="Comma 4 2 2 4 2 2 3" xfId="11397" xr:uid="{94E830FE-34A5-4C5C-9AD2-60F3DB4426F6}"/>
    <cellStyle name="Comma 4 2 2 4 2 3" xfId="5020" xr:uid="{00000000-0005-0000-0000-00002E080000}"/>
    <cellStyle name="Comma 4 2 2 4 2 3 2" xfId="13470" xr:uid="{589BB0B4-A355-4905-BB98-EA3E3A2C3989}"/>
    <cellStyle name="Comma 4 2 2 4 2 4" xfId="9252" xr:uid="{F66A8C78-A2C4-4373-8F6E-F63A46E89979}"/>
    <cellStyle name="Comma 4 2 2 4 3" xfId="1125" xr:uid="{00000000-0005-0000-0000-00002F080000}"/>
    <cellStyle name="Comma 4 2 2 4 3 2" xfId="3356" xr:uid="{00000000-0005-0000-0000-000030080000}"/>
    <cellStyle name="Comma 4 2 2 4 3 2 2" xfId="7578" xr:uid="{00000000-0005-0000-0000-000031080000}"/>
    <cellStyle name="Comma 4 2 2 4 3 2 2 2" xfId="16028" xr:uid="{CDE2E1FA-A234-402B-BFFF-825C6BAAE4B1}"/>
    <cellStyle name="Comma 4 2 2 4 3 2 3" xfId="11810" xr:uid="{188310FA-D719-4E55-A25F-0481E0A362E8}"/>
    <cellStyle name="Comma 4 2 2 4 3 3" xfId="5433" xr:uid="{00000000-0005-0000-0000-000032080000}"/>
    <cellStyle name="Comma 4 2 2 4 3 3 2" xfId="13883" xr:uid="{8EBB8B64-6FB8-47AB-8820-C73D05DEEB27}"/>
    <cellStyle name="Comma 4 2 2 4 3 4" xfId="9665" xr:uid="{9622BD4F-378A-468F-8C74-6759B2B6CE22}"/>
    <cellStyle name="Comma 4 2 2 4 4" xfId="1539" xr:uid="{00000000-0005-0000-0000-000033080000}"/>
    <cellStyle name="Comma 4 2 2 4 4 2" xfId="3769" xr:uid="{00000000-0005-0000-0000-000034080000}"/>
    <cellStyle name="Comma 4 2 2 4 4 2 2" xfId="7991" xr:uid="{00000000-0005-0000-0000-000035080000}"/>
    <cellStyle name="Comma 4 2 2 4 4 2 2 2" xfId="16441" xr:uid="{D6BD93FC-0EFE-4598-B3DD-EF7EA4D986E0}"/>
    <cellStyle name="Comma 4 2 2 4 4 2 3" xfId="12223" xr:uid="{5E0F7466-0A81-4C8B-960A-A93CCBEB6ACE}"/>
    <cellStyle name="Comma 4 2 2 4 4 3" xfId="5846" xr:uid="{00000000-0005-0000-0000-000036080000}"/>
    <cellStyle name="Comma 4 2 2 4 4 3 2" xfId="14296" xr:uid="{4AB6BF13-DE8C-4024-94B2-F24AC6B2E33B}"/>
    <cellStyle name="Comma 4 2 2 4 4 4" xfId="10078" xr:uid="{72C07314-53E9-4624-84E1-75B8712A67BB}"/>
    <cellStyle name="Comma 4 2 2 4 5" xfId="1953" xr:uid="{00000000-0005-0000-0000-000037080000}"/>
    <cellStyle name="Comma 4 2 2 4 5 2" xfId="4182" xr:uid="{00000000-0005-0000-0000-000038080000}"/>
    <cellStyle name="Comma 4 2 2 4 5 2 2" xfId="8404" xr:uid="{00000000-0005-0000-0000-000039080000}"/>
    <cellStyle name="Comma 4 2 2 4 5 2 2 2" xfId="16854" xr:uid="{E8F3BA5D-D051-4E1C-AABA-1A9EAD1FEA70}"/>
    <cellStyle name="Comma 4 2 2 4 5 2 3" xfId="12636" xr:uid="{DA11F313-FACF-47AC-AC34-325A73B1D962}"/>
    <cellStyle name="Comma 4 2 2 4 5 3" xfId="6259" xr:uid="{00000000-0005-0000-0000-00003A080000}"/>
    <cellStyle name="Comma 4 2 2 4 5 3 2" xfId="14709" xr:uid="{0BDC87E9-DAE0-48AE-ADD2-773217EAD51C}"/>
    <cellStyle name="Comma 4 2 2 4 5 4" xfId="10491" xr:uid="{F2AB7387-7638-45CF-AF8C-F5597C25D382}"/>
    <cellStyle name="Comma 4 2 2 4 6" xfId="2388" xr:uid="{00000000-0005-0000-0000-00003B080000}"/>
    <cellStyle name="Comma 4 2 2 4 6 2" xfId="6672" xr:uid="{00000000-0005-0000-0000-00003C080000}"/>
    <cellStyle name="Comma 4 2 2 4 6 2 2" xfId="15122" xr:uid="{4692465A-80F9-4A9F-9AFD-1C2A368CDAD0}"/>
    <cellStyle name="Comma 4 2 2 4 6 3" xfId="10904" xr:uid="{6C1A3DAD-537C-45A9-9C96-50E9DB1FABE4}"/>
    <cellStyle name="Comma 4 2 2 4 7" xfId="2375" xr:uid="{00000000-0005-0000-0000-00003D080000}"/>
    <cellStyle name="Comma 4 2 2 4 8" xfId="2766" xr:uid="{00000000-0005-0000-0000-00003E080000}"/>
    <cellStyle name="Comma 4 2 2 4 8 2" xfId="6989" xr:uid="{00000000-0005-0000-0000-00003F080000}"/>
    <cellStyle name="Comma 4 2 2 4 8 2 2" xfId="15439" xr:uid="{DB1C808B-DB4D-4C1B-9653-D7B84B3CD963}"/>
    <cellStyle name="Comma 4 2 2 4 8 3" xfId="11221" xr:uid="{A9717144-0EBF-4A19-97E7-20BECB323F0A}"/>
    <cellStyle name="Comma 4 2 2 4 9" xfId="4606" xr:uid="{00000000-0005-0000-0000-000040080000}"/>
    <cellStyle name="Comma 4 2 2 4 9 2" xfId="13056" xr:uid="{33436CC3-E726-49FF-A2D0-E6C0E86FCB1D}"/>
    <cellStyle name="Comma 4 2 2 5" xfId="135" xr:uid="{00000000-0005-0000-0000-000041080000}"/>
    <cellStyle name="Comma 4 2 2 5 10" xfId="8839" xr:uid="{B779ADD3-8702-4655-87F3-9EAEF2E2942B}"/>
    <cellStyle name="Comma 4 2 2 5 2" xfId="673" xr:uid="{00000000-0005-0000-0000-000042080000}"/>
    <cellStyle name="Comma 4 2 2 5 2 2" xfId="2944" xr:uid="{00000000-0005-0000-0000-000043080000}"/>
    <cellStyle name="Comma 4 2 2 5 2 2 2" xfId="7166" xr:uid="{00000000-0005-0000-0000-000044080000}"/>
    <cellStyle name="Comma 4 2 2 5 2 2 2 2" xfId="15616" xr:uid="{31781E74-6772-4FE4-801C-D21961954522}"/>
    <cellStyle name="Comma 4 2 2 5 2 2 3" xfId="11398" xr:uid="{489E325E-7C01-4FAD-ACE4-D94655489916}"/>
    <cellStyle name="Comma 4 2 2 5 2 3" xfId="5021" xr:uid="{00000000-0005-0000-0000-000045080000}"/>
    <cellStyle name="Comma 4 2 2 5 2 3 2" xfId="13471" xr:uid="{10B6BEA2-B368-40E3-8A0C-D0CA5D45B9BE}"/>
    <cellStyle name="Comma 4 2 2 5 2 4" xfId="9253" xr:uid="{85DB9E27-3497-4E7D-9563-23CAD4944C16}"/>
    <cellStyle name="Comma 4 2 2 5 3" xfId="1126" xr:uid="{00000000-0005-0000-0000-000046080000}"/>
    <cellStyle name="Comma 4 2 2 5 3 2" xfId="3357" xr:uid="{00000000-0005-0000-0000-000047080000}"/>
    <cellStyle name="Comma 4 2 2 5 3 2 2" xfId="7579" xr:uid="{00000000-0005-0000-0000-000048080000}"/>
    <cellStyle name="Comma 4 2 2 5 3 2 2 2" xfId="16029" xr:uid="{6421D01A-B2FD-4F23-8BA2-76F710E4DA76}"/>
    <cellStyle name="Comma 4 2 2 5 3 2 3" xfId="11811" xr:uid="{73F7B7A6-BA7A-4371-AC47-9035CBAF0B82}"/>
    <cellStyle name="Comma 4 2 2 5 3 3" xfId="5434" xr:uid="{00000000-0005-0000-0000-000049080000}"/>
    <cellStyle name="Comma 4 2 2 5 3 3 2" xfId="13884" xr:uid="{BB888C2C-E2EE-493C-BB01-2B9BAA94A1AA}"/>
    <cellStyle name="Comma 4 2 2 5 3 4" xfId="9666" xr:uid="{F246A4FD-008A-49F7-BEA2-013568748DC3}"/>
    <cellStyle name="Comma 4 2 2 5 4" xfId="1540" xr:uid="{00000000-0005-0000-0000-00004A080000}"/>
    <cellStyle name="Comma 4 2 2 5 4 2" xfId="3770" xr:uid="{00000000-0005-0000-0000-00004B080000}"/>
    <cellStyle name="Comma 4 2 2 5 4 2 2" xfId="7992" xr:uid="{00000000-0005-0000-0000-00004C080000}"/>
    <cellStyle name="Comma 4 2 2 5 4 2 2 2" xfId="16442" xr:uid="{CE3E0608-A6CF-49AE-AF86-CAE22FA609C6}"/>
    <cellStyle name="Comma 4 2 2 5 4 2 3" xfId="12224" xr:uid="{501FE005-CDAA-4782-A0E3-98BC22A3ECC0}"/>
    <cellStyle name="Comma 4 2 2 5 4 3" xfId="5847" xr:uid="{00000000-0005-0000-0000-00004D080000}"/>
    <cellStyle name="Comma 4 2 2 5 4 3 2" xfId="14297" xr:uid="{47E2B4A7-37BE-4484-A591-E28A37476CB4}"/>
    <cellStyle name="Comma 4 2 2 5 4 4" xfId="10079" xr:uid="{CC8FCA39-B4D2-4B5E-AE9B-AF587CDB5944}"/>
    <cellStyle name="Comma 4 2 2 5 5" xfId="1954" xr:uid="{00000000-0005-0000-0000-00004E080000}"/>
    <cellStyle name="Comma 4 2 2 5 5 2" xfId="4183" xr:uid="{00000000-0005-0000-0000-00004F080000}"/>
    <cellStyle name="Comma 4 2 2 5 5 2 2" xfId="8405" xr:uid="{00000000-0005-0000-0000-000050080000}"/>
    <cellStyle name="Comma 4 2 2 5 5 2 2 2" xfId="16855" xr:uid="{3638B729-670D-4E31-990F-6E01FD85DA45}"/>
    <cellStyle name="Comma 4 2 2 5 5 2 3" xfId="12637" xr:uid="{CFF2E092-C1D2-450A-920A-0D1F1DDFAB17}"/>
    <cellStyle name="Comma 4 2 2 5 5 3" xfId="6260" xr:uid="{00000000-0005-0000-0000-000051080000}"/>
    <cellStyle name="Comma 4 2 2 5 5 3 2" xfId="14710" xr:uid="{6F06EA66-7639-475E-8D7B-C01796D074DA}"/>
    <cellStyle name="Comma 4 2 2 5 5 4" xfId="10492" xr:uid="{9E627B1A-6DFF-4083-8810-07436BD09EED}"/>
    <cellStyle name="Comma 4 2 2 5 6" xfId="2389" xr:uid="{00000000-0005-0000-0000-000052080000}"/>
    <cellStyle name="Comma 4 2 2 5 6 2" xfId="6673" xr:uid="{00000000-0005-0000-0000-000053080000}"/>
    <cellStyle name="Comma 4 2 2 5 6 2 2" xfId="15123" xr:uid="{D435C7C3-74BD-4C23-9379-6E20D7CD33C3}"/>
    <cellStyle name="Comma 4 2 2 5 6 3" xfId="10905" xr:uid="{DEC15AF9-0928-42EF-AE29-BBC2418031CF}"/>
    <cellStyle name="Comma 4 2 2 5 7" xfId="2374" xr:uid="{00000000-0005-0000-0000-000054080000}"/>
    <cellStyle name="Comma 4 2 2 5 8" xfId="2767" xr:uid="{00000000-0005-0000-0000-000055080000}"/>
    <cellStyle name="Comma 4 2 2 5 8 2" xfId="6990" xr:uid="{00000000-0005-0000-0000-000056080000}"/>
    <cellStyle name="Comma 4 2 2 5 8 2 2" xfId="15440" xr:uid="{915EF0D2-D776-47E8-AD18-872B4E1E7190}"/>
    <cellStyle name="Comma 4 2 2 5 8 3" xfId="11222" xr:uid="{F36FCEA2-D872-4ADB-B1F9-E78D5E1B418E}"/>
    <cellStyle name="Comma 4 2 2 5 9" xfId="4607" xr:uid="{00000000-0005-0000-0000-000057080000}"/>
    <cellStyle name="Comma 4 2 2 5 9 2" xfId="13057" xr:uid="{FB61DE95-F131-48C6-A5F6-15481F649FD1}"/>
    <cellStyle name="Comma 4 2 3" xfId="136" xr:uid="{00000000-0005-0000-0000-000058080000}"/>
    <cellStyle name="Comma 4 2 3 10" xfId="2768" xr:uid="{00000000-0005-0000-0000-000059080000}"/>
    <cellStyle name="Comma 4 2 3 10 2" xfId="6991" xr:uid="{00000000-0005-0000-0000-00005A080000}"/>
    <cellStyle name="Comma 4 2 3 10 2 2" xfId="15441" xr:uid="{5B013628-4D31-4583-AF54-C423D70237BC}"/>
    <cellStyle name="Comma 4 2 3 10 3" xfId="11223" xr:uid="{10BDDC59-6747-48E3-85A2-8D1DE1C9C1EE}"/>
    <cellStyle name="Comma 4 2 3 11" xfId="4608" xr:uid="{00000000-0005-0000-0000-00005B080000}"/>
    <cellStyle name="Comma 4 2 3 11 2" xfId="13058" xr:uid="{AB00953F-34E8-4636-8E25-004ABCFDE573}"/>
    <cellStyle name="Comma 4 2 3 12" xfId="8840" xr:uid="{AB34003F-D02E-46DE-953E-A44C432EB0FB}"/>
    <cellStyle name="Comma 4 2 3 2" xfId="137" xr:uid="{00000000-0005-0000-0000-00005C080000}"/>
    <cellStyle name="Comma 4 2 3 2 10" xfId="4609" xr:uid="{00000000-0005-0000-0000-00005D080000}"/>
    <cellStyle name="Comma 4 2 3 2 10 2" xfId="13059" xr:uid="{9EDE048C-35FD-4358-917D-2720830EFDAC}"/>
    <cellStyle name="Comma 4 2 3 2 11" xfId="8841" xr:uid="{C1F41C0D-A415-4057-A237-D853329B4F3D}"/>
    <cellStyle name="Comma 4 2 3 2 2" xfId="138" xr:uid="{00000000-0005-0000-0000-00005E080000}"/>
    <cellStyle name="Comma 4 2 3 2 2 10" xfId="8842" xr:uid="{89E46573-C644-43B7-AF5E-96DB1A9C696A}"/>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15619" xr:uid="{A40B1CAD-C4FB-4AE1-82A2-773A3D507C50}"/>
    <cellStyle name="Comma 4 2 3 2 2 2 2 3" xfId="11401" xr:uid="{73AF96D9-0483-4E12-A6BE-B98EE658A2F8}"/>
    <cellStyle name="Comma 4 2 3 2 2 2 3" xfId="5024" xr:uid="{00000000-0005-0000-0000-000062080000}"/>
    <cellStyle name="Comma 4 2 3 2 2 2 3 2" xfId="13474" xr:uid="{A54963E8-5212-4B35-BBCB-F90AD4EF6888}"/>
    <cellStyle name="Comma 4 2 3 2 2 2 4" xfId="9256" xr:uid="{486D9F81-E9F9-4E55-B217-E3A39FA2AB1E}"/>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16032" xr:uid="{02725AD3-78FA-4594-8476-4AFD3B026D04}"/>
    <cellStyle name="Comma 4 2 3 2 2 3 2 3" xfId="11814" xr:uid="{D9FFEA88-DAF7-459D-B983-1ED5FFC274A8}"/>
    <cellStyle name="Comma 4 2 3 2 2 3 3" xfId="5437" xr:uid="{00000000-0005-0000-0000-000066080000}"/>
    <cellStyle name="Comma 4 2 3 2 2 3 3 2" xfId="13887" xr:uid="{14CBE9CF-69F1-40CF-9FE3-644DC214FEE4}"/>
    <cellStyle name="Comma 4 2 3 2 2 3 4" xfId="9669" xr:uid="{7AC91A61-21C9-41F1-B022-F56D90303637}"/>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16445" xr:uid="{9C04FBCC-51F0-4984-9D74-BCBE99E4999D}"/>
    <cellStyle name="Comma 4 2 3 2 2 4 2 3" xfId="12227" xr:uid="{E025E551-5C7D-489A-9CF7-239ABAFD5744}"/>
    <cellStyle name="Comma 4 2 3 2 2 4 3" xfId="5850" xr:uid="{00000000-0005-0000-0000-00006A080000}"/>
    <cellStyle name="Comma 4 2 3 2 2 4 3 2" xfId="14300" xr:uid="{9F6D3B15-747D-497A-8D9C-C00EB27C438F}"/>
    <cellStyle name="Comma 4 2 3 2 2 4 4" xfId="10082" xr:uid="{E8DD45EC-B186-421A-BF0B-ED0C853FE563}"/>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16858" xr:uid="{A7B17E12-597C-4DE2-BC17-AB604A752247}"/>
    <cellStyle name="Comma 4 2 3 2 2 5 2 3" xfId="12640" xr:uid="{EABB07B1-13D7-4842-878E-6CAE52F32894}"/>
    <cellStyle name="Comma 4 2 3 2 2 5 3" xfId="6263" xr:uid="{00000000-0005-0000-0000-00006E080000}"/>
    <cellStyle name="Comma 4 2 3 2 2 5 3 2" xfId="14713" xr:uid="{CB3485B6-17D6-4463-A1E0-A2E00ADA9A2A}"/>
    <cellStyle name="Comma 4 2 3 2 2 5 4" xfId="10495" xr:uid="{3622630C-80E4-481A-8483-9456E548F474}"/>
    <cellStyle name="Comma 4 2 3 2 2 6" xfId="2392" xr:uid="{00000000-0005-0000-0000-00006F080000}"/>
    <cellStyle name="Comma 4 2 3 2 2 6 2" xfId="6676" xr:uid="{00000000-0005-0000-0000-000070080000}"/>
    <cellStyle name="Comma 4 2 3 2 2 6 2 2" xfId="15126" xr:uid="{EABD3452-64DE-4FC8-8D07-38BE0D9E7233}"/>
    <cellStyle name="Comma 4 2 3 2 2 6 3" xfId="10908" xr:uid="{071E4DE5-D7DB-4155-AFDD-C875EE8F223F}"/>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15443" xr:uid="{5BE753DF-B938-43A1-AE51-D026A34E8C09}"/>
    <cellStyle name="Comma 4 2 3 2 2 8 3" xfId="11225" xr:uid="{D1D07E17-A032-470A-8358-5AE3DB27AD10}"/>
    <cellStyle name="Comma 4 2 3 2 2 9" xfId="4610" xr:uid="{00000000-0005-0000-0000-000074080000}"/>
    <cellStyle name="Comma 4 2 3 2 2 9 2" xfId="13060" xr:uid="{BF1BDDD5-E5A9-4D28-A701-D7D9C81BA930}"/>
    <cellStyle name="Comma 4 2 3 2 3" xfId="675" xr:uid="{00000000-0005-0000-0000-000075080000}"/>
    <cellStyle name="Comma 4 2 3 2 3 2" xfId="2946" xr:uid="{00000000-0005-0000-0000-000076080000}"/>
    <cellStyle name="Comma 4 2 3 2 3 2 2" xfId="7168" xr:uid="{00000000-0005-0000-0000-000077080000}"/>
    <cellStyle name="Comma 4 2 3 2 3 2 2 2" xfId="15618" xr:uid="{CFC45214-E8EA-44E1-B585-D3E49900BD9F}"/>
    <cellStyle name="Comma 4 2 3 2 3 2 3" xfId="11400" xr:uid="{928D5C5A-2E17-45EC-BA41-1241152A025E}"/>
    <cellStyle name="Comma 4 2 3 2 3 3" xfId="5023" xr:uid="{00000000-0005-0000-0000-000078080000}"/>
    <cellStyle name="Comma 4 2 3 2 3 3 2" xfId="13473" xr:uid="{0182DC8D-B8EC-4A1F-AC4A-553D48D7295F}"/>
    <cellStyle name="Comma 4 2 3 2 3 4" xfId="9255" xr:uid="{6A8D1CD7-1A77-449F-B6D3-45B1C66D79BB}"/>
    <cellStyle name="Comma 4 2 3 2 4" xfId="1128" xr:uid="{00000000-0005-0000-0000-000079080000}"/>
    <cellStyle name="Comma 4 2 3 2 4 2" xfId="3359" xr:uid="{00000000-0005-0000-0000-00007A080000}"/>
    <cellStyle name="Comma 4 2 3 2 4 2 2" xfId="7581" xr:uid="{00000000-0005-0000-0000-00007B080000}"/>
    <cellStyle name="Comma 4 2 3 2 4 2 2 2" xfId="16031" xr:uid="{92FD670D-1A9B-4212-9F30-99BFFE411715}"/>
    <cellStyle name="Comma 4 2 3 2 4 2 3" xfId="11813" xr:uid="{8BDC3A3D-7211-47B3-9B52-D3C6EE7B049C}"/>
    <cellStyle name="Comma 4 2 3 2 4 3" xfId="5436" xr:uid="{00000000-0005-0000-0000-00007C080000}"/>
    <cellStyle name="Comma 4 2 3 2 4 3 2" xfId="13886" xr:uid="{64823040-ECA2-4DA7-AEB1-C95F8F46CDB7}"/>
    <cellStyle name="Comma 4 2 3 2 4 4" xfId="9668" xr:uid="{8AFDAC33-BD53-4213-94DD-A659E077DDB7}"/>
    <cellStyle name="Comma 4 2 3 2 5" xfId="1542" xr:uid="{00000000-0005-0000-0000-00007D080000}"/>
    <cellStyle name="Comma 4 2 3 2 5 2" xfId="3772" xr:uid="{00000000-0005-0000-0000-00007E080000}"/>
    <cellStyle name="Comma 4 2 3 2 5 2 2" xfId="7994" xr:uid="{00000000-0005-0000-0000-00007F080000}"/>
    <cellStyle name="Comma 4 2 3 2 5 2 2 2" xfId="16444" xr:uid="{91CACC98-27D5-4D31-AFD2-4FDA1FEFC955}"/>
    <cellStyle name="Comma 4 2 3 2 5 2 3" xfId="12226" xr:uid="{CD616F73-E77E-4F85-A452-A4D66599A86A}"/>
    <cellStyle name="Comma 4 2 3 2 5 3" xfId="5849" xr:uid="{00000000-0005-0000-0000-000080080000}"/>
    <cellStyle name="Comma 4 2 3 2 5 3 2" xfId="14299" xr:uid="{03938AE0-7077-4B07-8D32-303C8C962C3C}"/>
    <cellStyle name="Comma 4 2 3 2 5 4" xfId="10081" xr:uid="{9B8D7EE8-CD4C-46D5-A182-E261ADE2AA4E}"/>
    <cellStyle name="Comma 4 2 3 2 6" xfId="1956" xr:uid="{00000000-0005-0000-0000-000081080000}"/>
    <cellStyle name="Comma 4 2 3 2 6 2" xfId="4185" xr:uid="{00000000-0005-0000-0000-000082080000}"/>
    <cellStyle name="Comma 4 2 3 2 6 2 2" xfId="8407" xr:uid="{00000000-0005-0000-0000-000083080000}"/>
    <cellStyle name="Comma 4 2 3 2 6 2 2 2" xfId="16857" xr:uid="{650EF9BB-AB60-4C6A-A2EF-3D9DEC388BDF}"/>
    <cellStyle name="Comma 4 2 3 2 6 2 3" xfId="12639" xr:uid="{AF15D424-8B01-4DBE-ACF1-FB103BE912DD}"/>
    <cellStyle name="Comma 4 2 3 2 6 3" xfId="6262" xr:uid="{00000000-0005-0000-0000-000084080000}"/>
    <cellStyle name="Comma 4 2 3 2 6 3 2" xfId="14712" xr:uid="{AE1ADF59-EDE6-4593-97F2-070F55B4ED74}"/>
    <cellStyle name="Comma 4 2 3 2 6 4" xfId="10494" xr:uid="{B386066D-83A6-4AF0-AF68-1C906D973A20}"/>
    <cellStyle name="Comma 4 2 3 2 7" xfId="2391" xr:uid="{00000000-0005-0000-0000-000085080000}"/>
    <cellStyle name="Comma 4 2 3 2 7 2" xfId="6675" xr:uid="{00000000-0005-0000-0000-000086080000}"/>
    <cellStyle name="Comma 4 2 3 2 7 2 2" xfId="15125" xr:uid="{596911EA-EFA0-4946-AFE0-59D07EF8C526}"/>
    <cellStyle name="Comma 4 2 3 2 7 3" xfId="10907" xr:uid="{EA8B5CC7-6E6E-4C58-9770-7CB562113E1A}"/>
    <cellStyle name="Comma 4 2 3 2 8" xfId="2372" xr:uid="{00000000-0005-0000-0000-000087080000}"/>
    <cellStyle name="Comma 4 2 3 2 9" xfId="2769" xr:uid="{00000000-0005-0000-0000-000088080000}"/>
    <cellStyle name="Comma 4 2 3 2 9 2" xfId="6992" xr:uid="{00000000-0005-0000-0000-000089080000}"/>
    <cellStyle name="Comma 4 2 3 2 9 2 2" xfId="15442" xr:uid="{9A8E0B60-9012-439A-A838-74C238533150}"/>
    <cellStyle name="Comma 4 2 3 2 9 3" xfId="11224" xr:uid="{C3ED4F61-760E-43E3-8BE3-B8C28790B0EB}"/>
    <cellStyle name="Comma 4 2 3 3" xfId="139" xr:uid="{00000000-0005-0000-0000-00008A080000}"/>
    <cellStyle name="Comma 4 2 3 3 10" xfId="8843" xr:uid="{61BD5D84-AEE5-4806-81F4-1636DA38C9A1}"/>
    <cellStyle name="Comma 4 2 3 3 2" xfId="677" xr:uid="{00000000-0005-0000-0000-00008B080000}"/>
    <cellStyle name="Comma 4 2 3 3 2 2" xfId="2948" xr:uid="{00000000-0005-0000-0000-00008C080000}"/>
    <cellStyle name="Comma 4 2 3 3 2 2 2" xfId="7170" xr:uid="{00000000-0005-0000-0000-00008D080000}"/>
    <cellStyle name="Comma 4 2 3 3 2 2 2 2" xfId="15620" xr:uid="{5BBC69F4-A141-4A57-B253-0032F7CE7B87}"/>
    <cellStyle name="Comma 4 2 3 3 2 2 3" xfId="11402" xr:uid="{4F90BD21-ED56-4202-BF4A-CF8D8E7DE1E6}"/>
    <cellStyle name="Comma 4 2 3 3 2 3" xfId="5025" xr:uid="{00000000-0005-0000-0000-00008E080000}"/>
    <cellStyle name="Comma 4 2 3 3 2 3 2" xfId="13475" xr:uid="{CBD0F106-8CE2-490A-93A4-29F365ED0FD6}"/>
    <cellStyle name="Comma 4 2 3 3 2 4" xfId="9257" xr:uid="{61631533-4D83-4845-99B5-C2ED6BAF7275}"/>
    <cellStyle name="Comma 4 2 3 3 3" xfId="1130" xr:uid="{00000000-0005-0000-0000-00008F080000}"/>
    <cellStyle name="Comma 4 2 3 3 3 2" xfId="3361" xr:uid="{00000000-0005-0000-0000-000090080000}"/>
    <cellStyle name="Comma 4 2 3 3 3 2 2" xfId="7583" xr:uid="{00000000-0005-0000-0000-000091080000}"/>
    <cellStyle name="Comma 4 2 3 3 3 2 2 2" xfId="16033" xr:uid="{B9CDC3F2-6C13-43E3-BC98-7BAB9A209767}"/>
    <cellStyle name="Comma 4 2 3 3 3 2 3" xfId="11815" xr:uid="{694339EB-E823-4495-8322-5587429E87B9}"/>
    <cellStyle name="Comma 4 2 3 3 3 3" xfId="5438" xr:uid="{00000000-0005-0000-0000-000092080000}"/>
    <cellStyle name="Comma 4 2 3 3 3 3 2" xfId="13888" xr:uid="{315B8ABB-6D48-4778-BDE6-C0569325B61C}"/>
    <cellStyle name="Comma 4 2 3 3 3 4" xfId="9670" xr:uid="{2C7D27B5-D697-4C94-A6C0-ED1B30295586}"/>
    <cellStyle name="Comma 4 2 3 3 4" xfId="1544" xr:uid="{00000000-0005-0000-0000-000093080000}"/>
    <cellStyle name="Comma 4 2 3 3 4 2" xfId="3774" xr:uid="{00000000-0005-0000-0000-000094080000}"/>
    <cellStyle name="Comma 4 2 3 3 4 2 2" xfId="7996" xr:uid="{00000000-0005-0000-0000-000095080000}"/>
    <cellStyle name="Comma 4 2 3 3 4 2 2 2" xfId="16446" xr:uid="{B3F0AF6F-0053-4E1B-94E6-54077F3BBB9C}"/>
    <cellStyle name="Comma 4 2 3 3 4 2 3" xfId="12228" xr:uid="{D0430B3E-6ABA-42DC-B69D-3E220CC4F484}"/>
    <cellStyle name="Comma 4 2 3 3 4 3" xfId="5851" xr:uid="{00000000-0005-0000-0000-000096080000}"/>
    <cellStyle name="Comma 4 2 3 3 4 3 2" xfId="14301" xr:uid="{82DA4B35-546D-4749-A69E-627481DC3316}"/>
    <cellStyle name="Comma 4 2 3 3 4 4" xfId="10083" xr:uid="{11A4642D-3979-4349-8717-CC5FA5D42FA1}"/>
    <cellStyle name="Comma 4 2 3 3 5" xfId="1958" xr:uid="{00000000-0005-0000-0000-000097080000}"/>
    <cellStyle name="Comma 4 2 3 3 5 2" xfId="4187" xr:uid="{00000000-0005-0000-0000-000098080000}"/>
    <cellStyle name="Comma 4 2 3 3 5 2 2" xfId="8409" xr:uid="{00000000-0005-0000-0000-000099080000}"/>
    <cellStyle name="Comma 4 2 3 3 5 2 2 2" xfId="16859" xr:uid="{B8F88DA0-D964-441B-B790-4E700A785A42}"/>
    <cellStyle name="Comma 4 2 3 3 5 2 3" xfId="12641" xr:uid="{83276F9E-5F3F-4B35-B90E-7F5C33CA0F4D}"/>
    <cellStyle name="Comma 4 2 3 3 5 3" xfId="6264" xr:uid="{00000000-0005-0000-0000-00009A080000}"/>
    <cellStyle name="Comma 4 2 3 3 5 3 2" xfId="14714" xr:uid="{36309984-26B9-48FB-B82B-A48736EABA9D}"/>
    <cellStyle name="Comma 4 2 3 3 5 4" xfId="10496" xr:uid="{FA3DCBF0-4DAC-4A88-8C09-D9AB901A6AFD}"/>
    <cellStyle name="Comma 4 2 3 3 6" xfId="2393" xr:uid="{00000000-0005-0000-0000-00009B080000}"/>
    <cellStyle name="Comma 4 2 3 3 6 2" xfId="6677" xr:uid="{00000000-0005-0000-0000-00009C080000}"/>
    <cellStyle name="Comma 4 2 3 3 6 2 2" xfId="15127" xr:uid="{5AFCAD3D-F6C9-4E68-9075-B1D32147770F}"/>
    <cellStyle name="Comma 4 2 3 3 6 3" xfId="10909" xr:uid="{59385068-68EC-49D3-B955-14589B4504EE}"/>
    <cellStyle name="Comma 4 2 3 3 7" xfId="2370" xr:uid="{00000000-0005-0000-0000-00009D080000}"/>
    <cellStyle name="Comma 4 2 3 3 8" xfId="2771" xr:uid="{00000000-0005-0000-0000-00009E080000}"/>
    <cellStyle name="Comma 4 2 3 3 8 2" xfId="6994" xr:uid="{00000000-0005-0000-0000-00009F080000}"/>
    <cellStyle name="Comma 4 2 3 3 8 2 2" xfId="15444" xr:uid="{6C96D53C-B384-4CC4-9F02-01F183454B78}"/>
    <cellStyle name="Comma 4 2 3 3 8 3" xfId="11226" xr:uid="{978A23F4-0C4C-4594-B331-3722F2CA6166}"/>
    <cellStyle name="Comma 4 2 3 3 9" xfId="4611" xr:uid="{00000000-0005-0000-0000-0000A0080000}"/>
    <cellStyle name="Comma 4 2 3 3 9 2" xfId="13061" xr:uid="{0BB775C8-34AC-41A4-BA0D-8E919C716964}"/>
    <cellStyle name="Comma 4 2 3 4" xfId="674" xr:uid="{00000000-0005-0000-0000-0000A1080000}"/>
    <cellStyle name="Comma 4 2 3 4 2" xfId="2945" xr:uid="{00000000-0005-0000-0000-0000A2080000}"/>
    <cellStyle name="Comma 4 2 3 4 2 2" xfId="7167" xr:uid="{00000000-0005-0000-0000-0000A3080000}"/>
    <cellStyle name="Comma 4 2 3 4 2 2 2" xfId="15617" xr:uid="{D1CE372E-A2AE-40DE-ACF7-F28FEFA48E19}"/>
    <cellStyle name="Comma 4 2 3 4 2 3" xfId="11399" xr:uid="{00970176-9D86-4D51-B945-2DB5B461EDC3}"/>
    <cellStyle name="Comma 4 2 3 4 3" xfId="5022" xr:uid="{00000000-0005-0000-0000-0000A4080000}"/>
    <cellStyle name="Comma 4 2 3 4 3 2" xfId="13472" xr:uid="{FDDB801B-4FD2-439C-B51A-90B81D1B84BF}"/>
    <cellStyle name="Comma 4 2 3 4 4" xfId="9254" xr:uid="{FE01D867-B9C3-4C95-A723-E80EAB4D36BF}"/>
    <cellStyle name="Comma 4 2 3 5" xfId="1127" xr:uid="{00000000-0005-0000-0000-0000A5080000}"/>
    <cellStyle name="Comma 4 2 3 5 2" xfId="3358" xr:uid="{00000000-0005-0000-0000-0000A6080000}"/>
    <cellStyle name="Comma 4 2 3 5 2 2" xfId="7580" xr:uid="{00000000-0005-0000-0000-0000A7080000}"/>
    <cellStyle name="Comma 4 2 3 5 2 2 2" xfId="16030" xr:uid="{5953FE3F-E67A-46B7-8120-E71B3DD2AFB7}"/>
    <cellStyle name="Comma 4 2 3 5 2 3" xfId="11812" xr:uid="{B8207C39-4901-4556-89A0-3149A135DB95}"/>
    <cellStyle name="Comma 4 2 3 5 3" xfId="5435" xr:uid="{00000000-0005-0000-0000-0000A8080000}"/>
    <cellStyle name="Comma 4 2 3 5 3 2" xfId="13885" xr:uid="{DC77E090-870A-4DFE-ABDD-4B94A35A7388}"/>
    <cellStyle name="Comma 4 2 3 5 4" xfId="9667" xr:uid="{1ED10A8F-3D77-4191-961D-7ADDD1069A0C}"/>
    <cellStyle name="Comma 4 2 3 6" xfId="1541" xr:uid="{00000000-0005-0000-0000-0000A9080000}"/>
    <cellStyle name="Comma 4 2 3 6 2" xfId="3771" xr:uid="{00000000-0005-0000-0000-0000AA080000}"/>
    <cellStyle name="Comma 4 2 3 6 2 2" xfId="7993" xr:uid="{00000000-0005-0000-0000-0000AB080000}"/>
    <cellStyle name="Comma 4 2 3 6 2 2 2" xfId="16443" xr:uid="{7A637A29-A9D7-411D-9422-4FDDACF99315}"/>
    <cellStyle name="Comma 4 2 3 6 2 3" xfId="12225" xr:uid="{5EC8D1B0-98F8-4F58-827F-0C8FE5C2CD35}"/>
    <cellStyle name="Comma 4 2 3 6 3" xfId="5848" xr:uid="{00000000-0005-0000-0000-0000AC080000}"/>
    <cellStyle name="Comma 4 2 3 6 3 2" xfId="14298" xr:uid="{B132EB4C-CD5E-4A63-B6BD-6ADCA7A8BEAD}"/>
    <cellStyle name="Comma 4 2 3 6 4" xfId="10080" xr:uid="{D778B104-00B9-4ED2-AC00-34528EFF09AA}"/>
    <cellStyle name="Comma 4 2 3 7" xfId="1955" xr:uid="{00000000-0005-0000-0000-0000AD080000}"/>
    <cellStyle name="Comma 4 2 3 7 2" xfId="4184" xr:uid="{00000000-0005-0000-0000-0000AE080000}"/>
    <cellStyle name="Comma 4 2 3 7 2 2" xfId="8406" xr:uid="{00000000-0005-0000-0000-0000AF080000}"/>
    <cellStyle name="Comma 4 2 3 7 2 2 2" xfId="16856" xr:uid="{0C08DAE5-7482-45D9-B452-8F97896E4883}"/>
    <cellStyle name="Comma 4 2 3 7 2 3" xfId="12638" xr:uid="{022918D7-5ADF-44BA-A8D5-20401561D6F4}"/>
    <cellStyle name="Comma 4 2 3 7 3" xfId="6261" xr:uid="{00000000-0005-0000-0000-0000B0080000}"/>
    <cellStyle name="Comma 4 2 3 7 3 2" xfId="14711" xr:uid="{82F789E5-9B50-4958-97E6-6B5D4A17D98F}"/>
    <cellStyle name="Comma 4 2 3 7 4" xfId="10493" xr:uid="{DC8130CE-981C-4DCB-9D76-280330BB5C97}"/>
    <cellStyle name="Comma 4 2 3 8" xfId="2390" xr:uid="{00000000-0005-0000-0000-0000B1080000}"/>
    <cellStyle name="Comma 4 2 3 8 2" xfId="6674" xr:uid="{00000000-0005-0000-0000-0000B2080000}"/>
    <cellStyle name="Comma 4 2 3 8 2 2" xfId="15124" xr:uid="{9E976B27-0A50-49D5-BF3F-5B1ACD47DF80}"/>
    <cellStyle name="Comma 4 2 3 8 3" xfId="10906" xr:uid="{2D05969E-74F1-440F-9F7D-05199990CF4E}"/>
    <cellStyle name="Comma 4 2 3 9" xfId="2373" xr:uid="{00000000-0005-0000-0000-0000B3080000}"/>
    <cellStyle name="Comma 4 2 4" xfId="140" xr:uid="{00000000-0005-0000-0000-0000B4080000}"/>
    <cellStyle name="Comma 4 2 4 10" xfId="4612" xr:uid="{00000000-0005-0000-0000-0000B5080000}"/>
    <cellStyle name="Comma 4 2 4 10 2" xfId="13062" xr:uid="{C39FB24E-96DF-4BAA-8D0B-1513E8ABF636}"/>
    <cellStyle name="Comma 4 2 4 11" xfId="8844" xr:uid="{1ADA72BF-0F35-4F0C-A12B-43F280C17C6E}"/>
    <cellStyle name="Comma 4 2 4 2" xfId="141" xr:uid="{00000000-0005-0000-0000-0000B6080000}"/>
    <cellStyle name="Comma 4 2 4 2 10" xfId="8845" xr:uid="{B3F33D45-14D3-42FC-A463-81A558B41471}"/>
    <cellStyle name="Comma 4 2 4 2 2" xfId="679" xr:uid="{00000000-0005-0000-0000-0000B7080000}"/>
    <cellStyle name="Comma 4 2 4 2 2 2" xfId="2950" xr:uid="{00000000-0005-0000-0000-0000B8080000}"/>
    <cellStyle name="Comma 4 2 4 2 2 2 2" xfId="7172" xr:uid="{00000000-0005-0000-0000-0000B9080000}"/>
    <cellStyle name="Comma 4 2 4 2 2 2 2 2" xfId="15622" xr:uid="{00F8C641-1AD5-4422-931B-10AF895CAE58}"/>
    <cellStyle name="Comma 4 2 4 2 2 2 3" xfId="11404" xr:uid="{04E69A08-FA26-4240-8127-D07292D01BE5}"/>
    <cellStyle name="Comma 4 2 4 2 2 3" xfId="5027" xr:uid="{00000000-0005-0000-0000-0000BA080000}"/>
    <cellStyle name="Comma 4 2 4 2 2 3 2" xfId="13477" xr:uid="{99859861-4D43-4369-8E8D-EAE4060802B6}"/>
    <cellStyle name="Comma 4 2 4 2 2 4" xfId="9259" xr:uid="{898F567F-D99F-4A56-BCB3-3062333B82EC}"/>
    <cellStyle name="Comma 4 2 4 2 3" xfId="1132" xr:uid="{00000000-0005-0000-0000-0000BB080000}"/>
    <cellStyle name="Comma 4 2 4 2 3 2" xfId="3363" xr:uid="{00000000-0005-0000-0000-0000BC080000}"/>
    <cellStyle name="Comma 4 2 4 2 3 2 2" xfId="7585" xr:uid="{00000000-0005-0000-0000-0000BD080000}"/>
    <cellStyle name="Comma 4 2 4 2 3 2 2 2" xfId="16035" xr:uid="{6F30FD94-8531-46B6-BB13-4B58EA94A051}"/>
    <cellStyle name="Comma 4 2 4 2 3 2 3" xfId="11817" xr:uid="{9BF2CA9E-A73B-4D10-9ACD-6B66AE526918}"/>
    <cellStyle name="Comma 4 2 4 2 3 3" xfId="5440" xr:uid="{00000000-0005-0000-0000-0000BE080000}"/>
    <cellStyle name="Comma 4 2 4 2 3 3 2" xfId="13890" xr:uid="{7CFEF5B9-27F7-409E-A4D9-86870C301581}"/>
    <cellStyle name="Comma 4 2 4 2 3 4" xfId="9672" xr:uid="{EA23C8D0-6F1D-4103-A435-0637C13EC51F}"/>
    <cellStyle name="Comma 4 2 4 2 4" xfId="1546" xr:uid="{00000000-0005-0000-0000-0000BF080000}"/>
    <cellStyle name="Comma 4 2 4 2 4 2" xfId="3776" xr:uid="{00000000-0005-0000-0000-0000C0080000}"/>
    <cellStyle name="Comma 4 2 4 2 4 2 2" xfId="7998" xr:uid="{00000000-0005-0000-0000-0000C1080000}"/>
    <cellStyle name="Comma 4 2 4 2 4 2 2 2" xfId="16448" xr:uid="{604E9349-F37A-4E3B-B704-32CED168168D}"/>
    <cellStyle name="Comma 4 2 4 2 4 2 3" xfId="12230" xr:uid="{FA1F86D8-7438-46AD-94EC-722CD456FF99}"/>
    <cellStyle name="Comma 4 2 4 2 4 3" xfId="5853" xr:uid="{00000000-0005-0000-0000-0000C2080000}"/>
    <cellStyle name="Comma 4 2 4 2 4 3 2" xfId="14303" xr:uid="{8E5D82E9-4274-44B7-8A7D-5C6A71C98A71}"/>
    <cellStyle name="Comma 4 2 4 2 4 4" xfId="10085" xr:uid="{2CAFFE2D-B2EE-4A4F-89E8-E1454C895CDF}"/>
    <cellStyle name="Comma 4 2 4 2 5" xfId="1960" xr:uid="{00000000-0005-0000-0000-0000C3080000}"/>
    <cellStyle name="Comma 4 2 4 2 5 2" xfId="4189" xr:uid="{00000000-0005-0000-0000-0000C4080000}"/>
    <cellStyle name="Comma 4 2 4 2 5 2 2" xfId="8411" xr:uid="{00000000-0005-0000-0000-0000C5080000}"/>
    <cellStyle name="Comma 4 2 4 2 5 2 2 2" xfId="16861" xr:uid="{F8259B5E-6F3C-45A9-A1B7-CAC4604D0053}"/>
    <cellStyle name="Comma 4 2 4 2 5 2 3" xfId="12643" xr:uid="{DB5DAF45-6884-417F-84CD-98133C6F5C3B}"/>
    <cellStyle name="Comma 4 2 4 2 5 3" xfId="6266" xr:uid="{00000000-0005-0000-0000-0000C6080000}"/>
    <cellStyle name="Comma 4 2 4 2 5 3 2" xfId="14716" xr:uid="{77246B50-308A-4B30-B3F2-4BCA34C1A251}"/>
    <cellStyle name="Comma 4 2 4 2 5 4" xfId="10498" xr:uid="{51ABFC50-2E40-4C68-A5D0-90FD860ACE4D}"/>
    <cellStyle name="Comma 4 2 4 2 6" xfId="2395" xr:uid="{00000000-0005-0000-0000-0000C7080000}"/>
    <cellStyle name="Comma 4 2 4 2 6 2" xfId="6679" xr:uid="{00000000-0005-0000-0000-0000C8080000}"/>
    <cellStyle name="Comma 4 2 4 2 6 2 2" xfId="15129" xr:uid="{2F14ACFE-48EC-4C6E-B45D-CB2C749E1A13}"/>
    <cellStyle name="Comma 4 2 4 2 6 3" xfId="10911" xr:uid="{FC20C0C2-B123-4BA1-81F6-AE539670C0E9}"/>
    <cellStyle name="Comma 4 2 4 2 7" xfId="2368" xr:uid="{00000000-0005-0000-0000-0000C9080000}"/>
    <cellStyle name="Comma 4 2 4 2 8" xfId="2773" xr:uid="{00000000-0005-0000-0000-0000CA080000}"/>
    <cellStyle name="Comma 4 2 4 2 8 2" xfId="6996" xr:uid="{00000000-0005-0000-0000-0000CB080000}"/>
    <cellStyle name="Comma 4 2 4 2 8 2 2" xfId="15446" xr:uid="{91057CA2-ACE1-4F84-B3DA-21B24D2CBCA7}"/>
    <cellStyle name="Comma 4 2 4 2 8 3" xfId="11228" xr:uid="{171BD5CA-29D9-4AFA-86E1-FE539BECF568}"/>
    <cellStyle name="Comma 4 2 4 2 9" xfId="4613" xr:uid="{00000000-0005-0000-0000-0000CC080000}"/>
    <cellStyle name="Comma 4 2 4 2 9 2" xfId="13063" xr:uid="{9827E07A-8F09-4689-BE71-B05BC2D3A4F8}"/>
    <cellStyle name="Comma 4 2 4 3" xfId="678" xr:uid="{00000000-0005-0000-0000-0000CD080000}"/>
    <cellStyle name="Comma 4 2 4 3 2" xfId="2949" xr:uid="{00000000-0005-0000-0000-0000CE080000}"/>
    <cellStyle name="Comma 4 2 4 3 2 2" xfId="7171" xr:uid="{00000000-0005-0000-0000-0000CF080000}"/>
    <cellStyle name="Comma 4 2 4 3 2 2 2" xfId="15621" xr:uid="{F1EC5C46-709D-4146-9810-37ABB9D8C82E}"/>
    <cellStyle name="Comma 4 2 4 3 2 3" xfId="11403" xr:uid="{9F69133E-B54A-42B0-A51C-D04683171F37}"/>
    <cellStyle name="Comma 4 2 4 3 3" xfId="5026" xr:uid="{00000000-0005-0000-0000-0000D0080000}"/>
    <cellStyle name="Comma 4 2 4 3 3 2" xfId="13476" xr:uid="{578058DA-B805-425B-B029-3A56773BE76E}"/>
    <cellStyle name="Comma 4 2 4 3 4" xfId="9258" xr:uid="{84F7970D-3D68-4BFD-A1E3-3F9EF801AE1E}"/>
    <cellStyle name="Comma 4 2 4 4" xfId="1131" xr:uid="{00000000-0005-0000-0000-0000D1080000}"/>
    <cellStyle name="Comma 4 2 4 4 2" xfId="3362" xr:uid="{00000000-0005-0000-0000-0000D2080000}"/>
    <cellStyle name="Comma 4 2 4 4 2 2" xfId="7584" xr:uid="{00000000-0005-0000-0000-0000D3080000}"/>
    <cellStyle name="Comma 4 2 4 4 2 2 2" xfId="16034" xr:uid="{D7833E43-3841-4009-999E-BCD89887FDBD}"/>
    <cellStyle name="Comma 4 2 4 4 2 3" xfId="11816" xr:uid="{58061832-AD33-45CC-94CD-8C198078B2AB}"/>
    <cellStyle name="Comma 4 2 4 4 3" xfId="5439" xr:uid="{00000000-0005-0000-0000-0000D4080000}"/>
    <cellStyle name="Comma 4 2 4 4 3 2" xfId="13889" xr:uid="{22C37283-0E4C-42EC-B2A8-13EB404333F3}"/>
    <cellStyle name="Comma 4 2 4 4 4" xfId="9671" xr:uid="{35E6C285-10BC-46FC-A1FA-E1C7A86E40D0}"/>
    <cellStyle name="Comma 4 2 4 5" xfId="1545" xr:uid="{00000000-0005-0000-0000-0000D5080000}"/>
    <cellStyle name="Comma 4 2 4 5 2" xfId="3775" xr:uid="{00000000-0005-0000-0000-0000D6080000}"/>
    <cellStyle name="Comma 4 2 4 5 2 2" xfId="7997" xr:uid="{00000000-0005-0000-0000-0000D7080000}"/>
    <cellStyle name="Comma 4 2 4 5 2 2 2" xfId="16447" xr:uid="{96B30406-0C66-4E43-B51A-0C3EEDFC3DE6}"/>
    <cellStyle name="Comma 4 2 4 5 2 3" xfId="12229" xr:uid="{8A7EB424-2848-4F2D-AC5F-3C36C39BA3F9}"/>
    <cellStyle name="Comma 4 2 4 5 3" xfId="5852" xr:uid="{00000000-0005-0000-0000-0000D8080000}"/>
    <cellStyle name="Comma 4 2 4 5 3 2" xfId="14302" xr:uid="{095B31F7-531E-4015-A8BE-95CA74530F54}"/>
    <cellStyle name="Comma 4 2 4 5 4" xfId="10084" xr:uid="{83AD7402-DBFC-4643-86C2-CE01A66BB4AC}"/>
    <cellStyle name="Comma 4 2 4 6" xfId="1959" xr:uid="{00000000-0005-0000-0000-0000D9080000}"/>
    <cellStyle name="Comma 4 2 4 6 2" xfId="4188" xr:uid="{00000000-0005-0000-0000-0000DA080000}"/>
    <cellStyle name="Comma 4 2 4 6 2 2" xfId="8410" xr:uid="{00000000-0005-0000-0000-0000DB080000}"/>
    <cellStyle name="Comma 4 2 4 6 2 2 2" xfId="16860" xr:uid="{D7B3ED3D-2705-45D5-96FF-B3471E565211}"/>
    <cellStyle name="Comma 4 2 4 6 2 3" xfId="12642" xr:uid="{E36D0AA0-28D9-4EBD-9185-87610687BCEF}"/>
    <cellStyle name="Comma 4 2 4 6 3" xfId="6265" xr:uid="{00000000-0005-0000-0000-0000DC080000}"/>
    <cellStyle name="Comma 4 2 4 6 3 2" xfId="14715" xr:uid="{EC9D3344-EA06-4F19-BC37-F517FCDE563A}"/>
    <cellStyle name="Comma 4 2 4 6 4" xfId="10497" xr:uid="{9302FE73-8B46-4318-B396-39FE5792EF42}"/>
    <cellStyle name="Comma 4 2 4 7" xfId="2394" xr:uid="{00000000-0005-0000-0000-0000DD080000}"/>
    <cellStyle name="Comma 4 2 4 7 2" xfId="6678" xr:uid="{00000000-0005-0000-0000-0000DE080000}"/>
    <cellStyle name="Comma 4 2 4 7 2 2" xfId="15128" xr:uid="{6FAAA37E-A91D-4A80-A743-194AB5D9DFAF}"/>
    <cellStyle name="Comma 4 2 4 7 3" xfId="10910" xr:uid="{6BDE3FEE-B50F-4B70-BC11-42134AED1B6E}"/>
    <cellStyle name="Comma 4 2 4 8" xfId="2369" xr:uid="{00000000-0005-0000-0000-0000DF080000}"/>
    <cellStyle name="Comma 4 2 4 9" xfId="2772" xr:uid="{00000000-0005-0000-0000-0000E0080000}"/>
    <cellStyle name="Comma 4 2 4 9 2" xfId="6995" xr:uid="{00000000-0005-0000-0000-0000E1080000}"/>
    <cellStyle name="Comma 4 2 4 9 2 2" xfId="15445" xr:uid="{DE952652-7F3D-4B48-B495-0A58349AFFF5}"/>
    <cellStyle name="Comma 4 2 4 9 3" xfId="11227" xr:uid="{701D1283-21B7-427E-BE22-B6B7C31D9614}"/>
    <cellStyle name="Comma 4 2 5" xfId="142" xr:uid="{00000000-0005-0000-0000-0000E2080000}"/>
    <cellStyle name="Comma 4 2 5 10" xfId="8846" xr:uid="{9BFF454C-4493-434C-85FC-FE3F80755707}"/>
    <cellStyle name="Comma 4 2 5 2" xfId="680" xr:uid="{00000000-0005-0000-0000-0000E3080000}"/>
    <cellStyle name="Comma 4 2 5 2 2" xfId="2951" xr:uid="{00000000-0005-0000-0000-0000E4080000}"/>
    <cellStyle name="Comma 4 2 5 2 2 2" xfId="7173" xr:uid="{00000000-0005-0000-0000-0000E5080000}"/>
    <cellStyle name="Comma 4 2 5 2 2 2 2" xfId="15623" xr:uid="{0E05C40A-2371-4E81-BD16-4F2E90A2C242}"/>
    <cellStyle name="Comma 4 2 5 2 2 3" xfId="11405" xr:uid="{7CE844B3-B1F1-4AED-8F5B-8BE777F0CFA3}"/>
    <cellStyle name="Comma 4 2 5 2 3" xfId="5028" xr:uid="{00000000-0005-0000-0000-0000E6080000}"/>
    <cellStyle name="Comma 4 2 5 2 3 2" xfId="13478" xr:uid="{260A89BB-395E-41E7-9F58-7B06D964DF6E}"/>
    <cellStyle name="Comma 4 2 5 2 4" xfId="9260" xr:uid="{851A4EE4-2DCE-4C8C-B66E-5F4FFD4336F1}"/>
    <cellStyle name="Comma 4 2 5 3" xfId="1133" xr:uid="{00000000-0005-0000-0000-0000E7080000}"/>
    <cellStyle name="Comma 4 2 5 3 2" xfId="3364" xr:uid="{00000000-0005-0000-0000-0000E8080000}"/>
    <cellStyle name="Comma 4 2 5 3 2 2" xfId="7586" xr:uid="{00000000-0005-0000-0000-0000E9080000}"/>
    <cellStyle name="Comma 4 2 5 3 2 2 2" xfId="16036" xr:uid="{51764BF5-5561-4E54-B382-2541358ADAD8}"/>
    <cellStyle name="Comma 4 2 5 3 2 3" xfId="11818" xr:uid="{2FC20C6A-354F-49C6-AF74-2DECBAA52F83}"/>
    <cellStyle name="Comma 4 2 5 3 3" xfId="5441" xr:uid="{00000000-0005-0000-0000-0000EA080000}"/>
    <cellStyle name="Comma 4 2 5 3 3 2" xfId="13891" xr:uid="{0A42C7AF-DBEC-427A-B661-79B9C1994C54}"/>
    <cellStyle name="Comma 4 2 5 3 4" xfId="9673" xr:uid="{A0D1AB75-2082-49CE-A806-2AE0F542E3D5}"/>
    <cellStyle name="Comma 4 2 5 4" xfId="1547" xr:uid="{00000000-0005-0000-0000-0000EB080000}"/>
    <cellStyle name="Comma 4 2 5 4 2" xfId="3777" xr:uid="{00000000-0005-0000-0000-0000EC080000}"/>
    <cellStyle name="Comma 4 2 5 4 2 2" xfId="7999" xr:uid="{00000000-0005-0000-0000-0000ED080000}"/>
    <cellStyle name="Comma 4 2 5 4 2 2 2" xfId="16449" xr:uid="{994B37A7-7ADC-4119-A298-1AA66B187662}"/>
    <cellStyle name="Comma 4 2 5 4 2 3" xfId="12231" xr:uid="{D4DB7A37-5B28-436D-AA00-C212765F5F50}"/>
    <cellStyle name="Comma 4 2 5 4 3" xfId="5854" xr:uid="{00000000-0005-0000-0000-0000EE080000}"/>
    <cellStyle name="Comma 4 2 5 4 3 2" xfId="14304" xr:uid="{86EAA5E0-A338-44BB-8564-993886F600C9}"/>
    <cellStyle name="Comma 4 2 5 4 4" xfId="10086" xr:uid="{7281EB8C-F1CC-4E14-9337-EA1C6828DFBB}"/>
    <cellStyle name="Comma 4 2 5 5" xfId="1961" xr:uid="{00000000-0005-0000-0000-0000EF080000}"/>
    <cellStyle name="Comma 4 2 5 5 2" xfId="4190" xr:uid="{00000000-0005-0000-0000-0000F0080000}"/>
    <cellStyle name="Comma 4 2 5 5 2 2" xfId="8412" xr:uid="{00000000-0005-0000-0000-0000F1080000}"/>
    <cellStyle name="Comma 4 2 5 5 2 2 2" xfId="16862" xr:uid="{34942084-766C-42AE-82BA-8579210C8DBD}"/>
    <cellStyle name="Comma 4 2 5 5 2 3" xfId="12644" xr:uid="{037C394C-119B-4C57-9D54-CEEBBD540D2A}"/>
    <cellStyle name="Comma 4 2 5 5 3" xfId="6267" xr:uid="{00000000-0005-0000-0000-0000F2080000}"/>
    <cellStyle name="Comma 4 2 5 5 3 2" xfId="14717" xr:uid="{F221A1DE-F4D2-4208-815C-40C39B2EA2BD}"/>
    <cellStyle name="Comma 4 2 5 5 4" xfId="10499" xr:uid="{54E68D2D-F21E-425F-9F0B-CF284453270E}"/>
    <cellStyle name="Comma 4 2 5 6" xfId="2396" xr:uid="{00000000-0005-0000-0000-0000F3080000}"/>
    <cellStyle name="Comma 4 2 5 6 2" xfId="6680" xr:uid="{00000000-0005-0000-0000-0000F4080000}"/>
    <cellStyle name="Comma 4 2 5 6 2 2" xfId="15130" xr:uid="{39E28229-87D6-45FF-AB8E-F906AC8BF225}"/>
    <cellStyle name="Comma 4 2 5 6 3" xfId="10912" xr:uid="{6D1FF2C5-12B4-45CA-9EF7-3E1C05385E2B}"/>
    <cellStyle name="Comma 4 2 5 7" xfId="2367" xr:uid="{00000000-0005-0000-0000-0000F5080000}"/>
    <cellStyle name="Comma 4 2 5 8" xfId="2774" xr:uid="{00000000-0005-0000-0000-0000F6080000}"/>
    <cellStyle name="Comma 4 2 5 8 2" xfId="6997" xr:uid="{00000000-0005-0000-0000-0000F7080000}"/>
    <cellStyle name="Comma 4 2 5 8 2 2" xfId="15447" xr:uid="{F409C064-0845-4419-A99C-2CD7B260A310}"/>
    <cellStyle name="Comma 4 2 5 8 3" xfId="11229" xr:uid="{998E8A1C-3517-48C9-9DF5-C963291ED83D}"/>
    <cellStyle name="Comma 4 2 5 9" xfId="4614" xr:uid="{00000000-0005-0000-0000-0000F8080000}"/>
    <cellStyle name="Comma 4 2 5 9 2" xfId="13064" xr:uid="{15EE1DE5-DABB-4961-AEC5-26BB61671336}"/>
    <cellStyle name="Comma 4 2 6" xfId="143" xr:uid="{00000000-0005-0000-0000-0000F9080000}"/>
    <cellStyle name="Comma 4 2 6 10" xfId="8847" xr:uid="{F47AFD00-8D8A-4A5A-B3F8-AE7CAB29CFAC}"/>
    <cellStyle name="Comma 4 2 6 2" xfId="681" xr:uid="{00000000-0005-0000-0000-0000FA080000}"/>
    <cellStyle name="Comma 4 2 6 2 2" xfId="2952" xr:uid="{00000000-0005-0000-0000-0000FB080000}"/>
    <cellStyle name="Comma 4 2 6 2 2 2" xfId="7174" xr:uid="{00000000-0005-0000-0000-0000FC080000}"/>
    <cellStyle name="Comma 4 2 6 2 2 2 2" xfId="15624" xr:uid="{F225A82E-EFB7-4FE2-96DC-80EB9F684FA0}"/>
    <cellStyle name="Comma 4 2 6 2 2 3" xfId="11406" xr:uid="{BEA81077-0903-4AFB-985B-714F28CAF3F1}"/>
    <cellStyle name="Comma 4 2 6 2 3" xfId="5029" xr:uid="{00000000-0005-0000-0000-0000FD080000}"/>
    <cellStyle name="Comma 4 2 6 2 3 2" xfId="13479" xr:uid="{7966B8A1-35F2-488D-8357-0F2EDBEEBDD2}"/>
    <cellStyle name="Comma 4 2 6 2 4" xfId="9261" xr:uid="{FA6292C0-9EFA-4739-A2FB-FECA5C83D9CA}"/>
    <cellStyle name="Comma 4 2 6 3" xfId="1134" xr:uid="{00000000-0005-0000-0000-0000FE080000}"/>
    <cellStyle name="Comma 4 2 6 3 2" xfId="3365" xr:uid="{00000000-0005-0000-0000-0000FF080000}"/>
    <cellStyle name="Comma 4 2 6 3 2 2" xfId="7587" xr:uid="{00000000-0005-0000-0000-000000090000}"/>
    <cellStyle name="Comma 4 2 6 3 2 2 2" xfId="16037" xr:uid="{4955B6E4-6C9B-4D00-B355-1DA8FD92BA6B}"/>
    <cellStyle name="Comma 4 2 6 3 2 3" xfId="11819" xr:uid="{7968DDC1-AF67-4E02-B2B9-029FC8DFD9DE}"/>
    <cellStyle name="Comma 4 2 6 3 3" xfId="5442" xr:uid="{00000000-0005-0000-0000-000001090000}"/>
    <cellStyle name="Comma 4 2 6 3 3 2" xfId="13892" xr:uid="{6C04E83A-3C64-4538-88ED-B04E41710417}"/>
    <cellStyle name="Comma 4 2 6 3 4" xfId="9674" xr:uid="{185CE346-7D77-423F-A658-AB11D9910C15}"/>
    <cellStyle name="Comma 4 2 6 4" xfId="1548" xr:uid="{00000000-0005-0000-0000-000002090000}"/>
    <cellStyle name="Comma 4 2 6 4 2" xfId="3778" xr:uid="{00000000-0005-0000-0000-000003090000}"/>
    <cellStyle name="Comma 4 2 6 4 2 2" xfId="8000" xr:uid="{00000000-0005-0000-0000-000004090000}"/>
    <cellStyle name="Comma 4 2 6 4 2 2 2" xfId="16450" xr:uid="{AD89CC6B-8635-4779-A830-122E46998E00}"/>
    <cellStyle name="Comma 4 2 6 4 2 3" xfId="12232" xr:uid="{31CC09D0-1410-49FE-8658-0D8E768AF2C1}"/>
    <cellStyle name="Comma 4 2 6 4 3" xfId="5855" xr:uid="{00000000-0005-0000-0000-000005090000}"/>
    <cellStyle name="Comma 4 2 6 4 3 2" xfId="14305" xr:uid="{CDD80DCF-963C-4CFC-B7FE-AD675E1A78DD}"/>
    <cellStyle name="Comma 4 2 6 4 4" xfId="10087" xr:uid="{9E7746A3-4DB1-4FDC-A0C0-373601452E22}"/>
    <cellStyle name="Comma 4 2 6 5" xfId="1962" xr:uid="{00000000-0005-0000-0000-000006090000}"/>
    <cellStyle name="Comma 4 2 6 5 2" xfId="4191" xr:uid="{00000000-0005-0000-0000-000007090000}"/>
    <cellStyle name="Comma 4 2 6 5 2 2" xfId="8413" xr:uid="{00000000-0005-0000-0000-000008090000}"/>
    <cellStyle name="Comma 4 2 6 5 2 2 2" xfId="16863" xr:uid="{12649E2D-488D-41CD-B8E8-42B320404235}"/>
    <cellStyle name="Comma 4 2 6 5 2 3" xfId="12645" xr:uid="{CD531948-1B19-4585-B72A-EE8C15D314E7}"/>
    <cellStyle name="Comma 4 2 6 5 3" xfId="6268" xr:uid="{00000000-0005-0000-0000-000009090000}"/>
    <cellStyle name="Comma 4 2 6 5 3 2" xfId="14718" xr:uid="{3DB1C3AD-EEB3-4EBC-B7FC-0D16BF112139}"/>
    <cellStyle name="Comma 4 2 6 5 4" xfId="10500" xr:uid="{5A271F92-6ACE-44FF-9962-B7F375191C2F}"/>
    <cellStyle name="Comma 4 2 6 6" xfId="2397" xr:uid="{00000000-0005-0000-0000-00000A090000}"/>
    <cellStyle name="Comma 4 2 6 6 2" xfId="6681" xr:uid="{00000000-0005-0000-0000-00000B090000}"/>
    <cellStyle name="Comma 4 2 6 6 2 2" xfId="15131" xr:uid="{AE30930A-C5AE-4047-BFD8-563F022464AC}"/>
    <cellStyle name="Comma 4 2 6 6 3" xfId="10913" xr:uid="{BD241E25-99CF-4B6C-976C-CE27627C59DA}"/>
    <cellStyle name="Comma 4 2 6 7" xfId="2366" xr:uid="{00000000-0005-0000-0000-00000C090000}"/>
    <cellStyle name="Comma 4 2 6 8" xfId="2775" xr:uid="{00000000-0005-0000-0000-00000D090000}"/>
    <cellStyle name="Comma 4 2 6 8 2" xfId="6998" xr:uid="{00000000-0005-0000-0000-00000E090000}"/>
    <cellStyle name="Comma 4 2 6 8 2 2" xfId="15448" xr:uid="{0A5734FC-E079-4A1D-A17C-663D1F4E86F7}"/>
    <cellStyle name="Comma 4 2 6 8 3" xfId="11230" xr:uid="{C419F323-1B9C-43F3-B455-2E8EF3396235}"/>
    <cellStyle name="Comma 4 2 6 9" xfId="4615" xr:uid="{00000000-0005-0000-0000-00000F090000}"/>
    <cellStyle name="Comma 4 2 6 9 2" xfId="13065" xr:uid="{B96D9CBF-2614-480C-9966-FC44E7D7425A}"/>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15449" xr:uid="{1B3AD4AB-E361-4D4D-BBF5-6DEF60472172}"/>
    <cellStyle name="Comma 4 3 2 10 3" xfId="11231" xr:uid="{1BA83A9E-7858-4186-B82B-922839DE2A1F}"/>
    <cellStyle name="Comma 4 3 2 11" xfId="4616" xr:uid="{00000000-0005-0000-0000-000014090000}"/>
    <cellStyle name="Comma 4 3 2 11 2" xfId="13066" xr:uid="{8BBDFD41-2D39-4D33-990D-8BD60BA56233}"/>
    <cellStyle name="Comma 4 3 2 12" xfId="8848" xr:uid="{346905DA-53AF-454F-915C-C2D7968E2343}"/>
    <cellStyle name="Comma 4 3 2 2" xfId="146" xr:uid="{00000000-0005-0000-0000-000015090000}"/>
    <cellStyle name="Comma 4 3 2 2 10" xfId="4617" xr:uid="{00000000-0005-0000-0000-000016090000}"/>
    <cellStyle name="Comma 4 3 2 2 10 2" xfId="13067" xr:uid="{AAA0F57F-C194-4B3A-8A5F-2BB2B08F2311}"/>
    <cellStyle name="Comma 4 3 2 2 11" xfId="8849" xr:uid="{06D62A30-5B05-4EED-9DFB-910E8A50B09D}"/>
    <cellStyle name="Comma 4 3 2 2 2" xfId="147" xr:uid="{00000000-0005-0000-0000-000017090000}"/>
    <cellStyle name="Comma 4 3 2 2 2 10" xfId="8850" xr:uid="{5B0F38FD-EABD-495F-8A94-1F36DE0A736D}"/>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15627" xr:uid="{61688D08-0382-4570-B955-3EAF78FE3C43}"/>
    <cellStyle name="Comma 4 3 2 2 2 2 2 3" xfId="11409" xr:uid="{875C7400-24E4-446B-8AC2-A5066793B736}"/>
    <cellStyle name="Comma 4 3 2 2 2 2 3" xfId="5032" xr:uid="{00000000-0005-0000-0000-00001B090000}"/>
    <cellStyle name="Comma 4 3 2 2 2 2 3 2" xfId="13482" xr:uid="{D7AC7652-30C1-4FD3-8B24-64252B177C10}"/>
    <cellStyle name="Comma 4 3 2 2 2 2 4" xfId="9264" xr:uid="{905ED60C-987F-4DCB-974E-7D33D4170859}"/>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16040" xr:uid="{B058638C-25C7-43FD-819E-4175984C0A41}"/>
    <cellStyle name="Comma 4 3 2 2 2 3 2 3" xfId="11822" xr:uid="{9A145BA7-8672-4A2C-8CF2-BA059FC5077C}"/>
    <cellStyle name="Comma 4 3 2 2 2 3 3" xfId="5445" xr:uid="{00000000-0005-0000-0000-00001F090000}"/>
    <cellStyle name="Comma 4 3 2 2 2 3 3 2" xfId="13895" xr:uid="{2663E2DD-AC2B-4A47-ADC0-F80B0BD1E5FD}"/>
    <cellStyle name="Comma 4 3 2 2 2 3 4" xfId="9677" xr:uid="{8BB8E97F-F790-4518-AA93-AECB60170424}"/>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16453" xr:uid="{C0F8E5A2-1564-4076-AB77-2B577F0DF51F}"/>
    <cellStyle name="Comma 4 3 2 2 2 4 2 3" xfId="12235" xr:uid="{25550CFF-AA4A-45B1-BFA4-45D2A4DE1874}"/>
    <cellStyle name="Comma 4 3 2 2 2 4 3" xfId="5858" xr:uid="{00000000-0005-0000-0000-000023090000}"/>
    <cellStyle name="Comma 4 3 2 2 2 4 3 2" xfId="14308" xr:uid="{07272C10-FF4E-46AC-A82B-67A60FDB06B3}"/>
    <cellStyle name="Comma 4 3 2 2 2 4 4" xfId="10090" xr:uid="{E06FC7E4-AD23-4FAC-886B-288D76F66D65}"/>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16866" xr:uid="{C8A516A0-7FBC-4F41-BBA9-463D08DE5F92}"/>
    <cellStyle name="Comma 4 3 2 2 2 5 2 3" xfId="12648" xr:uid="{5B6E8EA8-8A54-4EF6-A3D1-423260D69497}"/>
    <cellStyle name="Comma 4 3 2 2 2 5 3" xfId="6271" xr:uid="{00000000-0005-0000-0000-000027090000}"/>
    <cellStyle name="Comma 4 3 2 2 2 5 3 2" xfId="14721" xr:uid="{E811B859-811E-4457-91D6-C18B790246E7}"/>
    <cellStyle name="Comma 4 3 2 2 2 5 4" xfId="10503" xr:uid="{C37C4D78-1DD6-4A31-9B05-94F7B21A0659}"/>
    <cellStyle name="Comma 4 3 2 2 2 6" xfId="2400" xr:uid="{00000000-0005-0000-0000-000028090000}"/>
    <cellStyle name="Comma 4 3 2 2 2 6 2" xfId="6684" xr:uid="{00000000-0005-0000-0000-000029090000}"/>
    <cellStyle name="Comma 4 3 2 2 2 6 2 2" xfId="15134" xr:uid="{5960BC00-2E6B-48FB-B095-CB5873E21022}"/>
    <cellStyle name="Comma 4 3 2 2 2 6 3" xfId="10916" xr:uid="{FE006BD4-9062-4EA3-B0A3-D01BADEA8BB0}"/>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15451" xr:uid="{03EB2536-D5AA-4893-A765-9211BF33B024}"/>
    <cellStyle name="Comma 4 3 2 2 2 8 3" xfId="11233" xr:uid="{66912EBF-423A-499B-BDE8-77F268354CC8}"/>
    <cellStyle name="Comma 4 3 2 2 2 9" xfId="4618" xr:uid="{00000000-0005-0000-0000-00002D090000}"/>
    <cellStyle name="Comma 4 3 2 2 2 9 2" xfId="13068" xr:uid="{F65DBDD3-6442-4FF2-9431-8388B51EBE95}"/>
    <cellStyle name="Comma 4 3 2 2 3" xfId="683" xr:uid="{00000000-0005-0000-0000-00002E090000}"/>
    <cellStyle name="Comma 4 3 2 2 3 2" xfId="2954" xr:uid="{00000000-0005-0000-0000-00002F090000}"/>
    <cellStyle name="Comma 4 3 2 2 3 2 2" xfId="7176" xr:uid="{00000000-0005-0000-0000-000030090000}"/>
    <cellStyle name="Comma 4 3 2 2 3 2 2 2" xfId="15626" xr:uid="{7A864395-1FB3-498C-9051-252DE949B2B9}"/>
    <cellStyle name="Comma 4 3 2 2 3 2 3" xfId="11408" xr:uid="{B8E5D1EB-E105-4DC5-9873-9770D5D9AAE7}"/>
    <cellStyle name="Comma 4 3 2 2 3 3" xfId="5031" xr:uid="{00000000-0005-0000-0000-000031090000}"/>
    <cellStyle name="Comma 4 3 2 2 3 3 2" xfId="13481" xr:uid="{C448EA66-8898-4CFA-B6D3-B93BCA0994F9}"/>
    <cellStyle name="Comma 4 3 2 2 3 4" xfId="9263" xr:uid="{4ABAD0F8-89E2-4774-88A9-DF4BF80DB6D5}"/>
    <cellStyle name="Comma 4 3 2 2 4" xfId="1136" xr:uid="{00000000-0005-0000-0000-000032090000}"/>
    <cellStyle name="Comma 4 3 2 2 4 2" xfId="3367" xr:uid="{00000000-0005-0000-0000-000033090000}"/>
    <cellStyle name="Comma 4 3 2 2 4 2 2" xfId="7589" xr:uid="{00000000-0005-0000-0000-000034090000}"/>
    <cellStyle name="Comma 4 3 2 2 4 2 2 2" xfId="16039" xr:uid="{E3E8316F-759F-4BF4-ADAA-0862F87D494B}"/>
    <cellStyle name="Comma 4 3 2 2 4 2 3" xfId="11821" xr:uid="{0B8F2039-B497-40F4-A8FE-08CF16838021}"/>
    <cellStyle name="Comma 4 3 2 2 4 3" xfId="5444" xr:uid="{00000000-0005-0000-0000-000035090000}"/>
    <cellStyle name="Comma 4 3 2 2 4 3 2" xfId="13894" xr:uid="{2F53B451-6ED2-46C6-9A3E-A105706BA1BD}"/>
    <cellStyle name="Comma 4 3 2 2 4 4" xfId="9676" xr:uid="{3FF2B35B-8F82-49FA-9D8B-9F90E6496241}"/>
    <cellStyle name="Comma 4 3 2 2 5" xfId="1550" xr:uid="{00000000-0005-0000-0000-000036090000}"/>
    <cellStyle name="Comma 4 3 2 2 5 2" xfId="3780" xr:uid="{00000000-0005-0000-0000-000037090000}"/>
    <cellStyle name="Comma 4 3 2 2 5 2 2" xfId="8002" xr:uid="{00000000-0005-0000-0000-000038090000}"/>
    <cellStyle name="Comma 4 3 2 2 5 2 2 2" xfId="16452" xr:uid="{6AAB22CD-1FD0-4ED0-A1EA-54AFC6E86986}"/>
    <cellStyle name="Comma 4 3 2 2 5 2 3" xfId="12234" xr:uid="{176F74A8-B09C-4020-9D25-A67D5E92628F}"/>
    <cellStyle name="Comma 4 3 2 2 5 3" xfId="5857" xr:uid="{00000000-0005-0000-0000-000039090000}"/>
    <cellStyle name="Comma 4 3 2 2 5 3 2" xfId="14307" xr:uid="{DD8E34F2-1D7F-4AEC-876F-15A32FB8D594}"/>
    <cellStyle name="Comma 4 3 2 2 5 4" xfId="10089" xr:uid="{AD190333-F93C-42DC-997B-604A6D6EB737}"/>
    <cellStyle name="Comma 4 3 2 2 6" xfId="1964" xr:uid="{00000000-0005-0000-0000-00003A090000}"/>
    <cellStyle name="Comma 4 3 2 2 6 2" xfId="4193" xr:uid="{00000000-0005-0000-0000-00003B090000}"/>
    <cellStyle name="Comma 4 3 2 2 6 2 2" xfId="8415" xr:uid="{00000000-0005-0000-0000-00003C090000}"/>
    <cellStyle name="Comma 4 3 2 2 6 2 2 2" xfId="16865" xr:uid="{47E8E6DB-97F8-4A69-889D-7B35D6C8CD3C}"/>
    <cellStyle name="Comma 4 3 2 2 6 2 3" xfId="12647" xr:uid="{CF7F3368-095D-4887-9D29-ECFCEF45507F}"/>
    <cellStyle name="Comma 4 3 2 2 6 3" xfId="6270" xr:uid="{00000000-0005-0000-0000-00003D090000}"/>
    <cellStyle name="Comma 4 3 2 2 6 3 2" xfId="14720" xr:uid="{A4AEA019-F7B3-41D0-AE07-3EA7910FAA85}"/>
    <cellStyle name="Comma 4 3 2 2 6 4" xfId="10502" xr:uid="{039065B6-0F1F-4746-B6F1-3FFB66B41444}"/>
    <cellStyle name="Comma 4 3 2 2 7" xfId="2399" xr:uid="{00000000-0005-0000-0000-00003E090000}"/>
    <cellStyle name="Comma 4 3 2 2 7 2" xfId="6683" xr:uid="{00000000-0005-0000-0000-00003F090000}"/>
    <cellStyle name="Comma 4 3 2 2 7 2 2" xfId="15133" xr:uid="{9287CDC4-80A6-480C-AA67-1B2754077E77}"/>
    <cellStyle name="Comma 4 3 2 2 7 3" xfId="10915" xr:uid="{AE21C3B5-4576-43CA-9B31-CEFEC5F0B60A}"/>
    <cellStyle name="Comma 4 3 2 2 8" xfId="2364" xr:uid="{00000000-0005-0000-0000-000040090000}"/>
    <cellStyle name="Comma 4 3 2 2 9" xfId="2777" xr:uid="{00000000-0005-0000-0000-000041090000}"/>
    <cellStyle name="Comma 4 3 2 2 9 2" xfId="7000" xr:uid="{00000000-0005-0000-0000-000042090000}"/>
    <cellStyle name="Comma 4 3 2 2 9 2 2" xfId="15450" xr:uid="{0FE5C94A-9071-45E1-90EC-CE1EB6289C43}"/>
    <cellStyle name="Comma 4 3 2 2 9 3" xfId="11232" xr:uid="{9DDE2CD0-4672-4245-B8E8-BAC15429E01C}"/>
    <cellStyle name="Comma 4 3 2 3" xfId="148" xr:uid="{00000000-0005-0000-0000-000043090000}"/>
    <cellStyle name="Comma 4 3 2 3 10" xfId="8851" xr:uid="{988F85AF-0AC6-4243-B4CA-62CCA40BC2D9}"/>
    <cellStyle name="Comma 4 3 2 3 2" xfId="685" xr:uid="{00000000-0005-0000-0000-000044090000}"/>
    <cellStyle name="Comma 4 3 2 3 2 2" xfId="2956" xr:uid="{00000000-0005-0000-0000-000045090000}"/>
    <cellStyle name="Comma 4 3 2 3 2 2 2" xfId="7178" xr:uid="{00000000-0005-0000-0000-000046090000}"/>
    <cellStyle name="Comma 4 3 2 3 2 2 2 2" xfId="15628" xr:uid="{5DD24A88-10CC-4BA4-BD0C-33013C365FFC}"/>
    <cellStyle name="Comma 4 3 2 3 2 2 3" xfId="11410" xr:uid="{BF12EF52-DA64-413F-BF0A-5A13B6CEA7C8}"/>
    <cellStyle name="Comma 4 3 2 3 2 3" xfId="5033" xr:uid="{00000000-0005-0000-0000-000047090000}"/>
    <cellStyle name="Comma 4 3 2 3 2 3 2" xfId="13483" xr:uid="{DE7F6EDA-A801-4066-A062-5BEA6EF43FAA}"/>
    <cellStyle name="Comma 4 3 2 3 2 4" xfId="9265" xr:uid="{0CC89FD0-5DC1-4624-96BB-0894FF0623D3}"/>
    <cellStyle name="Comma 4 3 2 3 3" xfId="1138" xr:uid="{00000000-0005-0000-0000-000048090000}"/>
    <cellStyle name="Comma 4 3 2 3 3 2" xfId="3369" xr:uid="{00000000-0005-0000-0000-000049090000}"/>
    <cellStyle name="Comma 4 3 2 3 3 2 2" xfId="7591" xr:uid="{00000000-0005-0000-0000-00004A090000}"/>
    <cellStyle name="Comma 4 3 2 3 3 2 2 2" xfId="16041" xr:uid="{28976861-05AF-4D21-BA31-F136C4129EC4}"/>
    <cellStyle name="Comma 4 3 2 3 3 2 3" xfId="11823" xr:uid="{C39A2166-A0A2-4868-B251-E4E617FFF0B3}"/>
    <cellStyle name="Comma 4 3 2 3 3 3" xfId="5446" xr:uid="{00000000-0005-0000-0000-00004B090000}"/>
    <cellStyle name="Comma 4 3 2 3 3 3 2" xfId="13896" xr:uid="{DC951782-AAAE-4F2F-991A-FCFE25D897CB}"/>
    <cellStyle name="Comma 4 3 2 3 3 4" xfId="9678" xr:uid="{52EA0F69-533C-4BEF-B47F-DEFF0F92FEB3}"/>
    <cellStyle name="Comma 4 3 2 3 4" xfId="1552" xr:uid="{00000000-0005-0000-0000-00004C090000}"/>
    <cellStyle name="Comma 4 3 2 3 4 2" xfId="3782" xr:uid="{00000000-0005-0000-0000-00004D090000}"/>
    <cellStyle name="Comma 4 3 2 3 4 2 2" xfId="8004" xr:uid="{00000000-0005-0000-0000-00004E090000}"/>
    <cellStyle name="Comma 4 3 2 3 4 2 2 2" xfId="16454" xr:uid="{8C523D91-F5FA-4C10-911E-C5ED36474D2D}"/>
    <cellStyle name="Comma 4 3 2 3 4 2 3" xfId="12236" xr:uid="{6B2BAC3F-B0F5-4C23-9E64-2DDFD97677BA}"/>
    <cellStyle name="Comma 4 3 2 3 4 3" xfId="5859" xr:uid="{00000000-0005-0000-0000-00004F090000}"/>
    <cellStyle name="Comma 4 3 2 3 4 3 2" xfId="14309" xr:uid="{C62A00A6-CD75-47D0-92C2-17E7AAF93EC8}"/>
    <cellStyle name="Comma 4 3 2 3 4 4" xfId="10091" xr:uid="{7562D9D8-88F3-4230-83D0-A07546AB0596}"/>
    <cellStyle name="Comma 4 3 2 3 5" xfId="1966" xr:uid="{00000000-0005-0000-0000-000050090000}"/>
    <cellStyle name="Comma 4 3 2 3 5 2" xfId="4195" xr:uid="{00000000-0005-0000-0000-000051090000}"/>
    <cellStyle name="Comma 4 3 2 3 5 2 2" xfId="8417" xr:uid="{00000000-0005-0000-0000-000052090000}"/>
    <cellStyle name="Comma 4 3 2 3 5 2 2 2" xfId="16867" xr:uid="{8FB190CD-AC8D-4BA7-9A7E-4A3D5A29B86B}"/>
    <cellStyle name="Comma 4 3 2 3 5 2 3" xfId="12649" xr:uid="{D4B7D94F-4BCF-4423-B94D-60840122EA14}"/>
    <cellStyle name="Comma 4 3 2 3 5 3" xfId="6272" xr:uid="{00000000-0005-0000-0000-000053090000}"/>
    <cellStyle name="Comma 4 3 2 3 5 3 2" xfId="14722" xr:uid="{184101DC-11D0-44EE-AE21-22594F4BD02A}"/>
    <cellStyle name="Comma 4 3 2 3 5 4" xfId="10504" xr:uid="{C5B5EDFA-1529-47C6-A4CE-B1962BC1C55C}"/>
    <cellStyle name="Comma 4 3 2 3 6" xfId="2401" xr:uid="{00000000-0005-0000-0000-000054090000}"/>
    <cellStyle name="Comma 4 3 2 3 6 2" xfId="6685" xr:uid="{00000000-0005-0000-0000-000055090000}"/>
    <cellStyle name="Comma 4 3 2 3 6 2 2" xfId="15135" xr:uid="{4CCC2526-CC1C-481E-8130-C5B0BA85AB35}"/>
    <cellStyle name="Comma 4 3 2 3 6 3" xfId="10917" xr:uid="{71522E61-C4EF-4BC0-A5D5-6F5864FDA830}"/>
    <cellStyle name="Comma 4 3 2 3 7" xfId="2362" xr:uid="{00000000-0005-0000-0000-000056090000}"/>
    <cellStyle name="Comma 4 3 2 3 8" xfId="2779" xr:uid="{00000000-0005-0000-0000-000057090000}"/>
    <cellStyle name="Comma 4 3 2 3 8 2" xfId="7002" xr:uid="{00000000-0005-0000-0000-000058090000}"/>
    <cellStyle name="Comma 4 3 2 3 8 2 2" xfId="15452" xr:uid="{753399B8-C3DE-4C07-8A83-B5E98020CACF}"/>
    <cellStyle name="Comma 4 3 2 3 8 3" xfId="11234" xr:uid="{2C88CC19-1DD7-49DB-BC0F-BCEDC0077B75}"/>
    <cellStyle name="Comma 4 3 2 3 9" xfId="4619" xr:uid="{00000000-0005-0000-0000-000059090000}"/>
    <cellStyle name="Comma 4 3 2 3 9 2" xfId="13069" xr:uid="{33E608C5-983B-49A4-BE6D-E775F4BDE676}"/>
    <cellStyle name="Comma 4 3 2 4" xfId="682" xr:uid="{00000000-0005-0000-0000-00005A090000}"/>
    <cellStyle name="Comma 4 3 2 4 2" xfId="2953" xr:uid="{00000000-0005-0000-0000-00005B090000}"/>
    <cellStyle name="Comma 4 3 2 4 2 2" xfId="7175" xr:uid="{00000000-0005-0000-0000-00005C090000}"/>
    <cellStyle name="Comma 4 3 2 4 2 2 2" xfId="15625" xr:uid="{BFBA318A-44A1-4E6C-9BB4-E095EE074250}"/>
    <cellStyle name="Comma 4 3 2 4 2 3" xfId="11407" xr:uid="{7D8F42A0-6722-4C5D-B2CE-39396539A1FB}"/>
    <cellStyle name="Comma 4 3 2 4 3" xfId="5030" xr:uid="{00000000-0005-0000-0000-00005D090000}"/>
    <cellStyle name="Comma 4 3 2 4 3 2" xfId="13480" xr:uid="{C59E433C-971D-4D37-93DA-A7356BB1810C}"/>
    <cellStyle name="Comma 4 3 2 4 4" xfId="9262" xr:uid="{F6172F42-A570-4E11-81F4-34D2D5D95FFE}"/>
    <cellStyle name="Comma 4 3 2 5" xfId="1135" xr:uid="{00000000-0005-0000-0000-00005E090000}"/>
    <cellStyle name="Comma 4 3 2 5 2" xfId="3366" xr:uid="{00000000-0005-0000-0000-00005F090000}"/>
    <cellStyle name="Comma 4 3 2 5 2 2" xfId="7588" xr:uid="{00000000-0005-0000-0000-000060090000}"/>
    <cellStyle name="Comma 4 3 2 5 2 2 2" xfId="16038" xr:uid="{BC808975-1A5E-4D2A-8581-0CEACAABE166}"/>
    <cellStyle name="Comma 4 3 2 5 2 3" xfId="11820" xr:uid="{12E86B3A-C019-4F2A-95B7-8188CE21C7D0}"/>
    <cellStyle name="Comma 4 3 2 5 3" xfId="5443" xr:uid="{00000000-0005-0000-0000-000061090000}"/>
    <cellStyle name="Comma 4 3 2 5 3 2" xfId="13893" xr:uid="{CBD955B6-A520-4FD0-A892-608AB0FCEA2A}"/>
    <cellStyle name="Comma 4 3 2 5 4" xfId="9675" xr:uid="{A8A8BB7D-33BC-453A-85E3-D4DF22EF8FF4}"/>
    <cellStyle name="Comma 4 3 2 6" xfId="1549" xr:uid="{00000000-0005-0000-0000-000062090000}"/>
    <cellStyle name="Comma 4 3 2 6 2" xfId="3779" xr:uid="{00000000-0005-0000-0000-000063090000}"/>
    <cellStyle name="Comma 4 3 2 6 2 2" xfId="8001" xr:uid="{00000000-0005-0000-0000-000064090000}"/>
    <cellStyle name="Comma 4 3 2 6 2 2 2" xfId="16451" xr:uid="{AF36DFAE-709B-436B-A2D5-660122CCD596}"/>
    <cellStyle name="Comma 4 3 2 6 2 3" xfId="12233" xr:uid="{ACB98508-B9AE-49B0-AADA-A36F04921560}"/>
    <cellStyle name="Comma 4 3 2 6 3" xfId="5856" xr:uid="{00000000-0005-0000-0000-000065090000}"/>
    <cellStyle name="Comma 4 3 2 6 3 2" xfId="14306" xr:uid="{54BB3CDC-A287-41BE-8C34-70BD7DC64C84}"/>
    <cellStyle name="Comma 4 3 2 6 4" xfId="10088" xr:uid="{7E4FB5BC-DD5A-4D8B-AC9A-4D6EFF67F08B}"/>
    <cellStyle name="Comma 4 3 2 7" xfId="1963" xr:uid="{00000000-0005-0000-0000-000066090000}"/>
    <cellStyle name="Comma 4 3 2 7 2" xfId="4192" xr:uid="{00000000-0005-0000-0000-000067090000}"/>
    <cellStyle name="Comma 4 3 2 7 2 2" xfId="8414" xr:uid="{00000000-0005-0000-0000-000068090000}"/>
    <cellStyle name="Comma 4 3 2 7 2 2 2" xfId="16864" xr:uid="{F3B594C5-887B-495D-BABB-3ADE326E81E3}"/>
    <cellStyle name="Comma 4 3 2 7 2 3" xfId="12646" xr:uid="{68D1E97A-64F6-4288-BE8D-3DA48586852C}"/>
    <cellStyle name="Comma 4 3 2 7 3" xfId="6269" xr:uid="{00000000-0005-0000-0000-000069090000}"/>
    <cellStyle name="Comma 4 3 2 7 3 2" xfId="14719" xr:uid="{3F9249D8-3325-4688-8ADC-8AD8E2A2E919}"/>
    <cellStyle name="Comma 4 3 2 7 4" xfId="10501" xr:uid="{7C1A5CD0-E4B4-4188-AA27-8B4E94A7CC34}"/>
    <cellStyle name="Comma 4 3 2 8" xfId="2398" xr:uid="{00000000-0005-0000-0000-00006A090000}"/>
    <cellStyle name="Comma 4 3 2 8 2" xfId="6682" xr:uid="{00000000-0005-0000-0000-00006B090000}"/>
    <cellStyle name="Comma 4 3 2 8 2 2" xfId="15132" xr:uid="{ED2DF888-E2C4-44FB-8534-1846C40138F9}"/>
    <cellStyle name="Comma 4 3 2 8 3" xfId="10914" xr:uid="{8FBE8E77-C52B-4CD6-9BB7-B6A320A74AA0}"/>
    <cellStyle name="Comma 4 3 2 9" xfId="2365" xr:uid="{00000000-0005-0000-0000-00006C090000}"/>
    <cellStyle name="Comma 4 3 3" xfId="149" xr:uid="{00000000-0005-0000-0000-00006D090000}"/>
    <cellStyle name="Comma 4 3 3 10" xfId="4620" xr:uid="{00000000-0005-0000-0000-00006E090000}"/>
    <cellStyle name="Comma 4 3 3 10 2" xfId="13070" xr:uid="{3C787A16-FAD1-4B11-9078-3EC027C7D60B}"/>
    <cellStyle name="Comma 4 3 3 11" xfId="8852" xr:uid="{E38A47C7-E2A4-4A40-8851-E5473FB15993}"/>
    <cellStyle name="Comma 4 3 3 2" xfId="150" xr:uid="{00000000-0005-0000-0000-00006F090000}"/>
    <cellStyle name="Comma 4 3 3 2 10" xfId="8853" xr:uid="{DFB72CBE-80A9-440C-8E19-1D7213C11A6C}"/>
    <cellStyle name="Comma 4 3 3 2 2" xfId="687" xr:uid="{00000000-0005-0000-0000-000070090000}"/>
    <cellStyle name="Comma 4 3 3 2 2 2" xfId="2958" xr:uid="{00000000-0005-0000-0000-000071090000}"/>
    <cellStyle name="Comma 4 3 3 2 2 2 2" xfId="7180" xr:uid="{00000000-0005-0000-0000-000072090000}"/>
    <cellStyle name="Comma 4 3 3 2 2 2 2 2" xfId="15630" xr:uid="{274AB135-FFD6-4BBB-9E33-CFAC847186F4}"/>
    <cellStyle name="Comma 4 3 3 2 2 2 3" xfId="11412" xr:uid="{ECB67C05-2F4F-426F-BD04-8496E95F0350}"/>
    <cellStyle name="Comma 4 3 3 2 2 3" xfId="5035" xr:uid="{00000000-0005-0000-0000-000073090000}"/>
    <cellStyle name="Comma 4 3 3 2 2 3 2" xfId="13485" xr:uid="{3758888B-F63B-4FED-93FA-E3F8DA26230B}"/>
    <cellStyle name="Comma 4 3 3 2 2 4" xfId="9267" xr:uid="{1B5B4D38-3102-4192-A970-CFA058522E49}"/>
    <cellStyle name="Comma 4 3 3 2 3" xfId="1140" xr:uid="{00000000-0005-0000-0000-000074090000}"/>
    <cellStyle name="Comma 4 3 3 2 3 2" xfId="3371" xr:uid="{00000000-0005-0000-0000-000075090000}"/>
    <cellStyle name="Comma 4 3 3 2 3 2 2" xfId="7593" xr:uid="{00000000-0005-0000-0000-000076090000}"/>
    <cellStyle name="Comma 4 3 3 2 3 2 2 2" xfId="16043" xr:uid="{321E6A6D-B9DA-40BC-948A-606D13D528BF}"/>
    <cellStyle name="Comma 4 3 3 2 3 2 3" xfId="11825" xr:uid="{C556D011-7AC7-411B-843A-9B5586EF0DCF}"/>
    <cellStyle name="Comma 4 3 3 2 3 3" xfId="5448" xr:uid="{00000000-0005-0000-0000-000077090000}"/>
    <cellStyle name="Comma 4 3 3 2 3 3 2" xfId="13898" xr:uid="{1263C9D6-0F53-4EB5-AB0F-73AE8775C6B7}"/>
    <cellStyle name="Comma 4 3 3 2 3 4" xfId="9680" xr:uid="{22C26D4F-5930-4B90-8E9D-4A89B03B8E40}"/>
    <cellStyle name="Comma 4 3 3 2 4" xfId="1554" xr:uid="{00000000-0005-0000-0000-000078090000}"/>
    <cellStyle name="Comma 4 3 3 2 4 2" xfId="3784" xr:uid="{00000000-0005-0000-0000-000079090000}"/>
    <cellStyle name="Comma 4 3 3 2 4 2 2" xfId="8006" xr:uid="{00000000-0005-0000-0000-00007A090000}"/>
    <cellStyle name="Comma 4 3 3 2 4 2 2 2" xfId="16456" xr:uid="{485A962E-4772-47FC-B87A-3954018B6639}"/>
    <cellStyle name="Comma 4 3 3 2 4 2 3" xfId="12238" xr:uid="{08F5C924-B65B-4E83-908D-8EBEA4CAD0F6}"/>
    <cellStyle name="Comma 4 3 3 2 4 3" xfId="5861" xr:uid="{00000000-0005-0000-0000-00007B090000}"/>
    <cellStyle name="Comma 4 3 3 2 4 3 2" xfId="14311" xr:uid="{67925BB5-146A-4B0D-A59F-B45F89120044}"/>
    <cellStyle name="Comma 4 3 3 2 4 4" xfId="10093" xr:uid="{40B5EA0C-73CA-47C9-AD2E-92F5EBF46FAD}"/>
    <cellStyle name="Comma 4 3 3 2 5" xfId="1968" xr:uid="{00000000-0005-0000-0000-00007C090000}"/>
    <cellStyle name="Comma 4 3 3 2 5 2" xfId="4197" xr:uid="{00000000-0005-0000-0000-00007D090000}"/>
    <cellStyle name="Comma 4 3 3 2 5 2 2" xfId="8419" xr:uid="{00000000-0005-0000-0000-00007E090000}"/>
    <cellStyle name="Comma 4 3 3 2 5 2 2 2" xfId="16869" xr:uid="{154871B0-F5FB-4183-AC49-2DE207FB7514}"/>
    <cellStyle name="Comma 4 3 3 2 5 2 3" xfId="12651" xr:uid="{9F1B99D1-C186-4F9A-BDE5-39D1B823F710}"/>
    <cellStyle name="Comma 4 3 3 2 5 3" xfId="6274" xr:uid="{00000000-0005-0000-0000-00007F090000}"/>
    <cellStyle name="Comma 4 3 3 2 5 3 2" xfId="14724" xr:uid="{0AADF3E8-4E5E-4A4E-A1DF-2318873785E6}"/>
    <cellStyle name="Comma 4 3 3 2 5 4" xfId="10506" xr:uid="{6ECD1681-578E-432E-AF8E-CF59FA88F358}"/>
    <cellStyle name="Comma 4 3 3 2 6" xfId="2403" xr:uid="{00000000-0005-0000-0000-000080090000}"/>
    <cellStyle name="Comma 4 3 3 2 6 2" xfId="6687" xr:uid="{00000000-0005-0000-0000-000081090000}"/>
    <cellStyle name="Comma 4 3 3 2 6 2 2" xfId="15137" xr:uid="{7EF637AB-A92C-4157-A2A9-AEE2FF73DCEF}"/>
    <cellStyle name="Comma 4 3 3 2 6 3" xfId="10919" xr:uid="{B26A043B-4924-400D-BA9A-E34F3D83813F}"/>
    <cellStyle name="Comma 4 3 3 2 7" xfId="2360" xr:uid="{00000000-0005-0000-0000-000082090000}"/>
    <cellStyle name="Comma 4 3 3 2 8" xfId="2781" xr:uid="{00000000-0005-0000-0000-000083090000}"/>
    <cellStyle name="Comma 4 3 3 2 8 2" xfId="7004" xr:uid="{00000000-0005-0000-0000-000084090000}"/>
    <cellStyle name="Comma 4 3 3 2 8 2 2" xfId="15454" xr:uid="{B3095229-0778-4572-9AF7-81A4A9AEFB1E}"/>
    <cellStyle name="Comma 4 3 3 2 8 3" xfId="11236" xr:uid="{B8F98A62-5A6F-4545-8E3B-A7919B722BAB}"/>
    <cellStyle name="Comma 4 3 3 2 9" xfId="4621" xr:uid="{00000000-0005-0000-0000-000085090000}"/>
    <cellStyle name="Comma 4 3 3 2 9 2" xfId="13071" xr:uid="{56D704F4-FB41-470A-8F52-385A3E6EC2B5}"/>
    <cellStyle name="Comma 4 3 3 3" xfId="686" xr:uid="{00000000-0005-0000-0000-000086090000}"/>
    <cellStyle name="Comma 4 3 3 3 2" xfId="2957" xr:uid="{00000000-0005-0000-0000-000087090000}"/>
    <cellStyle name="Comma 4 3 3 3 2 2" xfId="7179" xr:uid="{00000000-0005-0000-0000-000088090000}"/>
    <cellStyle name="Comma 4 3 3 3 2 2 2" xfId="15629" xr:uid="{3653F25A-EE6C-42AE-A166-111C58B34CF8}"/>
    <cellStyle name="Comma 4 3 3 3 2 3" xfId="11411" xr:uid="{B357D9CA-1DFC-42B5-946C-03FDFC56992A}"/>
    <cellStyle name="Comma 4 3 3 3 3" xfId="5034" xr:uid="{00000000-0005-0000-0000-000089090000}"/>
    <cellStyle name="Comma 4 3 3 3 3 2" xfId="13484" xr:uid="{FE2E27F3-4A25-43FB-9711-4164B061F0E8}"/>
    <cellStyle name="Comma 4 3 3 3 4" xfId="9266" xr:uid="{62967361-66C5-486B-8FBE-FD8CA861C9A2}"/>
    <cellStyle name="Comma 4 3 3 4" xfId="1139" xr:uid="{00000000-0005-0000-0000-00008A090000}"/>
    <cellStyle name="Comma 4 3 3 4 2" xfId="3370" xr:uid="{00000000-0005-0000-0000-00008B090000}"/>
    <cellStyle name="Comma 4 3 3 4 2 2" xfId="7592" xr:uid="{00000000-0005-0000-0000-00008C090000}"/>
    <cellStyle name="Comma 4 3 3 4 2 2 2" xfId="16042" xr:uid="{08F1CA30-3A86-4B1F-BB06-4011359F67FD}"/>
    <cellStyle name="Comma 4 3 3 4 2 3" xfId="11824" xr:uid="{93BFD51E-F327-47A1-B4BB-87646999AC0C}"/>
    <cellStyle name="Comma 4 3 3 4 3" xfId="5447" xr:uid="{00000000-0005-0000-0000-00008D090000}"/>
    <cellStyle name="Comma 4 3 3 4 3 2" xfId="13897" xr:uid="{7C99688B-CC83-463A-95B6-EB8703073635}"/>
    <cellStyle name="Comma 4 3 3 4 4" xfId="9679" xr:uid="{73691543-51ED-4D2E-90CF-728BFF34899E}"/>
    <cellStyle name="Comma 4 3 3 5" xfId="1553" xr:uid="{00000000-0005-0000-0000-00008E090000}"/>
    <cellStyle name="Comma 4 3 3 5 2" xfId="3783" xr:uid="{00000000-0005-0000-0000-00008F090000}"/>
    <cellStyle name="Comma 4 3 3 5 2 2" xfId="8005" xr:uid="{00000000-0005-0000-0000-000090090000}"/>
    <cellStyle name="Comma 4 3 3 5 2 2 2" xfId="16455" xr:uid="{326BBDE0-A19D-49E3-A5FA-35AAE28446BD}"/>
    <cellStyle name="Comma 4 3 3 5 2 3" xfId="12237" xr:uid="{5B6666B3-25DC-4E10-BB12-F462993FB2A4}"/>
    <cellStyle name="Comma 4 3 3 5 3" xfId="5860" xr:uid="{00000000-0005-0000-0000-000091090000}"/>
    <cellStyle name="Comma 4 3 3 5 3 2" xfId="14310" xr:uid="{64F11B83-2042-4043-B987-F62A74B064B9}"/>
    <cellStyle name="Comma 4 3 3 5 4" xfId="10092" xr:uid="{A16B06A5-00E7-433F-97D8-A9DB87D5E9EE}"/>
    <cellStyle name="Comma 4 3 3 6" xfId="1967" xr:uid="{00000000-0005-0000-0000-000092090000}"/>
    <cellStyle name="Comma 4 3 3 6 2" xfId="4196" xr:uid="{00000000-0005-0000-0000-000093090000}"/>
    <cellStyle name="Comma 4 3 3 6 2 2" xfId="8418" xr:uid="{00000000-0005-0000-0000-000094090000}"/>
    <cellStyle name="Comma 4 3 3 6 2 2 2" xfId="16868" xr:uid="{9DDBCF3D-C8F6-456B-948E-E090C5F9A2D2}"/>
    <cellStyle name="Comma 4 3 3 6 2 3" xfId="12650" xr:uid="{A2719C5A-B664-4FB3-ACCD-A2985915025A}"/>
    <cellStyle name="Comma 4 3 3 6 3" xfId="6273" xr:uid="{00000000-0005-0000-0000-000095090000}"/>
    <cellStyle name="Comma 4 3 3 6 3 2" xfId="14723" xr:uid="{439968A8-591A-4070-8867-16F8A8BF2067}"/>
    <cellStyle name="Comma 4 3 3 6 4" xfId="10505" xr:uid="{13BDDD0C-C5DF-4A51-9C11-76E31A3BEC65}"/>
    <cellStyle name="Comma 4 3 3 7" xfId="2402" xr:uid="{00000000-0005-0000-0000-000096090000}"/>
    <cellStyle name="Comma 4 3 3 7 2" xfId="6686" xr:uid="{00000000-0005-0000-0000-000097090000}"/>
    <cellStyle name="Comma 4 3 3 7 2 2" xfId="15136" xr:uid="{3E9FEB7D-EB4F-4361-95E5-953E4F4A4B2E}"/>
    <cellStyle name="Comma 4 3 3 7 3" xfId="10918" xr:uid="{5BC85966-8EDB-4B4F-A881-7113539AE560}"/>
    <cellStyle name="Comma 4 3 3 8" xfId="2361" xr:uid="{00000000-0005-0000-0000-000098090000}"/>
    <cellStyle name="Comma 4 3 3 9" xfId="2780" xr:uid="{00000000-0005-0000-0000-000099090000}"/>
    <cellStyle name="Comma 4 3 3 9 2" xfId="7003" xr:uid="{00000000-0005-0000-0000-00009A090000}"/>
    <cellStyle name="Comma 4 3 3 9 2 2" xfId="15453" xr:uid="{61D5D704-7E04-4FD1-AE2E-38DF6A9297A7}"/>
    <cellStyle name="Comma 4 3 3 9 3" xfId="11235" xr:uid="{2D57DD7B-7653-4D9D-BE06-CE96AD8E1BF3}"/>
    <cellStyle name="Comma 4 3 4" xfId="151" xr:uid="{00000000-0005-0000-0000-00009B090000}"/>
    <cellStyle name="Comma 4 3 4 10" xfId="8854" xr:uid="{85FFFCBF-6DBF-475F-9B52-0A29076BCA6E}"/>
    <cellStyle name="Comma 4 3 4 2" xfId="688" xr:uid="{00000000-0005-0000-0000-00009C090000}"/>
    <cellStyle name="Comma 4 3 4 2 2" xfId="2959" xr:uid="{00000000-0005-0000-0000-00009D090000}"/>
    <cellStyle name="Comma 4 3 4 2 2 2" xfId="7181" xr:uid="{00000000-0005-0000-0000-00009E090000}"/>
    <cellStyle name="Comma 4 3 4 2 2 2 2" xfId="15631" xr:uid="{E4FD4884-D7CE-46FF-92F9-D1EDA24B8117}"/>
    <cellStyle name="Comma 4 3 4 2 2 3" xfId="11413" xr:uid="{0625B3B0-EFD2-4C53-A005-C66A3F373EF7}"/>
    <cellStyle name="Comma 4 3 4 2 3" xfId="5036" xr:uid="{00000000-0005-0000-0000-00009F090000}"/>
    <cellStyle name="Comma 4 3 4 2 3 2" xfId="13486" xr:uid="{0C196D65-DC85-47D3-98AA-51B65EEC1F7C}"/>
    <cellStyle name="Comma 4 3 4 2 4" xfId="9268" xr:uid="{E842F678-C6A6-406A-AD77-C7E33BAB51B1}"/>
    <cellStyle name="Comma 4 3 4 3" xfId="1141" xr:uid="{00000000-0005-0000-0000-0000A0090000}"/>
    <cellStyle name="Comma 4 3 4 3 2" xfId="3372" xr:uid="{00000000-0005-0000-0000-0000A1090000}"/>
    <cellStyle name="Comma 4 3 4 3 2 2" xfId="7594" xr:uid="{00000000-0005-0000-0000-0000A2090000}"/>
    <cellStyle name="Comma 4 3 4 3 2 2 2" xfId="16044" xr:uid="{677DA969-E684-4573-B998-0DF36F62E741}"/>
    <cellStyle name="Comma 4 3 4 3 2 3" xfId="11826" xr:uid="{75458245-D838-4977-8E8C-EA8CCF0BE84F}"/>
    <cellStyle name="Comma 4 3 4 3 3" xfId="5449" xr:uid="{00000000-0005-0000-0000-0000A3090000}"/>
    <cellStyle name="Comma 4 3 4 3 3 2" xfId="13899" xr:uid="{B4D1B284-4F13-4139-AAE0-ACF56B5F93AE}"/>
    <cellStyle name="Comma 4 3 4 3 4" xfId="9681" xr:uid="{A677AAAC-8934-4924-9623-11D336288C01}"/>
    <cellStyle name="Comma 4 3 4 4" xfId="1555" xr:uid="{00000000-0005-0000-0000-0000A4090000}"/>
    <cellStyle name="Comma 4 3 4 4 2" xfId="3785" xr:uid="{00000000-0005-0000-0000-0000A5090000}"/>
    <cellStyle name="Comma 4 3 4 4 2 2" xfId="8007" xr:uid="{00000000-0005-0000-0000-0000A6090000}"/>
    <cellStyle name="Comma 4 3 4 4 2 2 2" xfId="16457" xr:uid="{12F5D65D-C647-48A8-A3A5-81EFCA45045F}"/>
    <cellStyle name="Comma 4 3 4 4 2 3" xfId="12239" xr:uid="{4E5058A8-5F6A-493F-94E7-BEB76F88CD47}"/>
    <cellStyle name="Comma 4 3 4 4 3" xfId="5862" xr:uid="{00000000-0005-0000-0000-0000A7090000}"/>
    <cellStyle name="Comma 4 3 4 4 3 2" xfId="14312" xr:uid="{BFD32C09-7F35-4606-AE0E-674AA1D339EF}"/>
    <cellStyle name="Comma 4 3 4 4 4" xfId="10094" xr:uid="{75E2C3B7-AA07-4320-9C2E-A36A4220E462}"/>
    <cellStyle name="Comma 4 3 4 5" xfId="1969" xr:uid="{00000000-0005-0000-0000-0000A8090000}"/>
    <cellStyle name="Comma 4 3 4 5 2" xfId="4198" xr:uid="{00000000-0005-0000-0000-0000A9090000}"/>
    <cellStyle name="Comma 4 3 4 5 2 2" xfId="8420" xr:uid="{00000000-0005-0000-0000-0000AA090000}"/>
    <cellStyle name="Comma 4 3 4 5 2 2 2" xfId="16870" xr:uid="{6684581D-2C25-4550-88DC-E662B1B6073A}"/>
    <cellStyle name="Comma 4 3 4 5 2 3" xfId="12652" xr:uid="{B3D20601-2941-4E71-A1FC-403962F8C7D6}"/>
    <cellStyle name="Comma 4 3 4 5 3" xfId="6275" xr:uid="{00000000-0005-0000-0000-0000AB090000}"/>
    <cellStyle name="Comma 4 3 4 5 3 2" xfId="14725" xr:uid="{0CF0FA76-FDC2-4A53-BA51-5DC92EA99CC9}"/>
    <cellStyle name="Comma 4 3 4 5 4" xfId="10507" xr:uid="{3C2F6C21-D35D-4871-A069-E003E91BCEAD}"/>
    <cellStyle name="Comma 4 3 4 6" xfId="2404" xr:uid="{00000000-0005-0000-0000-0000AC090000}"/>
    <cellStyle name="Comma 4 3 4 6 2" xfId="6688" xr:uid="{00000000-0005-0000-0000-0000AD090000}"/>
    <cellStyle name="Comma 4 3 4 6 2 2" xfId="15138" xr:uid="{1E7FFDB4-592F-4979-A859-476A90B41E4A}"/>
    <cellStyle name="Comma 4 3 4 6 3" xfId="10920" xr:uid="{17A8954F-6E89-4C21-9F31-705819B5A0B2}"/>
    <cellStyle name="Comma 4 3 4 7" xfId="2700" xr:uid="{00000000-0005-0000-0000-0000AE090000}"/>
    <cellStyle name="Comma 4 3 4 8" xfId="2782" xr:uid="{00000000-0005-0000-0000-0000AF090000}"/>
    <cellStyle name="Comma 4 3 4 8 2" xfId="7005" xr:uid="{00000000-0005-0000-0000-0000B0090000}"/>
    <cellStyle name="Comma 4 3 4 8 2 2" xfId="15455" xr:uid="{EC9A941E-CCD6-42A3-9B7E-BED2F3E8F060}"/>
    <cellStyle name="Comma 4 3 4 8 3" xfId="11237" xr:uid="{F62ED663-3814-4FCE-8E61-03D78FEC17F7}"/>
    <cellStyle name="Comma 4 3 4 9" xfId="4622" xr:uid="{00000000-0005-0000-0000-0000B1090000}"/>
    <cellStyle name="Comma 4 3 4 9 2" xfId="13072" xr:uid="{52B67E6F-5DB5-40CA-93B1-900773A28AFD}"/>
    <cellStyle name="Comma 4 3 5" xfId="152" xr:uid="{00000000-0005-0000-0000-0000B2090000}"/>
    <cellStyle name="Comma 4 3 5 10" xfId="8855" xr:uid="{D0A7A9FD-4738-42CF-A1C2-2C379B433D07}"/>
    <cellStyle name="Comma 4 3 5 2" xfId="689" xr:uid="{00000000-0005-0000-0000-0000B3090000}"/>
    <cellStyle name="Comma 4 3 5 2 2" xfId="2960" xr:uid="{00000000-0005-0000-0000-0000B4090000}"/>
    <cellStyle name="Comma 4 3 5 2 2 2" xfId="7182" xr:uid="{00000000-0005-0000-0000-0000B5090000}"/>
    <cellStyle name="Comma 4 3 5 2 2 2 2" xfId="15632" xr:uid="{40E95EE9-9FDA-4A93-BDB6-8BBC6B66879D}"/>
    <cellStyle name="Comma 4 3 5 2 2 3" xfId="11414" xr:uid="{7C4EE105-26D4-432D-9E54-02073DC19BFD}"/>
    <cellStyle name="Comma 4 3 5 2 3" xfId="5037" xr:uid="{00000000-0005-0000-0000-0000B6090000}"/>
    <cellStyle name="Comma 4 3 5 2 3 2" xfId="13487" xr:uid="{5581F700-E2CF-4046-AE33-E4937702EDB1}"/>
    <cellStyle name="Comma 4 3 5 2 4" xfId="9269" xr:uid="{9844D799-589E-4E15-AEA3-8E67D7733046}"/>
    <cellStyle name="Comma 4 3 5 3" xfId="1142" xr:uid="{00000000-0005-0000-0000-0000B7090000}"/>
    <cellStyle name="Comma 4 3 5 3 2" xfId="3373" xr:uid="{00000000-0005-0000-0000-0000B8090000}"/>
    <cellStyle name="Comma 4 3 5 3 2 2" xfId="7595" xr:uid="{00000000-0005-0000-0000-0000B9090000}"/>
    <cellStyle name="Comma 4 3 5 3 2 2 2" xfId="16045" xr:uid="{3F5FF5C4-84AC-4155-8087-5B0407C13186}"/>
    <cellStyle name="Comma 4 3 5 3 2 3" xfId="11827" xr:uid="{2958BDDB-1915-4F93-B55A-D468BCD5CC33}"/>
    <cellStyle name="Comma 4 3 5 3 3" xfId="5450" xr:uid="{00000000-0005-0000-0000-0000BA090000}"/>
    <cellStyle name="Comma 4 3 5 3 3 2" xfId="13900" xr:uid="{C2EC7B24-83BB-4252-B4DA-CFA721146659}"/>
    <cellStyle name="Comma 4 3 5 3 4" xfId="9682" xr:uid="{9D361EBD-A507-4C6C-ABE6-5CA7FF1BDFBC}"/>
    <cellStyle name="Comma 4 3 5 4" xfId="1556" xr:uid="{00000000-0005-0000-0000-0000BB090000}"/>
    <cellStyle name="Comma 4 3 5 4 2" xfId="3786" xr:uid="{00000000-0005-0000-0000-0000BC090000}"/>
    <cellStyle name="Comma 4 3 5 4 2 2" xfId="8008" xr:uid="{00000000-0005-0000-0000-0000BD090000}"/>
    <cellStyle name="Comma 4 3 5 4 2 2 2" xfId="16458" xr:uid="{DE31B72A-83FD-4D6C-B7E6-ACCC9656B7E1}"/>
    <cellStyle name="Comma 4 3 5 4 2 3" xfId="12240" xr:uid="{3A886A5D-207E-4762-9A50-5814A2867A42}"/>
    <cellStyle name="Comma 4 3 5 4 3" xfId="5863" xr:uid="{00000000-0005-0000-0000-0000BE090000}"/>
    <cellStyle name="Comma 4 3 5 4 3 2" xfId="14313" xr:uid="{80901F10-DE4B-4ED4-9460-4631EB9F497D}"/>
    <cellStyle name="Comma 4 3 5 4 4" xfId="10095" xr:uid="{CD1302C8-1C63-48B6-A613-03BEF4356116}"/>
    <cellStyle name="Comma 4 3 5 5" xfId="1970" xr:uid="{00000000-0005-0000-0000-0000BF090000}"/>
    <cellStyle name="Comma 4 3 5 5 2" xfId="4199" xr:uid="{00000000-0005-0000-0000-0000C0090000}"/>
    <cellStyle name="Comma 4 3 5 5 2 2" xfId="8421" xr:uid="{00000000-0005-0000-0000-0000C1090000}"/>
    <cellStyle name="Comma 4 3 5 5 2 2 2" xfId="16871" xr:uid="{41FFFE8B-66A6-44EC-874D-5F1BDEDB6F79}"/>
    <cellStyle name="Comma 4 3 5 5 2 3" xfId="12653" xr:uid="{B7EF6984-79DF-4849-8CC4-C54266103064}"/>
    <cellStyle name="Comma 4 3 5 5 3" xfId="6276" xr:uid="{00000000-0005-0000-0000-0000C2090000}"/>
    <cellStyle name="Comma 4 3 5 5 3 2" xfId="14726" xr:uid="{DD113F23-8445-41E8-B41F-CA74BEC7B124}"/>
    <cellStyle name="Comma 4 3 5 5 4" xfId="10508" xr:uid="{01D30EE2-5EF3-4679-9FC8-2265EE9F951E}"/>
    <cellStyle name="Comma 4 3 5 6" xfId="2405" xr:uid="{00000000-0005-0000-0000-0000C3090000}"/>
    <cellStyle name="Comma 4 3 5 6 2" xfId="6689" xr:uid="{00000000-0005-0000-0000-0000C4090000}"/>
    <cellStyle name="Comma 4 3 5 6 2 2" xfId="15139" xr:uid="{5C64EAA9-7C2B-485F-B884-D17A1CCFC582}"/>
    <cellStyle name="Comma 4 3 5 6 3" xfId="10921" xr:uid="{7AD7801E-4770-4E5C-A618-E1F6849AEB85}"/>
    <cellStyle name="Comma 4 3 5 7" xfId="2701" xr:uid="{00000000-0005-0000-0000-0000C5090000}"/>
    <cellStyle name="Comma 4 3 5 8" xfId="2783" xr:uid="{00000000-0005-0000-0000-0000C6090000}"/>
    <cellStyle name="Comma 4 3 5 8 2" xfId="7006" xr:uid="{00000000-0005-0000-0000-0000C7090000}"/>
    <cellStyle name="Comma 4 3 5 8 2 2" xfId="15456" xr:uid="{8D83F1FB-DA93-4EE0-B273-D48B4A1F4A7E}"/>
    <cellStyle name="Comma 4 3 5 8 3" xfId="11238" xr:uid="{70AB0B0A-79BF-4253-8112-B434FE585F67}"/>
    <cellStyle name="Comma 4 3 5 9" xfId="4623" xr:uid="{00000000-0005-0000-0000-0000C8090000}"/>
    <cellStyle name="Comma 4 3 5 9 2" xfId="13073" xr:uid="{47D2FBC4-3047-4E25-AB7F-D483369CFADE}"/>
    <cellStyle name="Comma 4 4" xfId="153" xr:uid="{00000000-0005-0000-0000-0000C9090000}"/>
    <cellStyle name="Comma 4 4 10" xfId="2784" xr:uid="{00000000-0005-0000-0000-0000CA090000}"/>
    <cellStyle name="Comma 4 4 10 2" xfId="7007" xr:uid="{00000000-0005-0000-0000-0000CB090000}"/>
    <cellStyle name="Comma 4 4 10 2 2" xfId="15457" xr:uid="{12A4F334-A36C-454C-AFA5-8C6A4FEC1DCF}"/>
    <cellStyle name="Comma 4 4 10 3" xfId="11239" xr:uid="{9CFC592E-B75B-4832-BEB0-0408D72421AC}"/>
    <cellStyle name="Comma 4 4 11" xfId="4624" xr:uid="{00000000-0005-0000-0000-0000CC090000}"/>
    <cellStyle name="Comma 4 4 11 2" xfId="13074" xr:uid="{E6D4D355-6EDF-4813-A8AC-68463DC8B11B}"/>
    <cellStyle name="Comma 4 4 12" xfId="8856" xr:uid="{CC4253E6-6400-46E3-8F6C-B5A3F9049A2E}"/>
    <cellStyle name="Comma 4 4 2" xfId="154" xr:uid="{00000000-0005-0000-0000-0000CD090000}"/>
    <cellStyle name="Comma 4 4 2 10" xfId="4625" xr:uid="{00000000-0005-0000-0000-0000CE090000}"/>
    <cellStyle name="Comma 4 4 2 10 2" xfId="13075" xr:uid="{6F3E58B6-DBFD-4998-A711-225F96F08180}"/>
    <cellStyle name="Comma 4 4 2 11" xfId="8857" xr:uid="{2D9E4027-61DB-47E9-8693-BF95D916BE42}"/>
    <cellStyle name="Comma 4 4 2 2" xfId="155" xr:uid="{00000000-0005-0000-0000-0000CF090000}"/>
    <cellStyle name="Comma 4 4 2 2 10" xfId="8858" xr:uid="{7602F7BF-4CA0-4CDA-86F7-05684A3458CB}"/>
    <cellStyle name="Comma 4 4 2 2 2" xfId="692" xr:uid="{00000000-0005-0000-0000-0000D0090000}"/>
    <cellStyle name="Comma 4 4 2 2 2 2" xfId="2963" xr:uid="{00000000-0005-0000-0000-0000D1090000}"/>
    <cellStyle name="Comma 4 4 2 2 2 2 2" xfId="7185" xr:uid="{00000000-0005-0000-0000-0000D2090000}"/>
    <cellStyle name="Comma 4 4 2 2 2 2 2 2" xfId="15635" xr:uid="{B12FA6C1-C7FE-41BF-97AB-2C72A580CC03}"/>
    <cellStyle name="Comma 4 4 2 2 2 2 3" xfId="11417" xr:uid="{41FDD9CF-206D-42B3-9640-4727F4D99B2C}"/>
    <cellStyle name="Comma 4 4 2 2 2 3" xfId="5040" xr:uid="{00000000-0005-0000-0000-0000D3090000}"/>
    <cellStyle name="Comma 4 4 2 2 2 3 2" xfId="13490" xr:uid="{4F6224FD-9893-4897-B88A-E30BD17F1272}"/>
    <cellStyle name="Comma 4 4 2 2 2 4" xfId="9272" xr:uid="{D198D63A-5477-4567-96DC-D6EA0C62A0EF}"/>
    <cellStyle name="Comma 4 4 2 2 3" xfId="1145" xr:uid="{00000000-0005-0000-0000-0000D4090000}"/>
    <cellStyle name="Comma 4 4 2 2 3 2" xfId="3376" xr:uid="{00000000-0005-0000-0000-0000D5090000}"/>
    <cellStyle name="Comma 4 4 2 2 3 2 2" xfId="7598" xr:uid="{00000000-0005-0000-0000-0000D6090000}"/>
    <cellStyle name="Comma 4 4 2 2 3 2 2 2" xfId="16048" xr:uid="{EFA94286-DC86-44C1-9936-1C6F893E0BFA}"/>
    <cellStyle name="Comma 4 4 2 2 3 2 3" xfId="11830" xr:uid="{C8AE336D-10CB-4703-85CA-5A74F4FD8892}"/>
    <cellStyle name="Comma 4 4 2 2 3 3" xfId="5453" xr:uid="{00000000-0005-0000-0000-0000D7090000}"/>
    <cellStyle name="Comma 4 4 2 2 3 3 2" xfId="13903" xr:uid="{CE3E3BEB-3841-4545-ABA2-D82195B82EB0}"/>
    <cellStyle name="Comma 4 4 2 2 3 4" xfId="9685" xr:uid="{45378EF1-41A4-4830-B031-5D038C5826A7}"/>
    <cellStyle name="Comma 4 4 2 2 4" xfId="1559" xr:uid="{00000000-0005-0000-0000-0000D8090000}"/>
    <cellStyle name="Comma 4 4 2 2 4 2" xfId="3789" xr:uid="{00000000-0005-0000-0000-0000D9090000}"/>
    <cellStyle name="Comma 4 4 2 2 4 2 2" xfId="8011" xr:uid="{00000000-0005-0000-0000-0000DA090000}"/>
    <cellStyle name="Comma 4 4 2 2 4 2 2 2" xfId="16461" xr:uid="{F1684772-3A0A-4AD3-971B-353B352B958A}"/>
    <cellStyle name="Comma 4 4 2 2 4 2 3" xfId="12243" xr:uid="{806DB885-A8AE-42E9-816D-A66831C6F146}"/>
    <cellStyle name="Comma 4 4 2 2 4 3" xfId="5866" xr:uid="{00000000-0005-0000-0000-0000DB090000}"/>
    <cellStyle name="Comma 4 4 2 2 4 3 2" xfId="14316" xr:uid="{9D7EEA3C-B30A-4DFD-82B9-DDF974B8C488}"/>
    <cellStyle name="Comma 4 4 2 2 4 4" xfId="10098" xr:uid="{F561AD98-F8F8-441A-B934-1B593F8E3F5F}"/>
    <cellStyle name="Comma 4 4 2 2 5" xfId="1973" xr:uid="{00000000-0005-0000-0000-0000DC090000}"/>
    <cellStyle name="Comma 4 4 2 2 5 2" xfId="4202" xr:uid="{00000000-0005-0000-0000-0000DD090000}"/>
    <cellStyle name="Comma 4 4 2 2 5 2 2" xfId="8424" xr:uid="{00000000-0005-0000-0000-0000DE090000}"/>
    <cellStyle name="Comma 4 4 2 2 5 2 2 2" xfId="16874" xr:uid="{8E8AAD28-3599-4C3F-B53E-D5F71842BA93}"/>
    <cellStyle name="Comma 4 4 2 2 5 2 3" xfId="12656" xr:uid="{FA89C488-C9E8-4A28-8FD3-177F959A1B36}"/>
    <cellStyle name="Comma 4 4 2 2 5 3" xfId="6279" xr:uid="{00000000-0005-0000-0000-0000DF090000}"/>
    <cellStyle name="Comma 4 4 2 2 5 3 2" xfId="14729" xr:uid="{8DC55FCC-2ED3-4883-B786-37977F8CE064}"/>
    <cellStyle name="Comma 4 4 2 2 5 4" xfId="10511" xr:uid="{DAE9EE56-7146-49D0-A96A-9EC1D901EAE5}"/>
    <cellStyle name="Comma 4 4 2 2 6" xfId="2408" xr:uid="{00000000-0005-0000-0000-0000E0090000}"/>
    <cellStyle name="Comma 4 4 2 2 6 2" xfId="6692" xr:uid="{00000000-0005-0000-0000-0000E1090000}"/>
    <cellStyle name="Comma 4 4 2 2 6 2 2" xfId="15142" xr:uid="{CD58A6A5-204E-4FC6-91B6-24BFBC774776}"/>
    <cellStyle name="Comma 4 4 2 2 6 3" xfId="10924" xr:uid="{6565F8ED-10D2-4796-B0E1-A942DE9EB021}"/>
    <cellStyle name="Comma 4 4 2 2 7" xfId="2704" xr:uid="{00000000-0005-0000-0000-0000E2090000}"/>
    <cellStyle name="Comma 4 4 2 2 8" xfId="2786" xr:uid="{00000000-0005-0000-0000-0000E3090000}"/>
    <cellStyle name="Comma 4 4 2 2 8 2" xfId="7009" xr:uid="{00000000-0005-0000-0000-0000E4090000}"/>
    <cellStyle name="Comma 4 4 2 2 8 2 2" xfId="15459" xr:uid="{797A5E3B-DD8D-41C1-B803-1EFCBD562B3A}"/>
    <cellStyle name="Comma 4 4 2 2 8 3" xfId="11241" xr:uid="{AF8D94C0-8B69-4720-B77F-96BBA673BC79}"/>
    <cellStyle name="Comma 4 4 2 2 9" xfId="4626" xr:uid="{00000000-0005-0000-0000-0000E5090000}"/>
    <cellStyle name="Comma 4 4 2 2 9 2" xfId="13076" xr:uid="{E6770987-C89D-4FB4-A522-2CB8AAC9D77B}"/>
    <cellStyle name="Comma 4 4 2 3" xfId="691" xr:uid="{00000000-0005-0000-0000-0000E6090000}"/>
    <cellStyle name="Comma 4 4 2 3 2" xfId="2962" xr:uid="{00000000-0005-0000-0000-0000E7090000}"/>
    <cellStyle name="Comma 4 4 2 3 2 2" xfId="7184" xr:uid="{00000000-0005-0000-0000-0000E8090000}"/>
    <cellStyle name="Comma 4 4 2 3 2 2 2" xfId="15634" xr:uid="{AFAA52CE-8252-42B0-B84C-0652F6B1020A}"/>
    <cellStyle name="Comma 4 4 2 3 2 3" xfId="11416" xr:uid="{75EF26D3-2AB1-4440-99C3-963A752FE6AC}"/>
    <cellStyle name="Comma 4 4 2 3 3" xfId="5039" xr:uid="{00000000-0005-0000-0000-0000E9090000}"/>
    <cellStyle name="Comma 4 4 2 3 3 2" xfId="13489" xr:uid="{F77D6F45-C8AF-4B35-B687-5FE68C990490}"/>
    <cellStyle name="Comma 4 4 2 3 4" xfId="9271" xr:uid="{7AEB554E-428C-4084-87F4-EAC2DBC6DB43}"/>
    <cellStyle name="Comma 4 4 2 4" xfId="1144" xr:uid="{00000000-0005-0000-0000-0000EA090000}"/>
    <cellStyle name="Comma 4 4 2 4 2" xfId="3375" xr:uid="{00000000-0005-0000-0000-0000EB090000}"/>
    <cellStyle name="Comma 4 4 2 4 2 2" xfId="7597" xr:uid="{00000000-0005-0000-0000-0000EC090000}"/>
    <cellStyle name="Comma 4 4 2 4 2 2 2" xfId="16047" xr:uid="{D0CC9B31-79DF-43A7-AA0E-B65C91286202}"/>
    <cellStyle name="Comma 4 4 2 4 2 3" xfId="11829" xr:uid="{E630C2F8-134B-455A-B0AF-CAB5F0256C67}"/>
    <cellStyle name="Comma 4 4 2 4 3" xfId="5452" xr:uid="{00000000-0005-0000-0000-0000ED090000}"/>
    <cellStyle name="Comma 4 4 2 4 3 2" xfId="13902" xr:uid="{64853BF1-166D-4BEE-B85A-FD1856B5F939}"/>
    <cellStyle name="Comma 4 4 2 4 4" xfId="9684" xr:uid="{6DD3D227-9F0A-4342-BA55-551B865143B4}"/>
    <cellStyle name="Comma 4 4 2 5" xfId="1558" xr:uid="{00000000-0005-0000-0000-0000EE090000}"/>
    <cellStyle name="Comma 4 4 2 5 2" xfId="3788" xr:uid="{00000000-0005-0000-0000-0000EF090000}"/>
    <cellStyle name="Comma 4 4 2 5 2 2" xfId="8010" xr:uid="{00000000-0005-0000-0000-0000F0090000}"/>
    <cellStyle name="Comma 4 4 2 5 2 2 2" xfId="16460" xr:uid="{86C08910-398B-469B-A3F0-8F20E9609685}"/>
    <cellStyle name="Comma 4 4 2 5 2 3" xfId="12242" xr:uid="{0A873E60-F447-4876-8A16-EF5C2F94EC18}"/>
    <cellStyle name="Comma 4 4 2 5 3" xfId="5865" xr:uid="{00000000-0005-0000-0000-0000F1090000}"/>
    <cellStyle name="Comma 4 4 2 5 3 2" xfId="14315" xr:uid="{0424307B-0ADD-4928-A013-771221ACC06E}"/>
    <cellStyle name="Comma 4 4 2 5 4" xfId="10097" xr:uid="{7689AD1E-B2E1-488C-AAAB-94A94F1B4147}"/>
    <cellStyle name="Comma 4 4 2 6" xfId="1972" xr:uid="{00000000-0005-0000-0000-0000F2090000}"/>
    <cellStyle name="Comma 4 4 2 6 2" xfId="4201" xr:uid="{00000000-0005-0000-0000-0000F3090000}"/>
    <cellStyle name="Comma 4 4 2 6 2 2" xfId="8423" xr:uid="{00000000-0005-0000-0000-0000F4090000}"/>
    <cellStyle name="Comma 4 4 2 6 2 2 2" xfId="16873" xr:uid="{E777D273-B952-44C6-ABD9-EDC68EA50D3A}"/>
    <cellStyle name="Comma 4 4 2 6 2 3" xfId="12655" xr:uid="{CAB20AA9-D070-4B12-A234-0F896563A688}"/>
    <cellStyle name="Comma 4 4 2 6 3" xfId="6278" xr:uid="{00000000-0005-0000-0000-0000F5090000}"/>
    <cellStyle name="Comma 4 4 2 6 3 2" xfId="14728" xr:uid="{1456A3BD-FABE-469C-A916-A70A54176DEA}"/>
    <cellStyle name="Comma 4 4 2 6 4" xfId="10510" xr:uid="{EEB4FB6B-F11B-464E-BAC9-F6BC0CDCA836}"/>
    <cellStyle name="Comma 4 4 2 7" xfId="2407" xr:uid="{00000000-0005-0000-0000-0000F6090000}"/>
    <cellStyle name="Comma 4 4 2 7 2" xfId="6691" xr:uid="{00000000-0005-0000-0000-0000F7090000}"/>
    <cellStyle name="Comma 4 4 2 7 2 2" xfId="15141" xr:uid="{CB7C0480-EB88-4A4B-99DB-671C92E52576}"/>
    <cellStyle name="Comma 4 4 2 7 3" xfId="10923" xr:uid="{929E7604-68DC-4083-B42F-51877AB98563}"/>
    <cellStyle name="Comma 4 4 2 8" xfId="2703" xr:uid="{00000000-0005-0000-0000-0000F8090000}"/>
    <cellStyle name="Comma 4 4 2 9" xfId="2785" xr:uid="{00000000-0005-0000-0000-0000F9090000}"/>
    <cellStyle name="Comma 4 4 2 9 2" xfId="7008" xr:uid="{00000000-0005-0000-0000-0000FA090000}"/>
    <cellStyle name="Comma 4 4 2 9 2 2" xfId="15458" xr:uid="{7F8C94CD-F990-4F94-9F39-EDB6ED50DFF5}"/>
    <cellStyle name="Comma 4 4 2 9 3" xfId="11240" xr:uid="{E53E4E01-10C7-4549-AC49-93EA2F025BC8}"/>
    <cellStyle name="Comma 4 4 3" xfId="156" xr:uid="{00000000-0005-0000-0000-0000FB090000}"/>
    <cellStyle name="Comma 4 4 3 10" xfId="8859" xr:uid="{E11B5F39-B41F-424D-BBCF-3E823E83FFE0}"/>
    <cellStyle name="Comma 4 4 3 2" xfId="693" xr:uid="{00000000-0005-0000-0000-0000FC090000}"/>
    <cellStyle name="Comma 4 4 3 2 2" xfId="2964" xr:uid="{00000000-0005-0000-0000-0000FD090000}"/>
    <cellStyle name="Comma 4 4 3 2 2 2" xfId="7186" xr:uid="{00000000-0005-0000-0000-0000FE090000}"/>
    <cellStyle name="Comma 4 4 3 2 2 2 2" xfId="15636" xr:uid="{A81A7156-03DE-4B9F-BBEC-BB5A57FA320D}"/>
    <cellStyle name="Comma 4 4 3 2 2 3" xfId="11418" xr:uid="{35ADCD8A-4B13-4246-A9F4-8E40EC4AA22E}"/>
    <cellStyle name="Comma 4 4 3 2 3" xfId="5041" xr:uid="{00000000-0005-0000-0000-0000FF090000}"/>
    <cellStyle name="Comma 4 4 3 2 3 2" xfId="13491" xr:uid="{63372A40-0F79-4732-9098-CA35A26910B8}"/>
    <cellStyle name="Comma 4 4 3 2 4" xfId="9273" xr:uid="{BC00ACB4-D984-43AF-8FA5-63A4099F6EBF}"/>
    <cellStyle name="Comma 4 4 3 3" xfId="1146" xr:uid="{00000000-0005-0000-0000-0000000A0000}"/>
    <cellStyle name="Comma 4 4 3 3 2" xfId="3377" xr:uid="{00000000-0005-0000-0000-0000010A0000}"/>
    <cellStyle name="Comma 4 4 3 3 2 2" xfId="7599" xr:uid="{00000000-0005-0000-0000-0000020A0000}"/>
    <cellStyle name="Comma 4 4 3 3 2 2 2" xfId="16049" xr:uid="{F6865EB0-CECC-4DD2-B9B8-D07A03D7C845}"/>
    <cellStyle name="Comma 4 4 3 3 2 3" xfId="11831" xr:uid="{52976AEF-5B04-45F5-9A99-80B6E1D52E44}"/>
    <cellStyle name="Comma 4 4 3 3 3" xfId="5454" xr:uid="{00000000-0005-0000-0000-0000030A0000}"/>
    <cellStyle name="Comma 4 4 3 3 3 2" xfId="13904" xr:uid="{A1BCB9FC-8EC9-44A3-8D8F-368590E95AC5}"/>
    <cellStyle name="Comma 4 4 3 3 4" xfId="9686" xr:uid="{C6A5BB20-2D40-4365-BC13-AF9BCD8F58EE}"/>
    <cellStyle name="Comma 4 4 3 4" xfId="1560" xr:uid="{00000000-0005-0000-0000-0000040A0000}"/>
    <cellStyle name="Comma 4 4 3 4 2" xfId="3790" xr:uid="{00000000-0005-0000-0000-0000050A0000}"/>
    <cellStyle name="Comma 4 4 3 4 2 2" xfId="8012" xr:uid="{00000000-0005-0000-0000-0000060A0000}"/>
    <cellStyle name="Comma 4 4 3 4 2 2 2" xfId="16462" xr:uid="{15C577E4-795A-41DC-A8CF-0C9DA3747C4A}"/>
    <cellStyle name="Comma 4 4 3 4 2 3" xfId="12244" xr:uid="{BD3F10CA-5BF8-484D-99A1-D87C6C432A2A}"/>
    <cellStyle name="Comma 4 4 3 4 3" xfId="5867" xr:uid="{00000000-0005-0000-0000-0000070A0000}"/>
    <cellStyle name="Comma 4 4 3 4 3 2" xfId="14317" xr:uid="{A3520E01-9556-4BE5-A9E9-318102AE77C8}"/>
    <cellStyle name="Comma 4 4 3 4 4" xfId="10099" xr:uid="{D7725746-9EF4-44C4-ADE9-265ADE2B2327}"/>
    <cellStyle name="Comma 4 4 3 5" xfId="1974" xr:uid="{00000000-0005-0000-0000-0000080A0000}"/>
    <cellStyle name="Comma 4 4 3 5 2" xfId="4203" xr:uid="{00000000-0005-0000-0000-0000090A0000}"/>
    <cellStyle name="Comma 4 4 3 5 2 2" xfId="8425" xr:uid="{00000000-0005-0000-0000-00000A0A0000}"/>
    <cellStyle name="Comma 4 4 3 5 2 2 2" xfId="16875" xr:uid="{079B1B15-3B33-4F9C-B62F-989A2BF59B2B}"/>
    <cellStyle name="Comma 4 4 3 5 2 3" xfId="12657" xr:uid="{088C520A-3567-4363-8651-E6BD702C3422}"/>
    <cellStyle name="Comma 4 4 3 5 3" xfId="6280" xr:uid="{00000000-0005-0000-0000-00000B0A0000}"/>
    <cellStyle name="Comma 4 4 3 5 3 2" xfId="14730" xr:uid="{9FE026B7-61E3-4CA4-AAC5-3E40C5B88B0A}"/>
    <cellStyle name="Comma 4 4 3 5 4" xfId="10512" xr:uid="{AA4044C9-2CE7-4A38-A9CD-BE02C4752416}"/>
    <cellStyle name="Comma 4 4 3 6" xfId="2409" xr:uid="{00000000-0005-0000-0000-00000C0A0000}"/>
    <cellStyle name="Comma 4 4 3 6 2" xfId="6693" xr:uid="{00000000-0005-0000-0000-00000D0A0000}"/>
    <cellStyle name="Comma 4 4 3 6 2 2" xfId="15143" xr:uid="{68098785-B0D6-49CF-876E-73E271342BEE}"/>
    <cellStyle name="Comma 4 4 3 6 3" xfId="10925" xr:uid="{12A7B9CB-7076-4533-94DF-5AC74085AA2D}"/>
    <cellStyle name="Comma 4 4 3 7" xfId="2705" xr:uid="{00000000-0005-0000-0000-00000E0A0000}"/>
    <cellStyle name="Comma 4 4 3 8" xfId="2787" xr:uid="{00000000-0005-0000-0000-00000F0A0000}"/>
    <cellStyle name="Comma 4 4 3 8 2" xfId="7010" xr:uid="{00000000-0005-0000-0000-0000100A0000}"/>
    <cellStyle name="Comma 4 4 3 8 2 2" xfId="15460" xr:uid="{CA2203D9-B589-4334-94EB-0386F3D1D8F9}"/>
    <cellStyle name="Comma 4 4 3 8 3" xfId="11242" xr:uid="{0660A1E7-C99C-493D-9931-288922DC7206}"/>
    <cellStyle name="Comma 4 4 3 9" xfId="4627" xr:uid="{00000000-0005-0000-0000-0000110A0000}"/>
    <cellStyle name="Comma 4 4 3 9 2" xfId="13077" xr:uid="{1A09CAAF-9996-44D0-89A7-C1453AEB0B31}"/>
    <cellStyle name="Comma 4 4 4" xfId="690" xr:uid="{00000000-0005-0000-0000-0000120A0000}"/>
    <cellStyle name="Comma 4 4 4 2" xfId="2961" xr:uid="{00000000-0005-0000-0000-0000130A0000}"/>
    <cellStyle name="Comma 4 4 4 2 2" xfId="7183" xr:uid="{00000000-0005-0000-0000-0000140A0000}"/>
    <cellStyle name="Comma 4 4 4 2 2 2" xfId="15633" xr:uid="{12982B80-B24E-462E-A492-3F3755B8C0B5}"/>
    <cellStyle name="Comma 4 4 4 2 3" xfId="11415" xr:uid="{3EE82559-9BD8-46C4-B301-D5341FB5DD0E}"/>
    <cellStyle name="Comma 4 4 4 3" xfId="5038" xr:uid="{00000000-0005-0000-0000-0000150A0000}"/>
    <cellStyle name="Comma 4 4 4 3 2" xfId="13488" xr:uid="{F5FCFCB6-5D9F-4BDC-AE46-9C9FC68D78F6}"/>
    <cellStyle name="Comma 4 4 4 4" xfId="9270" xr:uid="{F47AE2C3-D43D-4372-9E28-7D08F1390E7C}"/>
    <cellStyle name="Comma 4 4 5" xfId="1143" xr:uid="{00000000-0005-0000-0000-0000160A0000}"/>
    <cellStyle name="Comma 4 4 5 2" xfId="3374" xr:uid="{00000000-0005-0000-0000-0000170A0000}"/>
    <cellStyle name="Comma 4 4 5 2 2" xfId="7596" xr:uid="{00000000-0005-0000-0000-0000180A0000}"/>
    <cellStyle name="Comma 4 4 5 2 2 2" xfId="16046" xr:uid="{81B3F404-1B20-4CAC-9F61-F5AC8C3971E9}"/>
    <cellStyle name="Comma 4 4 5 2 3" xfId="11828" xr:uid="{094E85BC-F3C1-4B36-9BE2-3E6E797C1BCA}"/>
    <cellStyle name="Comma 4 4 5 3" xfId="5451" xr:uid="{00000000-0005-0000-0000-0000190A0000}"/>
    <cellStyle name="Comma 4 4 5 3 2" xfId="13901" xr:uid="{947E7D1A-9560-4ACD-A81F-F75421115D65}"/>
    <cellStyle name="Comma 4 4 5 4" xfId="9683" xr:uid="{A1D552FE-5A48-48E4-A542-8C80870BA039}"/>
    <cellStyle name="Comma 4 4 6" xfId="1557" xr:uid="{00000000-0005-0000-0000-00001A0A0000}"/>
    <cellStyle name="Comma 4 4 6 2" xfId="3787" xr:uid="{00000000-0005-0000-0000-00001B0A0000}"/>
    <cellStyle name="Comma 4 4 6 2 2" xfId="8009" xr:uid="{00000000-0005-0000-0000-00001C0A0000}"/>
    <cellStyle name="Comma 4 4 6 2 2 2" xfId="16459" xr:uid="{AC870ABF-F5A7-4E9C-B936-9A46D9D7FBFA}"/>
    <cellStyle name="Comma 4 4 6 2 3" xfId="12241" xr:uid="{26A52B5B-286A-4040-9B3F-9AABF05A9BCE}"/>
    <cellStyle name="Comma 4 4 6 3" xfId="5864" xr:uid="{00000000-0005-0000-0000-00001D0A0000}"/>
    <cellStyle name="Comma 4 4 6 3 2" xfId="14314" xr:uid="{101C62C3-7F99-434D-9090-DAACFBB8787A}"/>
    <cellStyle name="Comma 4 4 6 4" xfId="10096" xr:uid="{7AFE40EE-2493-4AAB-83C8-6940E2594764}"/>
    <cellStyle name="Comma 4 4 7" xfId="1971" xr:uid="{00000000-0005-0000-0000-00001E0A0000}"/>
    <cellStyle name="Comma 4 4 7 2" xfId="4200" xr:uid="{00000000-0005-0000-0000-00001F0A0000}"/>
    <cellStyle name="Comma 4 4 7 2 2" xfId="8422" xr:uid="{00000000-0005-0000-0000-0000200A0000}"/>
    <cellStyle name="Comma 4 4 7 2 2 2" xfId="16872" xr:uid="{49C99762-3B20-45BD-A7DF-0622E45C2B25}"/>
    <cellStyle name="Comma 4 4 7 2 3" xfId="12654" xr:uid="{0CC790DA-3203-46F2-9DFE-6C56320695CE}"/>
    <cellStyle name="Comma 4 4 7 3" xfId="6277" xr:uid="{00000000-0005-0000-0000-0000210A0000}"/>
    <cellStyle name="Comma 4 4 7 3 2" xfId="14727" xr:uid="{4FCECFED-0418-4719-8761-5E6BDDC3DB5B}"/>
    <cellStyle name="Comma 4 4 7 4" xfId="10509" xr:uid="{FDDC5F3B-B639-4C70-9593-8E29F86D0B08}"/>
    <cellStyle name="Comma 4 4 8" xfId="2406" xr:uid="{00000000-0005-0000-0000-0000220A0000}"/>
    <cellStyle name="Comma 4 4 8 2" xfId="6690" xr:uid="{00000000-0005-0000-0000-0000230A0000}"/>
    <cellStyle name="Comma 4 4 8 2 2" xfId="15140" xr:uid="{D6C28EC0-5F73-4112-AE55-21F5BC5E80A5}"/>
    <cellStyle name="Comma 4 4 8 3" xfId="10922" xr:uid="{D5A4923D-58F6-44CC-904D-BDA40E907982}"/>
    <cellStyle name="Comma 4 4 9" xfId="2702" xr:uid="{00000000-0005-0000-0000-0000240A0000}"/>
    <cellStyle name="Comma 4 5" xfId="157" xr:uid="{00000000-0005-0000-0000-0000250A0000}"/>
    <cellStyle name="Comma 4 5 10" xfId="4628" xr:uid="{00000000-0005-0000-0000-0000260A0000}"/>
    <cellStyle name="Comma 4 5 10 2" xfId="13078" xr:uid="{413DE3E6-E926-459C-AC87-03257188E2A5}"/>
    <cellStyle name="Comma 4 5 11" xfId="8860" xr:uid="{DDA70846-3D22-47A0-A92F-AE0B0A5EDFE3}"/>
    <cellStyle name="Comma 4 5 2" xfId="158" xr:uid="{00000000-0005-0000-0000-0000270A0000}"/>
    <cellStyle name="Comma 4 5 2 10" xfId="8861" xr:uid="{D66B3B58-F49A-4323-81FB-84A1F01E6954}"/>
    <cellStyle name="Comma 4 5 2 2" xfId="695" xr:uid="{00000000-0005-0000-0000-0000280A0000}"/>
    <cellStyle name="Comma 4 5 2 2 2" xfId="2966" xr:uid="{00000000-0005-0000-0000-0000290A0000}"/>
    <cellStyle name="Comma 4 5 2 2 2 2" xfId="7188" xr:uid="{00000000-0005-0000-0000-00002A0A0000}"/>
    <cellStyle name="Comma 4 5 2 2 2 2 2" xfId="15638" xr:uid="{624F859A-DDBA-4DE9-86DC-CAA036E0FEAB}"/>
    <cellStyle name="Comma 4 5 2 2 2 3" xfId="11420" xr:uid="{BEEDFEEA-1240-4F27-9CE4-AD8940D7BD83}"/>
    <cellStyle name="Comma 4 5 2 2 3" xfId="5043" xr:uid="{00000000-0005-0000-0000-00002B0A0000}"/>
    <cellStyle name="Comma 4 5 2 2 3 2" xfId="13493" xr:uid="{C37C66C0-B9CB-4008-BE57-B9253A6F9DC6}"/>
    <cellStyle name="Comma 4 5 2 2 4" xfId="9275" xr:uid="{520ABA3D-05A1-4DE7-A99C-2D8C77CB06EE}"/>
    <cellStyle name="Comma 4 5 2 3" xfId="1148" xr:uid="{00000000-0005-0000-0000-00002C0A0000}"/>
    <cellStyle name="Comma 4 5 2 3 2" xfId="3379" xr:uid="{00000000-0005-0000-0000-00002D0A0000}"/>
    <cellStyle name="Comma 4 5 2 3 2 2" xfId="7601" xr:uid="{00000000-0005-0000-0000-00002E0A0000}"/>
    <cellStyle name="Comma 4 5 2 3 2 2 2" xfId="16051" xr:uid="{8B863AF8-846F-4383-9A69-DD15630AF9F7}"/>
    <cellStyle name="Comma 4 5 2 3 2 3" xfId="11833" xr:uid="{662FC404-2190-4ABA-AE4E-015E04910325}"/>
    <cellStyle name="Comma 4 5 2 3 3" xfId="5456" xr:uid="{00000000-0005-0000-0000-00002F0A0000}"/>
    <cellStyle name="Comma 4 5 2 3 3 2" xfId="13906" xr:uid="{756DE5D1-2871-430C-960B-B44F41DCEF7D}"/>
    <cellStyle name="Comma 4 5 2 3 4" xfId="9688" xr:uid="{6F6A796D-2EF3-4AA3-B344-0F8AC6150016}"/>
    <cellStyle name="Comma 4 5 2 4" xfId="1562" xr:uid="{00000000-0005-0000-0000-0000300A0000}"/>
    <cellStyle name="Comma 4 5 2 4 2" xfId="3792" xr:uid="{00000000-0005-0000-0000-0000310A0000}"/>
    <cellStyle name="Comma 4 5 2 4 2 2" xfId="8014" xr:uid="{00000000-0005-0000-0000-0000320A0000}"/>
    <cellStyle name="Comma 4 5 2 4 2 2 2" xfId="16464" xr:uid="{77A8A950-4898-46DF-A20A-453489CA4521}"/>
    <cellStyle name="Comma 4 5 2 4 2 3" xfId="12246" xr:uid="{3180D920-5EAE-42EC-92E1-DB3EAC980544}"/>
    <cellStyle name="Comma 4 5 2 4 3" xfId="5869" xr:uid="{00000000-0005-0000-0000-0000330A0000}"/>
    <cellStyle name="Comma 4 5 2 4 3 2" xfId="14319" xr:uid="{EFB1D19A-A457-4CD0-83D9-D1867C7A5810}"/>
    <cellStyle name="Comma 4 5 2 4 4" xfId="10101" xr:uid="{22382D6E-1BBB-428E-B7E1-A318CA1FB56C}"/>
    <cellStyle name="Comma 4 5 2 5" xfId="1976" xr:uid="{00000000-0005-0000-0000-0000340A0000}"/>
    <cellStyle name="Comma 4 5 2 5 2" xfId="4205" xr:uid="{00000000-0005-0000-0000-0000350A0000}"/>
    <cellStyle name="Comma 4 5 2 5 2 2" xfId="8427" xr:uid="{00000000-0005-0000-0000-0000360A0000}"/>
    <cellStyle name="Comma 4 5 2 5 2 2 2" xfId="16877" xr:uid="{23F2D20B-BF98-4D3B-8156-03F53C12C5B7}"/>
    <cellStyle name="Comma 4 5 2 5 2 3" xfId="12659" xr:uid="{19610FD4-645C-4C23-BA7B-0D669D628080}"/>
    <cellStyle name="Comma 4 5 2 5 3" xfId="6282" xr:uid="{00000000-0005-0000-0000-0000370A0000}"/>
    <cellStyle name="Comma 4 5 2 5 3 2" xfId="14732" xr:uid="{390B0DBA-4973-4999-B6CE-98C544CBCAFE}"/>
    <cellStyle name="Comma 4 5 2 5 4" xfId="10514" xr:uid="{2EB8AAF5-AE8A-4E5E-9259-0D64678CC871}"/>
    <cellStyle name="Comma 4 5 2 6" xfId="2411" xr:uid="{00000000-0005-0000-0000-0000380A0000}"/>
    <cellStyle name="Comma 4 5 2 6 2" xfId="6695" xr:uid="{00000000-0005-0000-0000-0000390A0000}"/>
    <cellStyle name="Comma 4 5 2 6 2 2" xfId="15145" xr:uid="{B26CC128-4326-4356-9968-AF9CBF8562F0}"/>
    <cellStyle name="Comma 4 5 2 6 3" xfId="10927" xr:uid="{A81774F4-CCDD-4074-9C32-2C4437EFC85B}"/>
    <cellStyle name="Comma 4 5 2 7" xfId="2707" xr:uid="{00000000-0005-0000-0000-00003A0A0000}"/>
    <cellStyle name="Comma 4 5 2 8" xfId="2789" xr:uid="{00000000-0005-0000-0000-00003B0A0000}"/>
    <cellStyle name="Comma 4 5 2 8 2" xfId="7012" xr:uid="{00000000-0005-0000-0000-00003C0A0000}"/>
    <cellStyle name="Comma 4 5 2 8 2 2" xfId="15462" xr:uid="{05C6A628-234C-4336-898D-3F849276F2EA}"/>
    <cellStyle name="Comma 4 5 2 8 3" xfId="11244" xr:uid="{ACF402D4-503E-4C5D-B8DA-B29770896E0A}"/>
    <cellStyle name="Comma 4 5 2 9" xfId="4629" xr:uid="{00000000-0005-0000-0000-00003D0A0000}"/>
    <cellStyle name="Comma 4 5 2 9 2" xfId="13079" xr:uid="{804B2C66-EB8D-48F4-9E1A-FEB803273915}"/>
    <cellStyle name="Comma 4 5 3" xfId="694" xr:uid="{00000000-0005-0000-0000-00003E0A0000}"/>
    <cellStyle name="Comma 4 5 3 2" xfId="2965" xr:uid="{00000000-0005-0000-0000-00003F0A0000}"/>
    <cellStyle name="Comma 4 5 3 2 2" xfId="7187" xr:uid="{00000000-0005-0000-0000-0000400A0000}"/>
    <cellStyle name="Comma 4 5 3 2 2 2" xfId="15637" xr:uid="{51145FF9-BCB2-4CBE-8BB8-37B65CCF81AD}"/>
    <cellStyle name="Comma 4 5 3 2 3" xfId="11419" xr:uid="{EA9E47E2-1A9B-4034-96BD-C534ABEF5CBF}"/>
    <cellStyle name="Comma 4 5 3 3" xfId="5042" xr:uid="{00000000-0005-0000-0000-0000410A0000}"/>
    <cellStyle name="Comma 4 5 3 3 2" xfId="13492" xr:uid="{590CF889-928B-4AAE-B55B-D0DE0791D88C}"/>
    <cellStyle name="Comma 4 5 3 4" xfId="9274" xr:uid="{DCF19561-094D-48AC-B650-E06D07CEEF57}"/>
    <cellStyle name="Comma 4 5 4" xfId="1147" xr:uid="{00000000-0005-0000-0000-0000420A0000}"/>
    <cellStyle name="Comma 4 5 4 2" xfId="3378" xr:uid="{00000000-0005-0000-0000-0000430A0000}"/>
    <cellStyle name="Comma 4 5 4 2 2" xfId="7600" xr:uid="{00000000-0005-0000-0000-0000440A0000}"/>
    <cellStyle name="Comma 4 5 4 2 2 2" xfId="16050" xr:uid="{BCD4CB63-6CC5-4DB4-AC2F-746D43E9C34D}"/>
    <cellStyle name="Comma 4 5 4 2 3" xfId="11832" xr:uid="{2A384DB0-2F50-46C1-AE90-AB93E64DB858}"/>
    <cellStyle name="Comma 4 5 4 3" xfId="5455" xr:uid="{00000000-0005-0000-0000-0000450A0000}"/>
    <cellStyle name="Comma 4 5 4 3 2" xfId="13905" xr:uid="{43C78F38-8E92-4526-8E7C-1018BE2CA0ED}"/>
    <cellStyle name="Comma 4 5 4 4" xfId="9687" xr:uid="{AF386952-41F8-42EB-826C-106982E7341F}"/>
    <cellStyle name="Comma 4 5 5" xfId="1561" xr:uid="{00000000-0005-0000-0000-0000460A0000}"/>
    <cellStyle name="Comma 4 5 5 2" xfId="3791" xr:uid="{00000000-0005-0000-0000-0000470A0000}"/>
    <cellStyle name="Comma 4 5 5 2 2" xfId="8013" xr:uid="{00000000-0005-0000-0000-0000480A0000}"/>
    <cellStyle name="Comma 4 5 5 2 2 2" xfId="16463" xr:uid="{54606DD0-1936-43D8-9326-D6A78811B299}"/>
    <cellStyle name="Comma 4 5 5 2 3" xfId="12245" xr:uid="{821755B5-7343-4030-B779-4AFEEAEAB30A}"/>
    <cellStyle name="Comma 4 5 5 3" xfId="5868" xr:uid="{00000000-0005-0000-0000-0000490A0000}"/>
    <cellStyle name="Comma 4 5 5 3 2" xfId="14318" xr:uid="{59E35C9A-EF85-40D9-855C-B78E58B5353A}"/>
    <cellStyle name="Comma 4 5 5 4" xfId="10100" xr:uid="{D4CF9468-EC76-44F1-A98F-44D22D67280E}"/>
    <cellStyle name="Comma 4 5 6" xfId="1975" xr:uid="{00000000-0005-0000-0000-00004A0A0000}"/>
    <cellStyle name="Comma 4 5 6 2" xfId="4204" xr:uid="{00000000-0005-0000-0000-00004B0A0000}"/>
    <cellStyle name="Comma 4 5 6 2 2" xfId="8426" xr:uid="{00000000-0005-0000-0000-00004C0A0000}"/>
    <cellStyle name="Comma 4 5 6 2 2 2" xfId="16876" xr:uid="{54120A9B-459D-477E-A69C-329A0BA122EC}"/>
    <cellStyle name="Comma 4 5 6 2 3" xfId="12658" xr:uid="{4496141D-94AF-4037-8278-0BFE7338F0D0}"/>
    <cellStyle name="Comma 4 5 6 3" xfId="6281" xr:uid="{00000000-0005-0000-0000-00004D0A0000}"/>
    <cellStyle name="Comma 4 5 6 3 2" xfId="14731" xr:uid="{AFE91911-ABEE-4D20-B47E-A8DBCB8D75E2}"/>
    <cellStyle name="Comma 4 5 6 4" xfId="10513" xr:uid="{2B2C7634-30AD-42CC-849F-4AE53A55633C}"/>
    <cellStyle name="Comma 4 5 7" xfId="2410" xr:uid="{00000000-0005-0000-0000-00004E0A0000}"/>
    <cellStyle name="Comma 4 5 7 2" xfId="6694" xr:uid="{00000000-0005-0000-0000-00004F0A0000}"/>
    <cellStyle name="Comma 4 5 7 2 2" xfId="15144" xr:uid="{DC1B1FA3-619D-40B9-8806-17E8401A926D}"/>
    <cellStyle name="Comma 4 5 7 3" xfId="10926" xr:uid="{E3C14E2C-7542-4FE8-B2B7-D02F1A1F0D62}"/>
    <cellStyle name="Comma 4 5 8" xfId="2706" xr:uid="{00000000-0005-0000-0000-0000500A0000}"/>
    <cellStyle name="Comma 4 5 9" xfId="2788" xr:uid="{00000000-0005-0000-0000-0000510A0000}"/>
    <cellStyle name="Comma 4 5 9 2" xfId="7011" xr:uid="{00000000-0005-0000-0000-0000520A0000}"/>
    <cellStyle name="Comma 4 5 9 2 2" xfId="15461" xr:uid="{0EBE5DC3-43ED-46FF-89C2-290312E836B2}"/>
    <cellStyle name="Comma 4 5 9 3" xfId="11243" xr:uid="{FC9AF3BB-E2D1-4FB3-A510-C3236F939709}"/>
    <cellStyle name="Comma 4 6" xfId="159" xr:uid="{00000000-0005-0000-0000-0000530A0000}"/>
    <cellStyle name="Comma 4 6 10" xfId="8862" xr:uid="{5F84D081-C2D3-475F-A933-229F83704794}"/>
    <cellStyle name="Comma 4 6 2" xfId="696" xr:uid="{00000000-0005-0000-0000-0000540A0000}"/>
    <cellStyle name="Comma 4 6 2 2" xfId="2967" xr:uid="{00000000-0005-0000-0000-0000550A0000}"/>
    <cellStyle name="Comma 4 6 2 2 2" xfId="7189" xr:uid="{00000000-0005-0000-0000-0000560A0000}"/>
    <cellStyle name="Comma 4 6 2 2 2 2" xfId="15639" xr:uid="{7C1136AC-3D27-4688-8571-1F8BC91FC0F2}"/>
    <cellStyle name="Comma 4 6 2 2 3" xfId="11421" xr:uid="{223253AA-A721-409A-B147-9573067B036D}"/>
    <cellStyle name="Comma 4 6 2 3" xfId="5044" xr:uid="{00000000-0005-0000-0000-0000570A0000}"/>
    <cellStyle name="Comma 4 6 2 3 2" xfId="13494" xr:uid="{8FDCFFF0-5062-4870-8042-6A89055797A2}"/>
    <cellStyle name="Comma 4 6 2 4" xfId="9276" xr:uid="{195CEE63-A06B-441E-89C2-BF2949BFAEA7}"/>
    <cellStyle name="Comma 4 6 3" xfId="1149" xr:uid="{00000000-0005-0000-0000-0000580A0000}"/>
    <cellStyle name="Comma 4 6 3 2" xfId="3380" xr:uid="{00000000-0005-0000-0000-0000590A0000}"/>
    <cellStyle name="Comma 4 6 3 2 2" xfId="7602" xr:uid="{00000000-0005-0000-0000-00005A0A0000}"/>
    <cellStyle name="Comma 4 6 3 2 2 2" xfId="16052" xr:uid="{EC8D0895-490F-4273-AD89-5D86E5F44ADB}"/>
    <cellStyle name="Comma 4 6 3 2 3" xfId="11834" xr:uid="{AC1A2CD9-39BA-4DAA-9D29-2B15F59B0BD3}"/>
    <cellStyle name="Comma 4 6 3 3" xfId="5457" xr:uid="{00000000-0005-0000-0000-00005B0A0000}"/>
    <cellStyle name="Comma 4 6 3 3 2" xfId="13907" xr:uid="{7EA36CC4-D38D-412B-B641-4FA26C8E827D}"/>
    <cellStyle name="Comma 4 6 3 4" xfId="9689" xr:uid="{8EA6A1DD-9038-44D7-8539-20CCF2DFEDCB}"/>
    <cellStyle name="Comma 4 6 4" xfId="1563" xr:uid="{00000000-0005-0000-0000-00005C0A0000}"/>
    <cellStyle name="Comma 4 6 4 2" xfId="3793" xr:uid="{00000000-0005-0000-0000-00005D0A0000}"/>
    <cellStyle name="Comma 4 6 4 2 2" xfId="8015" xr:uid="{00000000-0005-0000-0000-00005E0A0000}"/>
    <cellStyle name="Comma 4 6 4 2 2 2" xfId="16465" xr:uid="{8D7F8763-4444-433F-BC6E-450BC8D8D7C8}"/>
    <cellStyle name="Comma 4 6 4 2 3" xfId="12247" xr:uid="{83C925C7-2534-4662-911D-EBD22745CC83}"/>
    <cellStyle name="Comma 4 6 4 3" xfId="5870" xr:uid="{00000000-0005-0000-0000-00005F0A0000}"/>
    <cellStyle name="Comma 4 6 4 3 2" xfId="14320" xr:uid="{0459BE3A-FB20-4A1A-AE4E-171AB9425D9E}"/>
    <cellStyle name="Comma 4 6 4 4" xfId="10102" xr:uid="{3AF3D8F1-A264-4674-B0DA-ED6FB322521F}"/>
    <cellStyle name="Comma 4 6 5" xfId="1977" xr:uid="{00000000-0005-0000-0000-0000600A0000}"/>
    <cellStyle name="Comma 4 6 5 2" xfId="4206" xr:uid="{00000000-0005-0000-0000-0000610A0000}"/>
    <cellStyle name="Comma 4 6 5 2 2" xfId="8428" xr:uid="{00000000-0005-0000-0000-0000620A0000}"/>
    <cellStyle name="Comma 4 6 5 2 2 2" xfId="16878" xr:uid="{B29CBB62-78EA-4AE4-AFAF-1A8B2A667180}"/>
    <cellStyle name="Comma 4 6 5 2 3" xfId="12660" xr:uid="{F2686138-97AE-439B-A198-36EEDFCFA086}"/>
    <cellStyle name="Comma 4 6 5 3" xfId="6283" xr:uid="{00000000-0005-0000-0000-0000630A0000}"/>
    <cellStyle name="Comma 4 6 5 3 2" xfId="14733" xr:uid="{23CBBB21-A601-4467-B951-F1815B5461BB}"/>
    <cellStyle name="Comma 4 6 5 4" xfId="10515" xr:uid="{44C070D3-CE41-40E2-BD30-D68141AADB67}"/>
    <cellStyle name="Comma 4 6 6" xfId="2412" xr:uid="{00000000-0005-0000-0000-0000640A0000}"/>
    <cellStyle name="Comma 4 6 6 2" xfId="6696" xr:uid="{00000000-0005-0000-0000-0000650A0000}"/>
    <cellStyle name="Comma 4 6 6 2 2" xfId="15146" xr:uid="{D5483849-455B-40AA-9B5C-597A03AF17BA}"/>
    <cellStyle name="Comma 4 6 6 3" xfId="10928" xr:uid="{0D3B435F-889E-41F4-99C2-BAF0411EB164}"/>
    <cellStyle name="Comma 4 6 7" xfId="2708" xr:uid="{00000000-0005-0000-0000-0000660A0000}"/>
    <cellStyle name="Comma 4 6 8" xfId="2790" xr:uid="{00000000-0005-0000-0000-0000670A0000}"/>
    <cellStyle name="Comma 4 6 8 2" xfId="7013" xr:uid="{00000000-0005-0000-0000-0000680A0000}"/>
    <cellStyle name="Comma 4 6 8 2 2" xfId="15463" xr:uid="{C9C5E984-B3CC-4709-8BA7-14387B55968B}"/>
    <cellStyle name="Comma 4 6 8 3" xfId="11245" xr:uid="{229EAB52-C370-456A-8B5F-BA1802F261A5}"/>
    <cellStyle name="Comma 4 6 9" xfId="4630" xr:uid="{00000000-0005-0000-0000-0000690A0000}"/>
    <cellStyle name="Comma 4 6 9 2" xfId="13080" xr:uid="{35598488-DB67-4156-B454-68C8C3315266}"/>
    <cellStyle name="Comma 4 7" xfId="160" xr:uid="{00000000-0005-0000-0000-00006A0A0000}"/>
    <cellStyle name="Comma 4 7 10" xfId="8863" xr:uid="{804973F7-BFD8-473A-9C2C-CAE4CC81E2B0}"/>
    <cellStyle name="Comma 4 7 2" xfId="697" xr:uid="{00000000-0005-0000-0000-00006B0A0000}"/>
    <cellStyle name="Comma 4 7 2 2" xfId="2968" xr:uid="{00000000-0005-0000-0000-00006C0A0000}"/>
    <cellStyle name="Comma 4 7 2 2 2" xfId="7190" xr:uid="{00000000-0005-0000-0000-00006D0A0000}"/>
    <cellStyle name="Comma 4 7 2 2 2 2" xfId="15640" xr:uid="{99DAD7C3-9190-4EC4-BEB2-5C2EDF2847EB}"/>
    <cellStyle name="Comma 4 7 2 2 3" xfId="11422" xr:uid="{D2EFF320-C005-4CE4-B6CD-484B596DFA47}"/>
    <cellStyle name="Comma 4 7 2 3" xfId="5045" xr:uid="{00000000-0005-0000-0000-00006E0A0000}"/>
    <cellStyle name="Comma 4 7 2 3 2" xfId="13495" xr:uid="{76077F8E-2CB2-42B3-98CB-B17D018E8756}"/>
    <cellStyle name="Comma 4 7 2 4" xfId="9277" xr:uid="{52E61B9B-EED6-44ED-A5B0-04AC1D89CB06}"/>
    <cellStyle name="Comma 4 7 3" xfId="1150" xr:uid="{00000000-0005-0000-0000-00006F0A0000}"/>
    <cellStyle name="Comma 4 7 3 2" xfId="3381" xr:uid="{00000000-0005-0000-0000-0000700A0000}"/>
    <cellStyle name="Comma 4 7 3 2 2" xfId="7603" xr:uid="{00000000-0005-0000-0000-0000710A0000}"/>
    <cellStyle name="Comma 4 7 3 2 2 2" xfId="16053" xr:uid="{942BDEF1-9DD0-4F42-B3B9-F44868D394CB}"/>
    <cellStyle name="Comma 4 7 3 2 3" xfId="11835" xr:uid="{192E229A-106E-477F-A016-4FA61D4676BA}"/>
    <cellStyle name="Comma 4 7 3 3" xfId="5458" xr:uid="{00000000-0005-0000-0000-0000720A0000}"/>
    <cellStyle name="Comma 4 7 3 3 2" xfId="13908" xr:uid="{C3A6AAAE-DE22-44CD-8503-37679F92B0C1}"/>
    <cellStyle name="Comma 4 7 3 4" xfId="9690" xr:uid="{BD23C891-4802-4C21-A14D-02A754BAE213}"/>
    <cellStyle name="Comma 4 7 4" xfId="1564" xr:uid="{00000000-0005-0000-0000-0000730A0000}"/>
    <cellStyle name="Comma 4 7 4 2" xfId="3794" xr:uid="{00000000-0005-0000-0000-0000740A0000}"/>
    <cellStyle name="Comma 4 7 4 2 2" xfId="8016" xr:uid="{00000000-0005-0000-0000-0000750A0000}"/>
    <cellStyle name="Comma 4 7 4 2 2 2" xfId="16466" xr:uid="{9AB20277-FC74-45C1-A168-2351780BBB33}"/>
    <cellStyle name="Comma 4 7 4 2 3" xfId="12248" xr:uid="{0CFE5A7F-08A1-4EFD-8F39-9F70826352CF}"/>
    <cellStyle name="Comma 4 7 4 3" xfId="5871" xr:uid="{00000000-0005-0000-0000-0000760A0000}"/>
    <cellStyle name="Comma 4 7 4 3 2" xfId="14321" xr:uid="{18967440-2C71-409A-AB4E-D92C63ED49DA}"/>
    <cellStyle name="Comma 4 7 4 4" xfId="10103" xr:uid="{E6CEB81C-22B2-45AB-89AD-4B62E34874CF}"/>
    <cellStyle name="Comma 4 7 5" xfId="1978" xr:uid="{00000000-0005-0000-0000-0000770A0000}"/>
    <cellStyle name="Comma 4 7 5 2" xfId="4207" xr:uid="{00000000-0005-0000-0000-0000780A0000}"/>
    <cellStyle name="Comma 4 7 5 2 2" xfId="8429" xr:uid="{00000000-0005-0000-0000-0000790A0000}"/>
    <cellStyle name="Comma 4 7 5 2 2 2" xfId="16879" xr:uid="{75E26BC2-CE22-41B4-9F59-B503EA206244}"/>
    <cellStyle name="Comma 4 7 5 2 3" xfId="12661" xr:uid="{EAD41290-F945-4FA3-8994-0521AC8054A7}"/>
    <cellStyle name="Comma 4 7 5 3" xfId="6284" xr:uid="{00000000-0005-0000-0000-00007A0A0000}"/>
    <cellStyle name="Comma 4 7 5 3 2" xfId="14734" xr:uid="{F0EA627E-97F6-476A-B985-0B0515559E9D}"/>
    <cellStyle name="Comma 4 7 5 4" xfId="10516" xr:uid="{F126C89F-A4F0-41F0-927B-FB0EA3D23684}"/>
    <cellStyle name="Comma 4 7 6" xfId="2413" xr:uid="{00000000-0005-0000-0000-00007B0A0000}"/>
    <cellStyle name="Comma 4 7 6 2" xfId="6697" xr:uid="{00000000-0005-0000-0000-00007C0A0000}"/>
    <cellStyle name="Comma 4 7 6 2 2" xfId="15147" xr:uid="{1DF071C9-3868-4FE7-9B91-55EA9000C32F}"/>
    <cellStyle name="Comma 4 7 6 3" xfId="10929" xr:uid="{4F05FA30-F067-4495-85BA-16692446729B}"/>
    <cellStyle name="Comma 4 7 7" xfId="2709" xr:uid="{00000000-0005-0000-0000-00007D0A0000}"/>
    <cellStyle name="Comma 4 7 8" xfId="2791" xr:uid="{00000000-0005-0000-0000-00007E0A0000}"/>
    <cellStyle name="Comma 4 7 8 2" xfId="7014" xr:uid="{00000000-0005-0000-0000-00007F0A0000}"/>
    <cellStyle name="Comma 4 7 8 2 2" xfId="15464" xr:uid="{99B45C09-F5A3-46D0-85A2-FC5F7E29B0DA}"/>
    <cellStyle name="Comma 4 7 8 3" xfId="11246" xr:uid="{96DB8959-54F1-498A-8AFE-B000D1A21804}"/>
    <cellStyle name="Comma 4 7 9" xfId="4631" xr:uid="{00000000-0005-0000-0000-0000800A0000}"/>
    <cellStyle name="Comma 4 7 9 2" xfId="13081" xr:uid="{70E1A653-D802-452B-B74E-AF25E334C195}"/>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9" xr:uid="{255128BF-A522-4999-B51B-4B9579E5BF55}"/>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17166" xr:uid="{58019A62-7F75-4CFB-A9B6-5AF1E185ACDE}"/>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2 2 2" xfId="17182" xr:uid="{A040912C-7DC3-4830-A85C-C6175EFC6FB0}"/>
    <cellStyle name="Currency 14 3 2 2 2 3" xfId="17179" xr:uid="{1436E68A-97A3-4B2D-BB4A-28508B89E6A2}"/>
    <cellStyle name="Currency 14 3 2 2 3" xfId="17175" xr:uid="{12F833C9-E8DA-4332-AE61-A9F9F8275609}"/>
    <cellStyle name="Currency 14 3 2 3" xfId="17172" xr:uid="{1BDD563A-0872-487D-98F5-D93BA82B7984}"/>
    <cellStyle name="Currency 14 3 3" xfId="17169" xr:uid="{DBCA6467-A7D0-46CA-8ED7-B37DCA641F6C}"/>
    <cellStyle name="Currency 14 4" xfId="12952" xr:uid="{243433DA-DC2A-4C1B-9E27-FC98AAF62379}"/>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15465" xr:uid="{35443615-7D87-4E24-83B4-B19E03E4E063}"/>
    <cellStyle name="Currency 3 2 2 10 3" xfId="11247" xr:uid="{B1EA8627-D8CD-401D-A325-CEAB533DAED8}"/>
    <cellStyle name="Currency 3 2 2 11" xfId="4632" xr:uid="{00000000-0005-0000-0000-0000A50A0000}"/>
    <cellStyle name="Currency 3 2 2 11 2" xfId="13082" xr:uid="{C790A4CB-CE8B-4148-8464-AD59AFD09C9E}"/>
    <cellStyle name="Currency 3 2 2 12" xfId="8864" xr:uid="{04277BEA-E329-4E15-A91A-FB56D12C4554}"/>
    <cellStyle name="Currency 3 2 2 2" xfId="179" xr:uid="{00000000-0005-0000-0000-0000A60A0000}"/>
    <cellStyle name="Currency 3 2 2 2 10" xfId="4633" xr:uid="{00000000-0005-0000-0000-0000A70A0000}"/>
    <cellStyle name="Currency 3 2 2 2 10 2" xfId="13083" xr:uid="{5FD76925-9D0D-4A9E-9C77-A4F1855A0DD8}"/>
    <cellStyle name="Currency 3 2 2 2 11" xfId="8865" xr:uid="{6BBEA941-C913-4F6A-B5EB-50F2ADEB0B73}"/>
    <cellStyle name="Currency 3 2 2 2 2" xfId="180" xr:uid="{00000000-0005-0000-0000-0000A80A0000}"/>
    <cellStyle name="Currency 3 2 2 2 2 10" xfId="8866" xr:uid="{51E27794-9199-44E2-A35B-A2A15301C45E}"/>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15643" xr:uid="{5B486CC8-9D14-45DB-948D-2663E29EA443}"/>
    <cellStyle name="Currency 3 2 2 2 2 2 2 3" xfId="11425" xr:uid="{A7DE0AD4-A05B-4775-9FA0-D501F65B0B9C}"/>
    <cellStyle name="Currency 3 2 2 2 2 2 3" xfId="5048" xr:uid="{00000000-0005-0000-0000-0000AC0A0000}"/>
    <cellStyle name="Currency 3 2 2 2 2 2 3 2" xfId="13498" xr:uid="{FAC72414-B3A0-4132-9ECF-07E479E1789E}"/>
    <cellStyle name="Currency 3 2 2 2 2 2 4" xfId="9280" xr:uid="{270DECAB-919E-442C-A07D-A7C5275CE7AC}"/>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16056" xr:uid="{FD30B60E-BE6F-4CAB-8C15-646BED4EF1B5}"/>
    <cellStyle name="Currency 3 2 2 2 2 3 2 3" xfId="11838" xr:uid="{3CF4B710-35E4-4EC9-87F2-7904619B8A76}"/>
    <cellStyle name="Currency 3 2 2 2 2 3 3" xfId="5461" xr:uid="{00000000-0005-0000-0000-0000B00A0000}"/>
    <cellStyle name="Currency 3 2 2 2 2 3 3 2" xfId="13911" xr:uid="{11374BCF-CBB3-4419-B66E-45AFD2384C4D}"/>
    <cellStyle name="Currency 3 2 2 2 2 3 4" xfId="9693" xr:uid="{7B3F4194-EFD4-49B5-A1D9-922EC9B4FBBB}"/>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16469" xr:uid="{866796A2-B9F7-464A-ACCC-B1018EE8B8E0}"/>
    <cellStyle name="Currency 3 2 2 2 2 4 2 3" xfId="12251" xr:uid="{7A748BFC-4813-4B53-88A6-7026EF957F16}"/>
    <cellStyle name="Currency 3 2 2 2 2 4 3" xfId="5874" xr:uid="{00000000-0005-0000-0000-0000B40A0000}"/>
    <cellStyle name="Currency 3 2 2 2 2 4 3 2" xfId="14324" xr:uid="{330221A8-48CA-40D3-930D-AFA6829DCDBF}"/>
    <cellStyle name="Currency 3 2 2 2 2 4 4" xfId="10106" xr:uid="{EAB71D8D-1CD8-4A3A-8DF1-C77722BF2A4F}"/>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16882" xr:uid="{85D94F7C-3548-4081-84A4-8991B2635F4D}"/>
    <cellStyle name="Currency 3 2 2 2 2 5 2 3" xfId="12664" xr:uid="{B61F06E4-ABB2-489E-ADE5-9DFBCD9C8879}"/>
    <cellStyle name="Currency 3 2 2 2 2 5 3" xfId="6287" xr:uid="{00000000-0005-0000-0000-0000B80A0000}"/>
    <cellStyle name="Currency 3 2 2 2 2 5 3 2" xfId="14737" xr:uid="{0212FE30-2FC0-41E5-9A40-906FEEA89750}"/>
    <cellStyle name="Currency 3 2 2 2 2 5 4" xfId="10519" xr:uid="{F1245697-22B1-4CDC-9819-F479F7E04E48}"/>
    <cellStyle name="Currency 3 2 2 2 2 6" xfId="2416" xr:uid="{00000000-0005-0000-0000-0000B90A0000}"/>
    <cellStyle name="Currency 3 2 2 2 2 6 2" xfId="6700" xr:uid="{00000000-0005-0000-0000-0000BA0A0000}"/>
    <cellStyle name="Currency 3 2 2 2 2 6 2 2" xfId="15150" xr:uid="{E6AA2467-FAAA-4D27-A417-FD7A3B6B18F7}"/>
    <cellStyle name="Currency 3 2 2 2 2 6 3" xfId="10932" xr:uid="{7143AFDE-DCBF-4E8B-8D04-11F0C5DCF3AA}"/>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15467" xr:uid="{97C77494-BC6F-4985-9CF0-602B57BE9EF8}"/>
    <cellStyle name="Currency 3 2 2 2 2 8 3" xfId="11249" xr:uid="{1BBD776A-7329-430F-AA3C-994DC6BBEC26}"/>
    <cellStyle name="Currency 3 2 2 2 2 9" xfId="4634" xr:uid="{00000000-0005-0000-0000-0000BE0A0000}"/>
    <cellStyle name="Currency 3 2 2 2 2 9 2" xfId="13084" xr:uid="{62DA2033-2F9E-447C-B234-88360A0AA854}"/>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15642" xr:uid="{719057A6-492F-441F-BA6C-F15FB65ADBC9}"/>
    <cellStyle name="Currency 3 2 2 2 3 2 3" xfId="11424" xr:uid="{06A09BED-0CD3-45AF-896E-B0D71CED95AE}"/>
    <cellStyle name="Currency 3 2 2 2 3 3" xfId="5047" xr:uid="{00000000-0005-0000-0000-0000C20A0000}"/>
    <cellStyle name="Currency 3 2 2 2 3 3 2" xfId="13497" xr:uid="{76970FBB-72C1-4470-ACE6-6B7EBD10A6D5}"/>
    <cellStyle name="Currency 3 2 2 2 3 4" xfId="9279" xr:uid="{8BB8FBB9-558B-4324-82C1-ADC816C9AC56}"/>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16055" xr:uid="{0DA209D3-F612-430A-B077-C7B71FEEAF74}"/>
    <cellStyle name="Currency 3 2 2 2 4 2 3" xfId="11837" xr:uid="{C4DAC87F-3DC2-4D97-BF89-A95D25E6E604}"/>
    <cellStyle name="Currency 3 2 2 2 4 3" xfId="5460" xr:uid="{00000000-0005-0000-0000-0000C60A0000}"/>
    <cellStyle name="Currency 3 2 2 2 4 3 2" xfId="13910" xr:uid="{B1CF06CC-3877-4B4A-8D7B-A566F7C735FC}"/>
    <cellStyle name="Currency 3 2 2 2 4 4" xfId="9692" xr:uid="{11887410-DE2F-4D96-AEC1-1D001F8A661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16468" xr:uid="{E6D61C26-B516-4C20-B5A9-CEF7116DF7A4}"/>
    <cellStyle name="Currency 3 2 2 2 5 2 3" xfId="12250" xr:uid="{B9DE1D9E-EB28-48B4-98F5-F84AE8203C1A}"/>
    <cellStyle name="Currency 3 2 2 2 5 3" xfId="5873" xr:uid="{00000000-0005-0000-0000-0000CA0A0000}"/>
    <cellStyle name="Currency 3 2 2 2 5 3 2" xfId="14323" xr:uid="{0ADC521A-528A-4043-BE19-CBFA54BFAACF}"/>
    <cellStyle name="Currency 3 2 2 2 5 4" xfId="10105" xr:uid="{4A9186B6-7342-4268-AA88-303678B196FC}"/>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16881" xr:uid="{A624A192-E312-472E-B836-92E9E3297C2C}"/>
    <cellStyle name="Currency 3 2 2 2 6 2 3" xfId="12663" xr:uid="{91C195DD-2EA3-45AF-8608-851087256FB8}"/>
    <cellStyle name="Currency 3 2 2 2 6 3" xfId="6286" xr:uid="{00000000-0005-0000-0000-0000CE0A0000}"/>
    <cellStyle name="Currency 3 2 2 2 6 3 2" xfId="14736" xr:uid="{EEF5E6C6-5297-4A31-908E-EC7F35D355BF}"/>
    <cellStyle name="Currency 3 2 2 2 6 4" xfId="10518" xr:uid="{3C7090FF-DD1C-475B-9B58-C99081A084A0}"/>
    <cellStyle name="Currency 3 2 2 2 7" xfId="2415" xr:uid="{00000000-0005-0000-0000-0000CF0A0000}"/>
    <cellStyle name="Currency 3 2 2 2 7 2" xfId="6699" xr:uid="{00000000-0005-0000-0000-0000D00A0000}"/>
    <cellStyle name="Currency 3 2 2 2 7 2 2" xfId="15149" xr:uid="{BD8E9B58-58B1-4C11-B50D-C27F461B2014}"/>
    <cellStyle name="Currency 3 2 2 2 7 3" xfId="10931" xr:uid="{DC43D58F-14AE-4611-AB39-450F8452D70E}"/>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15466" xr:uid="{DD043B7D-7B1D-48C1-990B-432D1228A22C}"/>
    <cellStyle name="Currency 3 2 2 2 9 3" xfId="11248" xr:uid="{DD18E069-00AE-44C9-81FF-5016E8FB76A6}"/>
    <cellStyle name="Currency 3 2 2 3" xfId="181" xr:uid="{00000000-0005-0000-0000-0000D40A0000}"/>
    <cellStyle name="Currency 3 2 2 3 10" xfId="8867" xr:uid="{474353D4-0B78-4681-B94F-BBC7E69D97B5}"/>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15644" xr:uid="{ECCE8F54-FC35-4928-ADEC-CFC4E466591F}"/>
    <cellStyle name="Currency 3 2 2 3 2 2 3" xfId="11426" xr:uid="{F602C1FC-8E94-444B-A669-7ED77EA1A8FB}"/>
    <cellStyle name="Currency 3 2 2 3 2 3" xfId="5049" xr:uid="{00000000-0005-0000-0000-0000D80A0000}"/>
    <cellStyle name="Currency 3 2 2 3 2 3 2" xfId="13499" xr:uid="{4378A8DB-8645-42DF-A297-40B4136C7F2F}"/>
    <cellStyle name="Currency 3 2 2 3 2 4" xfId="9281" xr:uid="{4315FE2A-A3EA-4513-9264-2638C84844D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16057" xr:uid="{251B58A7-BF27-4A2B-87BE-842977DBDA33}"/>
    <cellStyle name="Currency 3 2 2 3 3 2 3" xfId="11839" xr:uid="{F1AC8639-81A2-4584-B9AD-F2DF0F614DAE}"/>
    <cellStyle name="Currency 3 2 2 3 3 3" xfId="5462" xr:uid="{00000000-0005-0000-0000-0000DC0A0000}"/>
    <cellStyle name="Currency 3 2 2 3 3 3 2" xfId="13912" xr:uid="{9682C4FA-C265-459B-9762-E68F5A426A27}"/>
    <cellStyle name="Currency 3 2 2 3 3 4" xfId="9694" xr:uid="{971BA593-0512-475D-9148-204B59DB4B73}"/>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16470" xr:uid="{71BFDACA-5441-4E72-879A-A1E9BA934338}"/>
    <cellStyle name="Currency 3 2 2 3 4 2 3" xfId="12252" xr:uid="{B2C2A3AD-A639-47A0-B465-C86FBA77CA3F}"/>
    <cellStyle name="Currency 3 2 2 3 4 3" xfId="5875" xr:uid="{00000000-0005-0000-0000-0000E00A0000}"/>
    <cellStyle name="Currency 3 2 2 3 4 3 2" xfId="14325" xr:uid="{D1074802-B1AA-4AE1-9B66-05CC19DB2DC2}"/>
    <cellStyle name="Currency 3 2 2 3 4 4" xfId="10107" xr:uid="{4A1F3C15-384F-4A92-BDA8-3AD93A7A105A}"/>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16883" xr:uid="{2940EC78-036D-44EB-9F01-810583C4592D}"/>
    <cellStyle name="Currency 3 2 2 3 5 2 3" xfId="12665" xr:uid="{A77164A5-DA33-4347-BB5E-1A0876529108}"/>
    <cellStyle name="Currency 3 2 2 3 5 3" xfId="6288" xr:uid="{00000000-0005-0000-0000-0000E40A0000}"/>
    <cellStyle name="Currency 3 2 2 3 5 3 2" xfId="14738" xr:uid="{4EFAF749-CFB1-4504-9126-926F0E63D4F5}"/>
    <cellStyle name="Currency 3 2 2 3 5 4" xfId="10520" xr:uid="{4A61B4AC-97C4-48D1-90BB-E78FAAFC15D3}"/>
    <cellStyle name="Currency 3 2 2 3 6" xfId="2417" xr:uid="{00000000-0005-0000-0000-0000E50A0000}"/>
    <cellStyle name="Currency 3 2 2 3 6 2" xfId="6701" xr:uid="{00000000-0005-0000-0000-0000E60A0000}"/>
    <cellStyle name="Currency 3 2 2 3 6 2 2" xfId="15151" xr:uid="{6179B2E9-37AD-4FDC-A114-3F3AF6F2E5F7}"/>
    <cellStyle name="Currency 3 2 2 3 6 3" xfId="10933" xr:uid="{3C11EBA9-41F1-4ABB-9126-DAFDA5D79A8A}"/>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15468" xr:uid="{9AC5BB5A-3EA6-40E0-8E97-86FAED7293A5}"/>
    <cellStyle name="Currency 3 2 2 3 8 3" xfId="11250" xr:uid="{4172C030-28C8-4B04-9A11-B196DE97D701}"/>
    <cellStyle name="Currency 3 2 2 3 9" xfId="4635" xr:uid="{00000000-0005-0000-0000-0000EA0A0000}"/>
    <cellStyle name="Currency 3 2 2 3 9 2" xfId="13085" xr:uid="{72AD9707-C1D0-4ADF-B7F4-FCAAACFEAC21}"/>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15641" xr:uid="{B9465DE5-C0F3-4E75-88AF-CD8A9BA78E43}"/>
    <cellStyle name="Currency 3 2 2 4 2 3" xfId="11423" xr:uid="{AA33F741-61C2-4A3A-96A5-6DE062A73E37}"/>
    <cellStyle name="Currency 3 2 2 4 3" xfId="5046" xr:uid="{00000000-0005-0000-0000-0000EE0A0000}"/>
    <cellStyle name="Currency 3 2 2 4 3 2" xfId="13496" xr:uid="{813CF952-2417-4CEC-A961-D05A212DDE76}"/>
    <cellStyle name="Currency 3 2 2 4 4" xfId="9278" xr:uid="{C76E390D-EA99-4B19-B8E0-11FB8DF6D836}"/>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16054" xr:uid="{67CA9DD5-A2B5-4BD5-878E-B03261969AA5}"/>
    <cellStyle name="Currency 3 2 2 5 2 3" xfId="11836" xr:uid="{26C695E3-D040-48F8-A159-33B6CF485D76}"/>
    <cellStyle name="Currency 3 2 2 5 3" xfId="5459" xr:uid="{00000000-0005-0000-0000-0000F20A0000}"/>
    <cellStyle name="Currency 3 2 2 5 3 2" xfId="13909" xr:uid="{3E1C2415-6CB2-48AA-A97C-82A980FF9FD5}"/>
    <cellStyle name="Currency 3 2 2 5 4" xfId="9691" xr:uid="{20859F3F-B9B0-4867-9998-FD34D8035DDE}"/>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16467" xr:uid="{FC51D36D-B7C3-4FC4-9E31-36107A56E7D3}"/>
    <cellStyle name="Currency 3 2 2 6 2 3" xfId="12249" xr:uid="{95D2B00D-1CE9-49B7-89C8-4CCCA2C901D3}"/>
    <cellStyle name="Currency 3 2 2 6 3" xfId="5872" xr:uid="{00000000-0005-0000-0000-0000F60A0000}"/>
    <cellStyle name="Currency 3 2 2 6 3 2" xfId="14322" xr:uid="{596C8F3B-8D7B-4F95-8377-43F522D7D5B0}"/>
    <cellStyle name="Currency 3 2 2 6 4" xfId="10104" xr:uid="{643DBF40-BCD8-4A15-8A3B-3F0E6FE45B67}"/>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16880" xr:uid="{492270C0-5398-4AC6-937D-65D63C1DA8D7}"/>
    <cellStyle name="Currency 3 2 2 7 2 3" xfId="12662" xr:uid="{A5FD1DBD-3D72-4B40-AE86-89EBA9562F4A}"/>
    <cellStyle name="Currency 3 2 2 7 3" xfId="6285" xr:uid="{00000000-0005-0000-0000-0000FA0A0000}"/>
    <cellStyle name="Currency 3 2 2 7 3 2" xfId="14735" xr:uid="{7D95A342-BECD-4CA2-A181-AA2888B3E7BA}"/>
    <cellStyle name="Currency 3 2 2 7 4" xfId="10517" xr:uid="{99680513-D42F-4126-94C1-29D9A9CFD8D3}"/>
    <cellStyle name="Currency 3 2 2 8" xfId="2414" xr:uid="{00000000-0005-0000-0000-0000FB0A0000}"/>
    <cellStyle name="Currency 3 2 2 8 2" xfId="6698" xr:uid="{00000000-0005-0000-0000-0000FC0A0000}"/>
    <cellStyle name="Currency 3 2 2 8 2 2" xfId="15148" xr:uid="{F7E41D47-050F-4F5E-8578-7C26063C3547}"/>
    <cellStyle name="Currency 3 2 2 8 3" xfId="10930" xr:uid="{F8281456-D6D7-4623-9EDA-F9490DD69E01}"/>
    <cellStyle name="Currency 3 2 2 9" xfId="2711" xr:uid="{00000000-0005-0000-0000-0000FD0A0000}"/>
    <cellStyle name="Currency 3 2 3" xfId="182" xr:uid="{00000000-0005-0000-0000-0000FE0A0000}"/>
    <cellStyle name="Currency 3 2 3 10" xfId="4636" xr:uid="{00000000-0005-0000-0000-0000FF0A0000}"/>
    <cellStyle name="Currency 3 2 3 10 2" xfId="13086" xr:uid="{39DB69E9-3C24-4B54-9BBA-DC5ACD537382}"/>
    <cellStyle name="Currency 3 2 3 11" xfId="8868" xr:uid="{049935F9-241F-4782-84F2-24F552D95A67}"/>
    <cellStyle name="Currency 3 2 3 2" xfId="183" xr:uid="{00000000-0005-0000-0000-0000000B0000}"/>
    <cellStyle name="Currency 3 2 3 2 10" xfId="8869" xr:uid="{C07A9943-8DDF-47FB-B755-D6425D4683DB}"/>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15646" xr:uid="{9B1AC7CC-23DF-41FC-9728-F013CE83FFF9}"/>
    <cellStyle name="Currency 3 2 3 2 2 2 3" xfId="11428" xr:uid="{2D6E2862-7FBD-4A94-9E97-43225492BE03}"/>
    <cellStyle name="Currency 3 2 3 2 2 3" xfId="5051" xr:uid="{00000000-0005-0000-0000-0000040B0000}"/>
    <cellStyle name="Currency 3 2 3 2 2 3 2" xfId="13501" xr:uid="{6E4253FC-58D6-4D42-BE3C-F89C0E2CE7EB}"/>
    <cellStyle name="Currency 3 2 3 2 2 4" xfId="9283" xr:uid="{0D897309-322F-4369-924F-2B8E6E458DDD}"/>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16059" xr:uid="{AD65198D-BCF8-4899-A9CE-304BD25ED6A4}"/>
    <cellStyle name="Currency 3 2 3 2 3 2 3" xfId="11841" xr:uid="{E3B4F9D0-BFDE-415C-9147-F80D64DC2F47}"/>
    <cellStyle name="Currency 3 2 3 2 3 3" xfId="5464" xr:uid="{00000000-0005-0000-0000-0000080B0000}"/>
    <cellStyle name="Currency 3 2 3 2 3 3 2" xfId="13914" xr:uid="{AF947DF9-37C2-4733-8BB4-D49BAFC44990}"/>
    <cellStyle name="Currency 3 2 3 2 3 4" xfId="9696" xr:uid="{E3E83D4C-4104-47AB-879D-CAE8E68C0E9D}"/>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16472" xr:uid="{2E8CB312-9A82-4E10-AFD7-0871451444BD}"/>
    <cellStyle name="Currency 3 2 3 2 4 2 3" xfId="12254" xr:uid="{7609494F-5796-4F9A-B330-5BC218502771}"/>
    <cellStyle name="Currency 3 2 3 2 4 3" xfId="5877" xr:uid="{00000000-0005-0000-0000-00000C0B0000}"/>
    <cellStyle name="Currency 3 2 3 2 4 3 2" xfId="14327" xr:uid="{208FABA1-714F-48D3-86FD-3BEDDE157B63}"/>
    <cellStyle name="Currency 3 2 3 2 4 4" xfId="10109" xr:uid="{2BF3FA1F-128A-47DD-8741-6A7EC7BAA3AD}"/>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16885" xr:uid="{AFAD9813-6CFD-46FE-A067-C8F5A31CC603}"/>
    <cellStyle name="Currency 3 2 3 2 5 2 3" xfId="12667" xr:uid="{4782161B-5B3D-48FB-AE21-6246444DF1A2}"/>
    <cellStyle name="Currency 3 2 3 2 5 3" xfId="6290" xr:uid="{00000000-0005-0000-0000-0000100B0000}"/>
    <cellStyle name="Currency 3 2 3 2 5 3 2" xfId="14740" xr:uid="{5D30D4BC-70AA-4617-87F2-B3FF331DE5B9}"/>
    <cellStyle name="Currency 3 2 3 2 5 4" xfId="10522" xr:uid="{58505808-E6AD-47EF-B374-718436C0085A}"/>
    <cellStyle name="Currency 3 2 3 2 6" xfId="2419" xr:uid="{00000000-0005-0000-0000-0000110B0000}"/>
    <cellStyle name="Currency 3 2 3 2 6 2" xfId="6703" xr:uid="{00000000-0005-0000-0000-0000120B0000}"/>
    <cellStyle name="Currency 3 2 3 2 6 2 2" xfId="15153" xr:uid="{9B028154-8000-44EF-A446-7D07124539FD}"/>
    <cellStyle name="Currency 3 2 3 2 6 3" xfId="10935" xr:uid="{2D2BAEEA-67E6-4314-AD1F-C4C70D57B04F}"/>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15470" xr:uid="{39BAC7A1-00F5-44ED-BB14-A6E8CB4245CD}"/>
    <cellStyle name="Currency 3 2 3 2 8 3" xfId="11252" xr:uid="{0991F3B2-05E1-44CD-B56C-F8E3BC25FEC9}"/>
    <cellStyle name="Currency 3 2 3 2 9" xfId="4637" xr:uid="{00000000-0005-0000-0000-0000160B0000}"/>
    <cellStyle name="Currency 3 2 3 2 9 2" xfId="13087" xr:uid="{D81B46BF-86D7-45B0-80C3-2D9029DBD6B6}"/>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15645" xr:uid="{6F525307-D279-4E4F-91A8-3E8495BBDE34}"/>
    <cellStyle name="Currency 3 2 3 3 2 3" xfId="11427" xr:uid="{2E3DA63D-F4B7-4676-8EC6-FF610ACB7D48}"/>
    <cellStyle name="Currency 3 2 3 3 3" xfId="5050" xr:uid="{00000000-0005-0000-0000-00001A0B0000}"/>
    <cellStyle name="Currency 3 2 3 3 3 2" xfId="13500" xr:uid="{255A6C31-C894-4BF0-8FC4-198D9326B86A}"/>
    <cellStyle name="Currency 3 2 3 3 4" xfId="9282" xr:uid="{97B916C6-2DE2-4C5B-B2F3-DB0AE8B05145}"/>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16058" xr:uid="{4A5B6BCE-DCD6-473C-BD3A-D10FE5CC44DF}"/>
    <cellStyle name="Currency 3 2 3 4 2 3" xfId="11840" xr:uid="{0FC78B53-9FF4-4513-BCFC-902BCC27073B}"/>
    <cellStyle name="Currency 3 2 3 4 3" xfId="5463" xr:uid="{00000000-0005-0000-0000-00001E0B0000}"/>
    <cellStyle name="Currency 3 2 3 4 3 2" xfId="13913" xr:uid="{0BEFF314-C689-4D15-BCA5-9EC964D518CD}"/>
    <cellStyle name="Currency 3 2 3 4 4" xfId="9695" xr:uid="{C9F9AD56-EA8E-4916-981C-774B06C0826D}"/>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16471" xr:uid="{2495E45E-FA69-41FB-B789-50D6FFA0F079}"/>
    <cellStyle name="Currency 3 2 3 5 2 3" xfId="12253" xr:uid="{D0BA5FA7-2B0A-4FA5-9A19-A68ED3B3368D}"/>
    <cellStyle name="Currency 3 2 3 5 3" xfId="5876" xr:uid="{00000000-0005-0000-0000-0000220B0000}"/>
    <cellStyle name="Currency 3 2 3 5 3 2" xfId="14326" xr:uid="{E851CC76-00B4-4695-B46F-C1716E16557C}"/>
    <cellStyle name="Currency 3 2 3 5 4" xfId="10108" xr:uid="{FA79F8A2-35C4-41E9-8EC1-B16E05873BEC}"/>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16884" xr:uid="{A8B27C7A-12F8-44DD-B3B1-1D474AC5CAF5}"/>
    <cellStyle name="Currency 3 2 3 6 2 3" xfId="12666" xr:uid="{539767B2-6574-4CF1-A0B7-95523EE84209}"/>
    <cellStyle name="Currency 3 2 3 6 3" xfId="6289" xr:uid="{00000000-0005-0000-0000-0000260B0000}"/>
    <cellStyle name="Currency 3 2 3 6 3 2" xfId="14739" xr:uid="{39ADDCF3-041A-4599-9153-51FBB4BE4F46}"/>
    <cellStyle name="Currency 3 2 3 6 4" xfId="10521" xr:uid="{83E6DD29-4DCE-4D37-BB6B-E8F1E94871FE}"/>
    <cellStyle name="Currency 3 2 3 7" xfId="2418" xr:uid="{00000000-0005-0000-0000-0000270B0000}"/>
    <cellStyle name="Currency 3 2 3 7 2" xfId="6702" xr:uid="{00000000-0005-0000-0000-0000280B0000}"/>
    <cellStyle name="Currency 3 2 3 7 2 2" xfId="15152" xr:uid="{78D60038-EE16-4E8B-A741-7445667C273C}"/>
    <cellStyle name="Currency 3 2 3 7 3" xfId="10934" xr:uid="{361B003C-57C7-40C6-BD87-B2116DF9D3B1}"/>
    <cellStyle name="Currency 3 2 3 8" xfId="2715" xr:uid="{00000000-0005-0000-0000-0000290B0000}"/>
    <cellStyle name="Currency 3 2 3 9" xfId="2796" xr:uid="{00000000-0005-0000-0000-00002A0B0000}"/>
    <cellStyle name="Currency 3 2 3 9 2" xfId="7019" xr:uid="{00000000-0005-0000-0000-00002B0B0000}"/>
    <cellStyle name="Currency 3 2 3 9 2 2" xfId="15469" xr:uid="{E76E6797-C7D3-42AB-A79C-396D115A6F3B}"/>
    <cellStyle name="Currency 3 2 3 9 3" xfId="11251" xr:uid="{D209F2CA-CD79-4772-8D00-EF8999D222F2}"/>
    <cellStyle name="Currency 3 2 4" xfId="184" xr:uid="{00000000-0005-0000-0000-00002C0B0000}"/>
    <cellStyle name="Currency 3 2 4 10" xfId="8870" xr:uid="{7DE6E33A-7FAF-405D-9A3D-CEEE8DB36855}"/>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15647" xr:uid="{9497A49D-020A-4F3B-8DFA-18472B030608}"/>
    <cellStyle name="Currency 3 2 4 2 2 3" xfId="11429" xr:uid="{6797CB89-A754-4321-9825-A0EAC01747B9}"/>
    <cellStyle name="Currency 3 2 4 2 3" xfId="5052" xr:uid="{00000000-0005-0000-0000-0000300B0000}"/>
    <cellStyle name="Currency 3 2 4 2 3 2" xfId="13502" xr:uid="{24347215-CD91-42F2-BF85-145010BD16A9}"/>
    <cellStyle name="Currency 3 2 4 2 4" xfId="9284" xr:uid="{1CEA8466-8D7F-4098-9EA9-FF643526A6AE}"/>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16060" xr:uid="{EF7BBEA4-4C7E-49B2-B10A-BA8E292E6DD1}"/>
    <cellStyle name="Currency 3 2 4 3 2 3" xfId="11842" xr:uid="{3F48949D-793A-4388-9AC8-8A23AA8E256B}"/>
    <cellStyle name="Currency 3 2 4 3 3" xfId="5465" xr:uid="{00000000-0005-0000-0000-0000340B0000}"/>
    <cellStyle name="Currency 3 2 4 3 3 2" xfId="13915" xr:uid="{6E3EBACA-39DE-4AED-9A8B-BC698A449B00}"/>
    <cellStyle name="Currency 3 2 4 3 4" xfId="9697" xr:uid="{0A4E9E2E-F40A-40D0-A7C3-DFB447C2C468}"/>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16473" xr:uid="{DE26A382-F354-43B9-97B2-0C6B62F53E82}"/>
    <cellStyle name="Currency 3 2 4 4 2 3" xfId="12255" xr:uid="{B576D257-5209-4F2A-BBF3-00ACD5E2CCBB}"/>
    <cellStyle name="Currency 3 2 4 4 3" xfId="5878" xr:uid="{00000000-0005-0000-0000-0000380B0000}"/>
    <cellStyle name="Currency 3 2 4 4 3 2" xfId="14328" xr:uid="{F4269DA3-FB4D-4F90-AC05-DFD400228A84}"/>
    <cellStyle name="Currency 3 2 4 4 4" xfId="10110" xr:uid="{D1D157AD-68A2-437A-AA21-B03161D208D8}"/>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16886" xr:uid="{823D387C-D911-4716-A63A-85773F68E764}"/>
    <cellStyle name="Currency 3 2 4 5 2 3" xfId="12668" xr:uid="{6C353E1E-B456-4114-A335-3ECCF5419A04}"/>
    <cellStyle name="Currency 3 2 4 5 3" xfId="6291" xr:uid="{00000000-0005-0000-0000-00003C0B0000}"/>
    <cellStyle name="Currency 3 2 4 5 3 2" xfId="14741" xr:uid="{36B8CBF8-ACE2-48C5-A548-72DB47148245}"/>
    <cellStyle name="Currency 3 2 4 5 4" xfId="10523" xr:uid="{CC866759-19A1-4ED0-A591-B4B658CCF0FB}"/>
    <cellStyle name="Currency 3 2 4 6" xfId="2420" xr:uid="{00000000-0005-0000-0000-00003D0B0000}"/>
    <cellStyle name="Currency 3 2 4 6 2" xfId="6704" xr:uid="{00000000-0005-0000-0000-00003E0B0000}"/>
    <cellStyle name="Currency 3 2 4 6 2 2" xfId="15154" xr:uid="{CEC609AC-99EC-48D9-A811-BF756CE23332}"/>
    <cellStyle name="Currency 3 2 4 6 3" xfId="10936" xr:uid="{925D8ED0-B51D-42FD-9A49-87D11734D6A8}"/>
    <cellStyle name="Currency 3 2 4 7" xfId="2717" xr:uid="{00000000-0005-0000-0000-00003F0B0000}"/>
    <cellStyle name="Currency 3 2 4 8" xfId="2798" xr:uid="{00000000-0005-0000-0000-0000400B0000}"/>
    <cellStyle name="Currency 3 2 4 8 2" xfId="7021" xr:uid="{00000000-0005-0000-0000-0000410B0000}"/>
    <cellStyle name="Currency 3 2 4 8 2 2" xfId="15471" xr:uid="{30BC10A2-7C02-4BC8-B4A8-B119DAB674FC}"/>
    <cellStyle name="Currency 3 2 4 8 3" xfId="11253" xr:uid="{DB78CBD0-E9F8-4FF6-A2AD-6BA4462A4576}"/>
    <cellStyle name="Currency 3 2 4 9" xfId="4638" xr:uid="{00000000-0005-0000-0000-0000420B0000}"/>
    <cellStyle name="Currency 3 2 4 9 2" xfId="13088" xr:uid="{56FD1506-62E5-433A-BF22-BF356FF7DA31}"/>
    <cellStyle name="Currency 3 2 5" xfId="185" xr:uid="{00000000-0005-0000-0000-0000430B0000}"/>
    <cellStyle name="Currency 3 2 5 10" xfId="8871" xr:uid="{B0D58E01-BE46-43FE-86EC-CFDE6583A4D1}"/>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15648" xr:uid="{F278005B-13C6-4F51-B2FD-D6C746D43DA6}"/>
    <cellStyle name="Currency 3 2 5 2 2 3" xfId="11430" xr:uid="{7FB70970-8740-44CD-AB74-B3E40F4D506C}"/>
    <cellStyle name="Currency 3 2 5 2 3" xfId="5053" xr:uid="{00000000-0005-0000-0000-0000470B0000}"/>
    <cellStyle name="Currency 3 2 5 2 3 2" xfId="13503" xr:uid="{434982A8-3BD7-402B-94FB-600AAA6F03D4}"/>
    <cellStyle name="Currency 3 2 5 2 4" xfId="9285" xr:uid="{0209E77D-9417-4297-8CBF-F00C5E3B1F2B}"/>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16061" xr:uid="{6F1B477A-5EE4-412A-AF2C-EF8E3F1C2500}"/>
    <cellStyle name="Currency 3 2 5 3 2 3" xfId="11843" xr:uid="{2ED88449-10D8-4A3C-B772-96A33148E1ED}"/>
    <cellStyle name="Currency 3 2 5 3 3" xfId="5466" xr:uid="{00000000-0005-0000-0000-00004B0B0000}"/>
    <cellStyle name="Currency 3 2 5 3 3 2" xfId="13916" xr:uid="{FC0BCAF3-79A4-40B1-8D0B-F7932C9911C4}"/>
    <cellStyle name="Currency 3 2 5 3 4" xfId="9698" xr:uid="{784538E7-8BAC-47FB-9B99-802715982A6F}"/>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16474" xr:uid="{63DD345B-5B6F-4442-AE68-D77C3CE5B083}"/>
    <cellStyle name="Currency 3 2 5 4 2 3" xfId="12256" xr:uid="{716DDABC-99AC-463A-AA39-BA6DE9EE7C6E}"/>
    <cellStyle name="Currency 3 2 5 4 3" xfId="5879" xr:uid="{00000000-0005-0000-0000-00004F0B0000}"/>
    <cellStyle name="Currency 3 2 5 4 3 2" xfId="14329" xr:uid="{03E905C9-874D-4771-822D-06E3DAE95397}"/>
    <cellStyle name="Currency 3 2 5 4 4" xfId="10111" xr:uid="{4853DDEA-ECA3-4F0E-87A3-89E5BEAA12FD}"/>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16887" xr:uid="{CEC27D37-581E-4988-849D-F7CDEF54A75C}"/>
    <cellStyle name="Currency 3 2 5 5 2 3" xfId="12669" xr:uid="{34ABA840-5C22-411C-AF5E-1591073626D7}"/>
    <cellStyle name="Currency 3 2 5 5 3" xfId="6292" xr:uid="{00000000-0005-0000-0000-0000530B0000}"/>
    <cellStyle name="Currency 3 2 5 5 3 2" xfId="14742" xr:uid="{8411AB4A-8369-4DA4-A81D-C474ECBB079F}"/>
    <cellStyle name="Currency 3 2 5 5 4" xfId="10524" xr:uid="{BD6F5525-A6E3-463C-A5BA-E25D9E111239}"/>
    <cellStyle name="Currency 3 2 5 6" xfId="2421" xr:uid="{00000000-0005-0000-0000-0000540B0000}"/>
    <cellStyle name="Currency 3 2 5 6 2" xfId="6705" xr:uid="{00000000-0005-0000-0000-0000550B0000}"/>
    <cellStyle name="Currency 3 2 5 6 2 2" xfId="15155" xr:uid="{2A73C40A-4AD6-4B3D-96D6-B018CABA6C15}"/>
    <cellStyle name="Currency 3 2 5 6 3" xfId="10937" xr:uid="{F5E36FAE-31CA-4ECA-AA29-8B703CB40BDA}"/>
    <cellStyle name="Currency 3 2 5 7" xfId="2718" xr:uid="{00000000-0005-0000-0000-0000560B0000}"/>
    <cellStyle name="Currency 3 2 5 8" xfId="2799" xr:uid="{00000000-0005-0000-0000-0000570B0000}"/>
    <cellStyle name="Currency 3 2 5 8 2" xfId="7022" xr:uid="{00000000-0005-0000-0000-0000580B0000}"/>
    <cellStyle name="Currency 3 2 5 8 2 2" xfId="15472" xr:uid="{BAF336F4-967E-46C2-B424-EF0650BB8400}"/>
    <cellStyle name="Currency 3 2 5 8 3" xfId="11254" xr:uid="{777065E8-A939-45D5-9295-CF6A2FCB78FF}"/>
    <cellStyle name="Currency 3 2 5 9" xfId="4639" xr:uid="{00000000-0005-0000-0000-0000590B0000}"/>
    <cellStyle name="Currency 3 2 5 9 2" xfId="13089" xr:uid="{A13B9B50-74AA-4835-B2DD-572058246616}"/>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15473" xr:uid="{8A7D3044-53A6-4137-B601-7CB11D19123F}"/>
    <cellStyle name="Currency 5 2 2 2 10 3" xfId="11255" xr:uid="{07749E75-C214-408B-98E1-52E6A5D7C044}"/>
    <cellStyle name="Currency 5 2 2 2 11" xfId="4640" xr:uid="{00000000-0005-0000-0000-00006C0B0000}"/>
    <cellStyle name="Currency 5 2 2 2 11 2" xfId="13090" xr:uid="{19425A02-D259-471F-AEFC-3934215F42D7}"/>
    <cellStyle name="Currency 5 2 2 2 12" xfId="8872" xr:uid="{DB3C3A01-28FD-4C8A-AC29-47EB2F749AA9}"/>
    <cellStyle name="Currency 5 2 2 2 2" xfId="197" xr:uid="{00000000-0005-0000-0000-00006D0B0000}"/>
    <cellStyle name="Currency 5 2 2 2 2 10" xfId="4641" xr:uid="{00000000-0005-0000-0000-00006E0B0000}"/>
    <cellStyle name="Currency 5 2 2 2 2 10 2" xfId="13091" xr:uid="{A109DF23-6042-4C95-83C4-E2CDB3B0D438}"/>
    <cellStyle name="Currency 5 2 2 2 2 11" xfId="8873" xr:uid="{49448F01-BEAB-46B2-BE2C-05AE413F8E81}"/>
    <cellStyle name="Currency 5 2 2 2 2 2" xfId="198" xr:uid="{00000000-0005-0000-0000-00006F0B0000}"/>
    <cellStyle name="Currency 5 2 2 2 2 2 10" xfId="8874" xr:uid="{BABA8E4A-DDFE-409E-A6A0-F3B56AD64D67}"/>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15651" xr:uid="{E0D6387A-4C0D-4033-926A-550196EC676C}"/>
    <cellStyle name="Currency 5 2 2 2 2 2 2 2 3" xfId="11433" xr:uid="{38E10DB0-136F-4BC4-9EEC-452F51B98625}"/>
    <cellStyle name="Currency 5 2 2 2 2 2 2 3" xfId="5056" xr:uid="{00000000-0005-0000-0000-0000730B0000}"/>
    <cellStyle name="Currency 5 2 2 2 2 2 2 3 2" xfId="13506" xr:uid="{93B3AD73-24EC-4348-A372-3FBF07FF3CCC}"/>
    <cellStyle name="Currency 5 2 2 2 2 2 2 4" xfId="9288" xr:uid="{3196FB4C-2B45-4D07-B29A-8E756FC84A77}"/>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16064" xr:uid="{3BAFB218-916A-4BEA-8163-83D36BAA33D2}"/>
    <cellStyle name="Currency 5 2 2 2 2 2 3 2 3" xfId="11846" xr:uid="{4513F47E-2A43-4C4C-9F20-19C9F2B45CB8}"/>
    <cellStyle name="Currency 5 2 2 2 2 2 3 3" xfId="5469" xr:uid="{00000000-0005-0000-0000-0000770B0000}"/>
    <cellStyle name="Currency 5 2 2 2 2 2 3 3 2" xfId="13919" xr:uid="{71628E72-738D-48F5-B053-61EB1A5ED99F}"/>
    <cellStyle name="Currency 5 2 2 2 2 2 3 4" xfId="9701" xr:uid="{9999B9BB-D465-4549-9947-978B3C3C0AB5}"/>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16477" xr:uid="{D8C4BE64-701B-47B3-BE18-257DBF66C609}"/>
    <cellStyle name="Currency 5 2 2 2 2 2 4 2 3" xfId="12259" xr:uid="{53C2F6DD-9FED-4283-B9B4-AF21B95BC77A}"/>
    <cellStyle name="Currency 5 2 2 2 2 2 4 3" xfId="5882" xr:uid="{00000000-0005-0000-0000-00007B0B0000}"/>
    <cellStyle name="Currency 5 2 2 2 2 2 4 3 2" xfId="14332" xr:uid="{69F42EF4-FF36-45F8-BC0B-97324787988D}"/>
    <cellStyle name="Currency 5 2 2 2 2 2 4 4" xfId="10114" xr:uid="{821D326D-52BD-42C7-81BE-C336105574B1}"/>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16890" xr:uid="{F0CA1684-CB43-467F-8D89-C8C0B8723708}"/>
    <cellStyle name="Currency 5 2 2 2 2 2 5 2 3" xfId="12672" xr:uid="{D6AADABB-FEB4-4870-B244-94783B6F454B}"/>
    <cellStyle name="Currency 5 2 2 2 2 2 5 3" xfId="6295" xr:uid="{00000000-0005-0000-0000-00007F0B0000}"/>
    <cellStyle name="Currency 5 2 2 2 2 2 5 3 2" xfId="14745" xr:uid="{EF0E67AF-2995-4DE4-9319-FE32E080AB5C}"/>
    <cellStyle name="Currency 5 2 2 2 2 2 5 4" xfId="10527" xr:uid="{19C07C45-3BD0-4BDD-BA5F-102B1830B3C0}"/>
    <cellStyle name="Currency 5 2 2 2 2 2 6" xfId="2424" xr:uid="{00000000-0005-0000-0000-0000800B0000}"/>
    <cellStyle name="Currency 5 2 2 2 2 2 6 2" xfId="6708" xr:uid="{00000000-0005-0000-0000-0000810B0000}"/>
    <cellStyle name="Currency 5 2 2 2 2 2 6 2 2" xfId="15158" xr:uid="{B9F83E96-E35D-4553-97CC-C49ADD2B6146}"/>
    <cellStyle name="Currency 5 2 2 2 2 2 6 3" xfId="10940" xr:uid="{662F6DA8-77CD-4DC0-831C-8C123A1A5A8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15475" xr:uid="{9B045832-A6DC-42FD-8F16-C09C13C11A43}"/>
    <cellStyle name="Currency 5 2 2 2 2 2 8 3" xfId="11257" xr:uid="{129572CA-8B31-446A-88CD-EE3B1E378752}"/>
    <cellStyle name="Currency 5 2 2 2 2 2 9" xfId="4642" xr:uid="{00000000-0005-0000-0000-0000850B0000}"/>
    <cellStyle name="Currency 5 2 2 2 2 2 9 2" xfId="13092" xr:uid="{79D7A4AF-AEF5-484B-9426-EE638E8D1536}"/>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15650" xr:uid="{42BFA5E0-4174-49ED-AA43-C25AC8190B38}"/>
    <cellStyle name="Currency 5 2 2 2 2 3 2 3" xfId="11432" xr:uid="{9E0F7EA0-5D80-437F-A835-261E0D5ED022}"/>
    <cellStyle name="Currency 5 2 2 2 2 3 3" xfId="5055" xr:uid="{00000000-0005-0000-0000-0000890B0000}"/>
    <cellStyle name="Currency 5 2 2 2 2 3 3 2" xfId="13505" xr:uid="{CF361E86-9FC6-47E6-AF8C-CBEDA79194F1}"/>
    <cellStyle name="Currency 5 2 2 2 2 3 4" xfId="9287" xr:uid="{EA33F30F-5E52-448A-9DF4-AB01E6206C04}"/>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16063" xr:uid="{42A346DA-6733-4C11-9F33-18E1D78F47A8}"/>
    <cellStyle name="Currency 5 2 2 2 2 4 2 3" xfId="11845" xr:uid="{C585CBD8-1527-4B33-A6E9-E38F98527B56}"/>
    <cellStyle name="Currency 5 2 2 2 2 4 3" xfId="5468" xr:uid="{00000000-0005-0000-0000-00008D0B0000}"/>
    <cellStyle name="Currency 5 2 2 2 2 4 3 2" xfId="13918" xr:uid="{983B1FC4-D578-4657-83A5-DC82781D2A71}"/>
    <cellStyle name="Currency 5 2 2 2 2 4 4" xfId="9700" xr:uid="{636036D6-7562-4C82-8F24-9FE54AE543EA}"/>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16476" xr:uid="{DA4AB362-876F-4255-BE3E-6B9BF95D347E}"/>
    <cellStyle name="Currency 5 2 2 2 2 5 2 3" xfId="12258" xr:uid="{AE4583F0-2AD9-4874-8D42-8C2E92F19275}"/>
    <cellStyle name="Currency 5 2 2 2 2 5 3" xfId="5881" xr:uid="{00000000-0005-0000-0000-0000910B0000}"/>
    <cellStyle name="Currency 5 2 2 2 2 5 3 2" xfId="14331" xr:uid="{223DD1F8-D338-42EB-B7D8-39075CEDBC22}"/>
    <cellStyle name="Currency 5 2 2 2 2 5 4" xfId="10113" xr:uid="{7F8A6452-2D5B-405D-B052-E8EFC1F397EA}"/>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16889" xr:uid="{B3056999-B168-44EE-8065-395C8A1CB262}"/>
    <cellStyle name="Currency 5 2 2 2 2 6 2 3" xfId="12671" xr:uid="{D5E1A3D1-287B-488A-A800-34395C670E37}"/>
    <cellStyle name="Currency 5 2 2 2 2 6 3" xfId="6294" xr:uid="{00000000-0005-0000-0000-0000950B0000}"/>
    <cellStyle name="Currency 5 2 2 2 2 6 3 2" xfId="14744" xr:uid="{484EB7E4-75F3-4308-B19F-4A31EDD8A943}"/>
    <cellStyle name="Currency 5 2 2 2 2 6 4" xfId="10526" xr:uid="{9C4918AA-661A-442B-81BD-3B45463341DA}"/>
    <cellStyle name="Currency 5 2 2 2 2 7" xfId="2423" xr:uid="{00000000-0005-0000-0000-0000960B0000}"/>
    <cellStyle name="Currency 5 2 2 2 2 7 2" xfId="6707" xr:uid="{00000000-0005-0000-0000-0000970B0000}"/>
    <cellStyle name="Currency 5 2 2 2 2 7 2 2" xfId="15157" xr:uid="{F37D7658-1E51-4FA4-A30B-31BF847074C0}"/>
    <cellStyle name="Currency 5 2 2 2 2 7 3" xfId="10939" xr:uid="{4A2F299E-CAEE-46B0-9CC0-100CEF5827C5}"/>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15474" xr:uid="{D53F54E3-37D2-40C9-BA4F-78F44748646E}"/>
    <cellStyle name="Currency 5 2 2 2 2 9 3" xfId="11256" xr:uid="{C155B9AF-8A22-450D-B19C-08967D1D9FA8}"/>
    <cellStyle name="Currency 5 2 2 2 3" xfId="199" xr:uid="{00000000-0005-0000-0000-00009B0B0000}"/>
    <cellStyle name="Currency 5 2 2 2 3 10" xfId="8875" xr:uid="{61863D16-2886-43DD-AF4B-605FE2E2BD91}"/>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15652" xr:uid="{5A4998CE-EDAB-4643-8717-02A5BF419866}"/>
    <cellStyle name="Currency 5 2 2 2 3 2 2 3" xfId="11434" xr:uid="{BFA552A8-76CD-4AEF-9C33-379CE77857DC}"/>
    <cellStyle name="Currency 5 2 2 2 3 2 3" xfId="5057" xr:uid="{00000000-0005-0000-0000-00009F0B0000}"/>
    <cellStyle name="Currency 5 2 2 2 3 2 3 2" xfId="13507" xr:uid="{F82FE17E-F1E7-4150-AA8C-CBE6FAF6C8D8}"/>
    <cellStyle name="Currency 5 2 2 2 3 2 4" xfId="9289" xr:uid="{DA924E87-89CB-4554-95B2-5C7308950E8C}"/>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16065" xr:uid="{D14AA54B-90E1-4FD6-B88C-DA490B1F96B7}"/>
    <cellStyle name="Currency 5 2 2 2 3 3 2 3" xfId="11847" xr:uid="{5F6B3DB9-C652-49BC-B2FE-F43BB8943166}"/>
    <cellStyle name="Currency 5 2 2 2 3 3 3" xfId="5470" xr:uid="{00000000-0005-0000-0000-0000A30B0000}"/>
    <cellStyle name="Currency 5 2 2 2 3 3 3 2" xfId="13920" xr:uid="{61620380-08D9-4EE8-8387-4C73630DE32B}"/>
    <cellStyle name="Currency 5 2 2 2 3 3 4" xfId="9702" xr:uid="{E1862F63-F2DF-48B5-8D5B-918DBEEA3035}"/>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16478" xr:uid="{40D9061F-EDB0-43F4-B4E5-25D28DDCFFE6}"/>
    <cellStyle name="Currency 5 2 2 2 3 4 2 3" xfId="12260" xr:uid="{F2FE7150-E4E4-48D4-936A-DDB86600B612}"/>
    <cellStyle name="Currency 5 2 2 2 3 4 3" xfId="5883" xr:uid="{00000000-0005-0000-0000-0000A70B0000}"/>
    <cellStyle name="Currency 5 2 2 2 3 4 3 2" xfId="14333" xr:uid="{A77D6861-69E4-4566-A306-5EBBD8289819}"/>
    <cellStyle name="Currency 5 2 2 2 3 4 4" xfId="10115" xr:uid="{DF10EEBB-9A8D-408F-B30B-0258554328A8}"/>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16891" xr:uid="{B3DA7BE9-1784-40DC-B9D4-B406FBB486B6}"/>
    <cellStyle name="Currency 5 2 2 2 3 5 2 3" xfId="12673" xr:uid="{40227E8B-DD66-4FD6-AC04-D8E7DE53D74D}"/>
    <cellStyle name="Currency 5 2 2 2 3 5 3" xfId="6296" xr:uid="{00000000-0005-0000-0000-0000AB0B0000}"/>
    <cellStyle name="Currency 5 2 2 2 3 5 3 2" xfId="14746" xr:uid="{76FF4BE9-D006-4220-B97D-3B2209F96929}"/>
    <cellStyle name="Currency 5 2 2 2 3 5 4" xfId="10528" xr:uid="{28B65D49-BBD9-46F6-979C-85D1BB65F293}"/>
    <cellStyle name="Currency 5 2 2 2 3 6" xfId="2425" xr:uid="{00000000-0005-0000-0000-0000AC0B0000}"/>
    <cellStyle name="Currency 5 2 2 2 3 6 2" xfId="6709" xr:uid="{00000000-0005-0000-0000-0000AD0B0000}"/>
    <cellStyle name="Currency 5 2 2 2 3 6 2 2" xfId="15159" xr:uid="{6E391A26-2B4A-440B-B90C-5B0E338A0E99}"/>
    <cellStyle name="Currency 5 2 2 2 3 6 3" xfId="10941" xr:uid="{309C24DC-B527-4C47-B5AF-CA131DA0CEBC}"/>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15476" xr:uid="{25EDC588-D095-40F3-A99F-15FC425A34CE}"/>
    <cellStyle name="Currency 5 2 2 2 3 8 3" xfId="11258" xr:uid="{A6C8776F-A9DA-4C3A-A4CF-15136112C7B5}"/>
    <cellStyle name="Currency 5 2 2 2 3 9" xfId="4643" xr:uid="{00000000-0005-0000-0000-0000B10B0000}"/>
    <cellStyle name="Currency 5 2 2 2 3 9 2" xfId="13093" xr:uid="{4F039C70-0FDD-4181-A392-B43C8F64102D}"/>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15649" xr:uid="{BDD43F8C-BDA3-4CF0-965C-D14EB5082C67}"/>
    <cellStyle name="Currency 5 2 2 2 4 2 3" xfId="11431" xr:uid="{4442DC8A-D92A-4F0F-A540-EF54FD069786}"/>
    <cellStyle name="Currency 5 2 2 2 4 3" xfId="5054" xr:uid="{00000000-0005-0000-0000-0000B50B0000}"/>
    <cellStyle name="Currency 5 2 2 2 4 3 2" xfId="13504" xr:uid="{62557364-C85A-407A-87EF-28AD01446170}"/>
    <cellStyle name="Currency 5 2 2 2 4 4" xfId="9286" xr:uid="{CE208630-A6CC-481E-93B9-FE3FFBDD5073}"/>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16062" xr:uid="{C6C9C5F6-98C3-4BD5-9F3E-12C98A58C686}"/>
    <cellStyle name="Currency 5 2 2 2 5 2 3" xfId="11844" xr:uid="{B54B5621-9EA3-4048-A414-34EC4E0FED23}"/>
    <cellStyle name="Currency 5 2 2 2 5 3" xfId="5467" xr:uid="{00000000-0005-0000-0000-0000B90B0000}"/>
    <cellStyle name="Currency 5 2 2 2 5 3 2" xfId="13917" xr:uid="{A50E1BEF-25F7-4A52-9431-28658FA40B10}"/>
    <cellStyle name="Currency 5 2 2 2 5 4" xfId="9699" xr:uid="{4F34658F-ED27-4CD9-8755-33D74F22253E}"/>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16475" xr:uid="{306FB485-72EA-4BA0-A7B1-9D1DA66A2AEC}"/>
    <cellStyle name="Currency 5 2 2 2 6 2 3" xfId="12257" xr:uid="{54F549A7-2338-4B3E-8785-6612AC366228}"/>
    <cellStyle name="Currency 5 2 2 2 6 3" xfId="5880" xr:uid="{00000000-0005-0000-0000-0000BD0B0000}"/>
    <cellStyle name="Currency 5 2 2 2 6 3 2" xfId="14330" xr:uid="{5F2DB34B-6347-45F2-BC4D-72A254EA755E}"/>
    <cellStyle name="Currency 5 2 2 2 6 4" xfId="10112" xr:uid="{72391BA4-7926-4D2B-928C-1FCFE1826FF3}"/>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16888" xr:uid="{3275A8EE-35E4-4296-91DC-732A95EC4CD0}"/>
    <cellStyle name="Currency 5 2 2 2 7 2 3" xfId="12670" xr:uid="{CAFE4DCC-446F-4D51-9C04-08F78CFC22C1}"/>
    <cellStyle name="Currency 5 2 2 2 7 3" xfId="6293" xr:uid="{00000000-0005-0000-0000-0000C10B0000}"/>
    <cellStyle name="Currency 5 2 2 2 7 3 2" xfId="14743" xr:uid="{ECE84959-66C3-4386-B40F-1AEB2D71418B}"/>
    <cellStyle name="Currency 5 2 2 2 7 4" xfId="10525" xr:uid="{8F1EB088-1E17-4E70-9864-021E8DD7A459}"/>
    <cellStyle name="Currency 5 2 2 2 8" xfId="2422" xr:uid="{00000000-0005-0000-0000-0000C20B0000}"/>
    <cellStyle name="Currency 5 2 2 2 8 2" xfId="6706" xr:uid="{00000000-0005-0000-0000-0000C30B0000}"/>
    <cellStyle name="Currency 5 2 2 2 8 2 2" xfId="15156" xr:uid="{915AA882-BAE6-427B-A8C5-E847EF23CB6B}"/>
    <cellStyle name="Currency 5 2 2 2 8 3" xfId="10938" xr:uid="{0AC61F1B-90E5-4514-B2AD-EEB77942FA95}"/>
    <cellStyle name="Currency 5 2 2 2 9" xfId="2719" xr:uid="{00000000-0005-0000-0000-0000C40B0000}"/>
    <cellStyle name="Currency 5 2 2 3" xfId="200" xr:uid="{00000000-0005-0000-0000-0000C50B0000}"/>
    <cellStyle name="Currency 5 2 2 3 10" xfId="4644" xr:uid="{00000000-0005-0000-0000-0000C60B0000}"/>
    <cellStyle name="Currency 5 2 2 3 10 2" xfId="13094" xr:uid="{4B34DF24-F4F0-4BFC-B723-B62D47F2F375}"/>
    <cellStyle name="Currency 5 2 2 3 11" xfId="8876" xr:uid="{B7283EA2-7D9A-4F75-AD59-D89659816751}"/>
    <cellStyle name="Currency 5 2 2 3 2" xfId="201" xr:uid="{00000000-0005-0000-0000-0000C70B0000}"/>
    <cellStyle name="Currency 5 2 2 3 2 10" xfId="8877" xr:uid="{8C744038-1AA5-4B8C-AD36-10DF84642C0C}"/>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15654" xr:uid="{24B77EB8-5914-4393-B1BA-2423B6B61369}"/>
    <cellStyle name="Currency 5 2 2 3 2 2 2 3" xfId="11436" xr:uid="{6DC46E29-5A11-420E-AE2F-021CD8BFBB1A}"/>
    <cellStyle name="Currency 5 2 2 3 2 2 3" xfId="5059" xr:uid="{00000000-0005-0000-0000-0000CB0B0000}"/>
    <cellStyle name="Currency 5 2 2 3 2 2 3 2" xfId="13509" xr:uid="{FF377AD4-3B87-4ABA-911D-F4F8E4E1C357}"/>
    <cellStyle name="Currency 5 2 2 3 2 2 4" xfId="9291" xr:uid="{FAF09FF0-5842-4237-9B61-E9A2473D5E2D}"/>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16067" xr:uid="{31CBEEE6-8CCF-47A5-B299-23EE7C62590F}"/>
    <cellStyle name="Currency 5 2 2 3 2 3 2 3" xfId="11849" xr:uid="{0AF55C74-7D96-4357-8742-F579ADFBDB69}"/>
    <cellStyle name="Currency 5 2 2 3 2 3 3" xfId="5472" xr:uid="{00000000-0005-0000-0000-0000CF0B0000}"/>
    <cellStyle name="Currency 5 2 2 3 2 3 3 2" xfId="13922" xr:uid="{F1B6FEAF-D3E6-49FE-B7F0-B2DBCB8C907B}"/>
    <cellStyle name="Currency 5 2 2 3 2 3 4" xfId="9704" xr:uid="{A7842B1D-9500-4082-A42C-3E27BAE25E21}"/>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16480" xr:uid="{C9EFB08E-1A57-4636-9E80-EF447DEF9402}"/>
    <cellStyle name="Currency 5 2 2 3 2 4 2 3" xfId="12262" xr:uid="{D4830BDC-4B80-4030-A25F-B0FF70AFE536}"/>
    <cellStyle name="Currency 5 2 2 3 2 4 3" xfId="5885" xr:uid="{00000000-0005-0000-0000-0000D30B0000}"/>
    <cellStyle name="Currency 5 2 2 3 2 4 3 2" xfId="14335" xr:uid="{9BEB941A-77F5-4BF2-AEEF-060D62A2AF52}"/>
    <cellStyle name="Currency 5 2 2 3 2 4 4" xfId="10117" xr:uid="{1D1BA0E3-8E58-49B4-BA35-D5F7C5677E1E}"/>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16893" xr:uid="{18DFDA07-C2D9-428C-A641-0C97DE798323}"/>
    <cellStyle name="Currency 5 2 2 3 2 5 2 3" xfId="12675" xr:uid="{7346E792-22C0-4B1E-B848-EF00BED3CB55}"/>
    <cellStyle name="Currency 5 2 2 3 2 5 3" xfId="6298" xr:uid="{00000000-0005-0000-0000-0000D70B0000}"/>
    <cellStyle name="Currency 5 2 2 3 2 5 3 2" xfId="14748" xr:uid="{523D6791-B357-447D-923E-93C063DE8B14}"/>
    <cellStyle name="Currency 5 2 2 3 2 5 4" xfId="10530" xr:uid="{197694D8-58D0-4AE9-90FC-556D4A346DE4}"/>
    <cellStyle name="Currency 5 2 2 3 2 6" xfId="2427" xr:uid="{00000000-0005-0000-0000-0000D80B0000}"/>
    <cellStyle name="Currency 5 2 2 3 2 6 2" xfId="6711" xr:uid="{00000000-0005-0000-0000-0000D90B0000}"/>
    <cellStyle name="Currency 5 2 2 3 2 6 2 2" xfId="15161" xr:uid="{05C69E25-B38F-4523-9A74-B48BB4164877}"/>
    <cellStyle name="Currency 5 2 2 3 2 6 3" xfId="10943" xr:uid="{367A95DC-4484-4345-8DEA-6CC659165A79}"/>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15478" xr:uid="{A1E7D9F1-B726-4833-B9AC-9D3FB68F81FA}"/>
    <cellStyle name="Currency 5 2 2 3 2 8 3" xfId="11260" xr:uid="{3ED67D3F-0780-4CB2-AD20-500FEE8F51BD}"/>
    <cellStyle name="Currency 5 2 2 3 2 9" xfId="4645" xr:uid="{00000000-0005-0000-0000-0000DD0B0000}"/>
    <cellStyle name="Currency 5 2 2 3 2 9 2" xfId="13095" xr:uid="{276DC88D-B093-41D2-AA7E-B078B8D40558}"/>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15653" xr:uid="{E97C0B83-82EB-4A4B-894D-73CE068F83B6}"/>
    <cellStyle name="Currency 5 2 2 3 3 2 3" xfId="11435" xr:uid="{53C69F89-2E58-4A49-B0DF-EE53E052D9F3}"/>
    <cellStyle name="Currency 5 2 2 3 3 3" xfId="5058" xr:uid="{00000000-0005-0000-0000-0000E10B0000}"/>
    <cellStyle name="Currency 5 2 2 3 3 3 2" xfId="13508" xr:uid="{F4EABA5B-AC6D-4706-B069-902FD74644E8}"/>
    <cellStyle name="Currency 5 2 2 3 3 4" xfId="9290" xr:uid="{3DCC7A92-A41A-4F2D-BCA6-C7DF705A91B5}"/>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16066" xr:uid="{8ADA6A2D-9DB0-44BA-B280-82DCFA3B200A}"/>
    <cellStyle name="Currency 5 2 2 3 4 2 3" xfId="11848" xr:uid="{85258069-DC33-422B-8BB4-948109EEAD0D}"/>
    <cellStyle name="Currency 5 2 2 3 4 3" xfId="5471" xr:uid="{00000000-0005-0000-0000-0000E50B0000}"/>
    <cellStyle name="Currency 5 2 2 3 4 3 2" xfId="13921" xr:uid="{0358BD06-871E-45CC-937C-E6FA2B22EB27}"/>
    <cellStyle name="Currency 5 2 2 3 4 4" xfId="9703" xr:uid="{7CFD8994-CAEB-42B2-B6ED-AA959A3914BB}"/>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16479" xr:uid="{5A5FB134-F05E-4FC6-8A56-005D96F6FAF1}"/>
    <cellStyle name="Currency 5 2 2 3 5 2 3" xfId="12261" xr:uid="{15EE4E1C-05E6-4AC2-A245-8C7D53CB7DCC}"/>
    <cellStyle name="Currency 5 2 2 3 5 3" xfId="5884" xr:uid="{00000000-0005-0000-0000-0000E90B0000}"/>
    <cellStyle name="Currency 5 2 2 3 5 3 2" xfId="14334" xr:uid="{A3CD1756-DD54-4B11-AB5A-B112680CF984}"/>
    <cellStyle name="Currency 5 2 2 3 5 4" xfId="10116" xr:uid="{D7EE2465-DDA8-40D9-8686-22B3A47913BE}"/>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16892" xr:uid="{54C9F192-7F88-4E2A-8CD1-147BEE6DC041}"/>
    <cellStyle name="Currency 5 2 2 3 6 2 3" xfId="12674" xr:uid="{ABC7A8D8-7F9A-4A81-AAC3-99247DD4B2B8}"/>
    <cellStyle name="Currency 5 2 2 3 6 3" xfId="6297" xr:uid="{00000000-0005-0000-0000-0000ED0B0000}"/>
    <cellStyle name="Currency 5 2 2 3 6 3 2" xfId="14747" xr:uid="{9973B035-9BC5-42EB-8290-84446BE2DE11}"/>
    <cellStyle name="Currency 5 2 2 3 6 4" xfId="10529" xr:uid="{5312B900-05D5-4FD6-BA08-C4982380361A}"/>
    <cellStyle name="Currency 5 2 2 3 7" xfId="2426" xr:uid="{00000000-0005-0000-0000-0000EE0B0000}"/>
    <cellStyle name="Currency 5 2 2 3 7 2" xfId="6710" xr:uid="{00000000-0005-0000-0000-0000EF0B0000}"/>
    <cellStyle name="Currency 5 2 2 3 7 2 2" xfId="15160" xr:uid="{26388786-F51B-4F03-BB8A-B3E10DC1474A}"/>
    <cellStyle name="Currency 5 2 2 3 7 3" xfId="10942" xr:uid="{5DA81E3A-021C-4C01-913F-92558CD4FFED}"/>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15477" xr:uid="{E60E8400-55E5-4FF9-AE78-C57623DA0723}"/>
    <cellStyle name="Currency 5 2 2 3 9 3" xfId="11259" xr:uid="{56E560DC-53FA-4469-9AC2-67DFFF8C4874}"/>
    <cellStyle name="Currency 5 2 2 4" xfId="202" xr:uid="{00000000-0005-0000-0000-0000F30B0000}"/>
    <cellStyle name="Currency 5 2 2 4 10" xfId="8878" xr:uid="{C4379330-D17F-47B6-A6CB-7774FE1B2849}"/>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15655" xr:uid="{EA4D649F-A762-4364-8044-346942E2BC05}"/>
    <cellStyle name="Currency 5 2 2 4 2 2 3" xfId="11437" xr:uid="{2A52E158-3594-48B2-8F22-C0672277EE9B}"/>
    <cellStyle name="Currency 5 2 2 4 2 3" xfId="5060" xr:uid="{00000000-0005-0000-0000-0000F70B0000}"/>
    <cellStyle name="Currency 5 2 2 4 2 3 2" xfId="13510" xr:uid="{7EF0D8B3-2C41-4C3A-AC46-AD7FCFF18B62}"/>
    <cellStyle name="Currency 5 2 2 4 2 4" xfId="9292" xr:uid="{233C49A5-1FFF-46FB-AC74-ECB2B8D47C58}"/>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16068" xr:uid="{9B750B0F-12CD-4233-8C5A-B79B5985709E}"/>
    <cellStyle name="Currency 5 2 2 4 3 2 3" xfId="11850" xr:uid="{36A55672-46C1-4006-AD62-E556608FA621}"/>
    <cellStyle name="Currency 5 2 2 4 3 3" xfId="5473" xr:uid="{00000000-0005-0000-0000-0000FB0B0000}"/>
    <cellStyle name="Currency 5 2 2 4 3 3 2" xfId="13923" xr:uid="{8794B27A-6D31-429B-8BC6-B3938D2D88FF}"/>
    <cellStyle name="Currency 5 2 2 4 3 4" xfId="9705" xr:uid="{96D8DC15-0D7D-4A32-8AB8-2CCD25A253F8}"/>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16481" xr:uid="{427AF20E-13F5-44D6-98A5-A701575538C1}"/>
    <cellStyle name="Currency 5 2 2 4 4 2 3" xfId="12263" xr:uid="{4813FE65-7D09-4D21-AA4F-06515AFE19DD}"/>
    <cellStyle name="Currency 5 2 2 4 4 3" xfId="5886" xr:uid="{00000000-0005-0000-0000-0000FF0B0000}"/>
    <cellStyle name="Currency 5 2 2 4 4 3 2" xfId="14336" xr:uid="{5693854A-B011-4059-BF55-A5C4CCFB9A8D}"/>
    <cellStyle name="Currency 5 2 2 4 4 4" xfId="10118" xr:uid="{72E4FF0E-21CA-4C89-9D23-D50A7F4E4BC4}"/>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16894" xr:uid="{B3E67C32-6838-49C7-A1FD-21803EAE7249}"/>
    <cellStyle name="Currency 5 2 2 4 5 2 3" xfId="12676" xr:uid="{1D9190FB-7EE4-4AFC-97A9-660240C277E2}"/>
    <cellStyle name="Currency 5 2 2 4 5 3" xfId="6299" xr:uid="{00000000-0005-0000-0000-0000030C0000}"/>
    <cellStyle name="Currency 5 2 2 4 5 3 2" xfId="14749" xr:uid="{7981D3A8-819F-4F4C-B425-D52235FC99BF}"/>
    <cellStyle name="Currency 5 2 2 4 5 4" xfId="10531" xr:uid="{F3CF41C5-362C-4C40-8FCB-7F25FA40A27E}"/>
    <cellStyle name="Currency 5 2 2 4 6" xfId="2428" xr:uid="{00000000-0005-0000-0000-0000040C0000}"/>
    <cellStyle name="Currency 5 2 2 4 6 2" xfId="6712" xr:uid="{00000000-0005-0000-0000-0000050C0000}"/>
    <cellStyle name="Currency 5 2 2 4 6 2 2" xfId="15162" xr:uid="{77E3D72C-4BE2-489C-8347-6AA63BDFE2F7}"/>
    <cellStyle name="Currency 5 2 2 4 6 3" xfId="10944" xr:uid="{23850ABF-45D5-416A-9671-4D1C27DAC4AD}"/>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15479" xr:uid="{BD4EEFF1-6BB8-474E-B7B3-83A8C906DC9B}"/>
    <cellStyle name="Currency 5 2 2 4 8 3" xfId="11261" xr:uid="{75954DD2-CF7C-4ECB-A8CF-E358F526F2EB}"/>
    <cellStyle name="Currency 5 2 2 4 9" xfId="4646" xr:uid="{00000000-0005-0000-0000-0000090C0000}"/>
    <cellStyle name="Currency 5 2 2 4 9 2" xfId="13096" xr:uid="{033CB80A-57E8-449A-B3F1-56EDE4243685}"/>
    <cellStyle name="Currency 5 2 2 5" xfId="203" xr:uid="{00000000-0005-0000-0000-00000A0C0000}"/>
    <cellStyle name="Currency 5 2 2 5 10" xfId="8879" xr:uid="{0AA33849-5642-4D49-AAFE-22BFAF867081}"/>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15656" xr:uid="{96EC03EB-D9A5-4B60-A20B-48F464B7CDC4}"/>
    <cellStyle name="Currency 5 2 2 5 2 2 3" xfId="11438" xr:uid="{5C81182C-B416-4862-9EE4-690434C5B9D0}"/>
    <cellStyle name="Currency 5 2 2 5 2 3" xfId="5061" xr:uid="{00000000-0005-0000-0000-00000E0C0000}"/>
    <cellStyle name="Currency 5 2 2 5 2 3 2" xfId="13511" xr:uid="{BACB76FD-5361-4979-BF78-ABD8DB985AED}"/>
    <cellStyle name="Currency 5 2 2 5 2 4" xfId="9293" xr:uid="{8E0700EF-E3FB-42EA-9E03-9AAD125C5BD4}"/>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16069" xr:uid="{C385D5B9-9DAB-4D86-8AAF-6E60E369C28E}"/>
    <cellStyle name="Currency 5 2 2 5 3 2 3" xfId="11851" xr:uid="{C408A806-D3DD-4C8E-9763-E4058EC4C9B3}"/>
    <cellStyle name="Currency 5 2 2 5 3 3" xfId="5474" xr:uid="{00000000-0005-0000-0000-0000120C0000}"/>
    <cellStyle name="Currency 5 2 2 5 3 3 2" xfId="13924" xr:uid="{F9281276-1C57-49C5-B636-974B50773824}"/>
    <cellStyle name="Currency 5 2 2 5 3 4" xfId="9706" xr:uid="{60CEAE2A-2505-47C4-9DC4-BF962726CBA3}"/>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16482" xr:uid="{9F0C4BAF-DAA2-4A08-81B1-B0BA03885ACB}"/>
    <cellStyle name="Currency 5 2 2 5 4 2 3" xfId="12264" xr:uid="{C675FA61-6D4A-428B-9BCC-05DE22769D20}"/>
    <cellStyle name="Currency 5 2 2 5 4 3" xfId="5887" xr:uid="{00000000-0005-0000-0000-0000160C0000}"/>
    <cellStyle name="Currency 5 2 2 5 4 3 2" xfId="14337" xr:uid="{A1ACA853-186F-4308-A70C-9697D8993990}"/>
    <cellStyle name="Currency 5 2 2 5 4 4" xfId="10119" xr:uid="{30DA4FEF-02D7-4EAA-AEC3-A6AADDC70A82}"/>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16895" xr:uid="{ED9AB741-38C2-4961-9D58-C9BFAD88255D}"/>
    <cellStyle name="Currency 5 2 2 5 5 2 3" xfId="12677" xr:uid="{73225CC3-5701-4589-AF71-680B893FEF0B}"/>
    <cellStyle name="Currency 5 2 2 5 5 3" xfId="6300" xr:uid="{00000000-0005-0000-0000-00001A0C0000}"/>
    <cellStyle name="Currency 5 2 2 5 5 3 2" xfId="14750" xr:uid="{74266A4D-83D7-40CF-B678-91B28AB0923F}"/>
    <cellStyle name="Currency 5 2 2 5 5 4" xfId="10532" xr:uid="{1CA7096E-B0F4-43C9-9EED-DD1F22C4E627}"/>
    <cellStyle name="Currency 5 2 2 5 6" xfId="2429" xr:uid="{00000000-0005-0000-0000-00001B0C0000}"/>
    <cellStyle name="Currency 5 2 2 5 6 2" xfId="6713" xr:uid="{00000000-0005-0000-0000-00001C0C0000}"/>
    <cellStyle name="Currency 5 2 2 5 6 2 2" xfId="15163" xr:uid="{5B7CFD92-F748-4CF3-BD19-673E317777AC}"/>
    <cellStyle name="Currency 5 2 2 5 6 3" xfId="10945" xr:uid="{A6C8A332-7A8E-4299-90BF-46D921B016C8}"/>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15480" xr:uid="{A34241CE-99DD-4C9C-95FB-7D81095BD76F}"/>
    <cellStyle name="Currency 5 2 2 5 8 3" xfId="11262" xr:uid="{971129AB-B73A-4A7B-A0F0-9A3203C75AFF}"/>
    <cellStyle name="Currency 5 2 2 5 9" xfId="4647" xr:uid="{00000000-0005-0000-0000-0000200C0000}"/>
    <cellStyle name="Currency 5 2 2 5 9 2" xfId="13097" xr:uid="{3AC482DA-5863-4185-8B1C-0C49FC40270D}"/>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13098" xr:uid="{F0B148CC-BAC7-4228-8041-9A62F9B43280}"/>
    <cellStyle name="Currency 5 2 4 11" xfId="8880" xr:uid="{D5FF5954-8BA0-410B-B440-D2F6272301C1}"/>
    <cellStyle name="Currency 5 2 4 2" xfId="206" xr:uid="{00000000-0005-0000-0000-0000250C0000}"/>
    <cellStyle name="Currency 5 2 4 2 10" xfId="8881" xr:uid="{0672FDAF-6FDF-4A1B-BA0C-793947CB705C}"/>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15658" xr:uid="{DFE2D1D0-4054-49A2-A516-D77EBBBDA42D}"/>
    <cellStyle name="Currency 5 2 4 2 2 2 3" xfId="11440" xr:uid="{1062CC76-3977-4977-B6A0-6278293E91A8}"/>
    <cellStyle name="Currency 5 2 4 2 2 3" xfId="5063" xr:uid="{00000000-0005-0000-0000-0000290C0000}"/>
    <cellStyle name="Currency 5 2 4 2 2 3 2" xfId="13513" xr:uid="{D71EA90D-C885-478D-B832-ECCB2C2A69F5}"/>
    <cellStyle name="Currency 5 2 4 2 2 4" xfId="9295" xr:uid="{9E2F4BEC-2D50-43CF-A5CE-B6857D4CC92B}"/>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16071" xr:uid="{6EE68911-D803-417E-AE43-48CBD184B2EF}"/>
    <cellStyle name="Currency 5 2 4 2 3 2 3" xfId="11853" xr:uid="{0BDD7FE7-CE6C-474F-8E25-9748C113D2A6}"/>
    <cellStyle name="Currency 5 2 4 2 3 3" xfId="5476" xr:uid="{00000000-0005-0000-0000-00002D0C0000}"/>
    <cellStyle name="Currency 5 2 4 2 3 3 2" xfId="13926" xr:uid="{701409DA-604E-44EB-B205-F7AA022A8263}"/>
    <cellStyle name="Currency 5 2 4 2 3 4" xfId="9708" xr:uid="{CAC39A81-788E-4AB0-A20F-99468AC5E405}"/>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16484" xr:uid="{DD07A45F-EAF4-4352-9D26-1FC2122A077B}"/>
    <cellStyle name="Currency 5 2 4 2 4 2 3" xfId="12266" xr:uid="{EE31D546-8E09-4312-AB98-B53705832F51}"/>
    <cellStyle name="Currency 5 2 4 2 4 3" xfId="5889" xr:uid="{00000000-0005-0000-0000-0000310C0000}"/>
    <cellStyle name="Currency 5 2 4 2 4 3 2" xfId="14339" xr:uid="{4F1F5C75-085B-4ED2-BA2D-81C873F50DDC}"/>
    <cellStyle name="Currency 5 2 4 2 4 4" xfId="10121" xr:uid="{31A01C26-7325-4A61-93F8-5240C059D50C}"/>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16897" xr:uid="{50C87883-9938-4EED-A55A-672EDB060A52}"/>
    <cellStyle name="Currency 5 2 4 2 5 2 3" xfId="12679" xr:uid="{13A24374-09B5-464D-B2E5-824382DCEF72}"/>
    <cellStyle name="Currency 5 2 4 2 5 3" xfId="6302" xr:uid="{00000000-0005-0000-0000-0000350C0000}"/>
    <cellStyle name="Currency 5 2 4 2 5 3 2" xfId="14752" xr:uid="{BEA79977-4E0A-410A-86ED-33D89054459F}"/>
    <cellStyle name="Currency 5 2 4 2 5 4" xfId="10534" xr:uid="{49299BE1-2E39-49EC-9003-017075DC739C}"/>
    <cellStyle name="Currency 5 2 4 2 6" xfId="2431" xr:uid="{00000000-0005-0000-0000-0000360C0000}"/>
    <cellStyle name="Currency 5 2 4 2 6 2" xfId="6715" xr:uid="{00000000-0005-0000-0000-0000370C0000}"/>
    <cellStyle name="Currency 5 2 4 2 6 2 2" xfId="15165" xr:uid="{6287B799-B8BB-4BFA-BC25-1F4573A45D61}"/>
    <cellStyle name="Currency 5 2 4 2 6 3" xfId="10947" xr:uid="{E8AF9938-2CD7-4CD5-ABD3-CE838F2F14A2}"/>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15482" xr:uid="{818D7085-6D44-4742-8769-4982D108C3F3}"/>
    <cellStyle name="Currency 5 2 4 2 8 3" xfId="11264" xr:uid="{67C42311-BF69-46D8-B2B3-7AD8351F2598}"/>
    <cellStyle name="Currency 5 2 4 2 9" xfId="4649" xr:uid="{00000000-0005-0000-0000-00003B0C0000}"/>
    <cellStyle name="Currency 5 2 4 2 9 2" xfId="13099" xr:uid="{F9DC1068-0EB9-418D-9BC9-E1875CC8D620}"/>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15657" xr:uid="{4A56BE78-71CE-4502-B89F-C86B34DD580E}"/>
    <cellStyle name="Currency 5 2 4 3 2 3" xfId="11439" xr:uid="{7A51B425-9176-43BA-87F6-6FEF8429532B}"/>
    <cellStyle name="Currency 5 2 4 3 3" xfId="5062" xr:uid="{00000000-0005-0000-0000-00003F0C0000}"/>
    <cellStyle name="Currency 5 2 4 3 3 2" xfId="13512" xr:uid="{312138BB-C9AF-4FEC-B935-32DDD531D3E1}"/>
    <cellStyle name="Currency 5 2 4 3 4" xfId="9294" xr:uid="{768D75D1-4C08-4633-8B04-50C7CF464AB1}"/>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16070" xr:uid="{AD0FF8B3-E327-4550-B397-4473C3129826}"/>
    <cellStyle name="Currency 5 2 4 4 2 3" xfId="11852" xr:uid="{2210D4F2-008B-4919-83F2-09597AFB3998}"/>
    <cellStyle name="Currency 5 2 4 4 3" xfId="5475" xr:uid="{00000000-0005-0000-0000-0000430C0000}"/>
    <cellStyle name="Currency 5 2 4 4 3 2" xfId="13925" xr:uid="{E6ABDA6A-79B9-4E43-8B9D-2C43A1375185}"/>
    <cellStyle name="Currency 5 2 4 4 4" xfId="9707" xr:uid="{ECBA1117-52A8-47BB-8F05-1F9201701BE9}"/>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16483" xr:uid="{AA42AB1A-1B74-4A46-9A54-D95F99A9C5AF}"/>
    <cellStyle name="Currency 5 2 4 5 2 3" xfId="12265" xr:uid="{200842DD-ECFB-4B43-875E-B70426784D25}"/>
    <cellStyle name="Currency 5 2 4 5 3" xfId="5888" xr:uid="{00000000-0005-0000-0000-0000470C0000}"/>
    <cellStyle name="Currency 5 2 4 5 3 2" xfId="14338" xr:uid="{F7D6311E-A17C-4C5C-B6DD-FF9368F0B432}"/>
    <cellStyle name="Currency 5 2 4 5 4" xfId="10120" xr:uid="{8D673B52-748E-4E0E-8DB7-614D94F349C7}"/>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16896" xr:uid="{4C0BED79-ED80-4D72-B9B8-67F46FAA14B9}"/>
    <cellStyle name="Currency 5 2 4 6 2 3" xfId="12678" xr:uid="{13AF0DCF-B6DC-4349-9627-3CF94A2B9423}"/>
    <cellStyle name="Currency 5 2 4 6 3" xfId="6301" xr:uid="{00000000-0005-0000-0000-00004B0C0000}"/>
    <cellStyle name="Currency 5 2 4 6 3 2" xfId="14751" xr:uid="{6388B877-7F3C-4F14-8AFA-0ADD9B1D9096}"/>
    <cellStyle name="Currency 5 2 4 6 4" xfId="10533" xr:uid="{F0949A16-F9D1-4D94-96DC-B63EDFDA53C1}"/>
    <cellStyle name="Currency 5 2 4 7" xfId="2430" xr:uid="{00000000-0005-0000-0000-00004C0C0000}"/>
    <cellStyle name="Currency 5 2 4 7 2" xfId="6714" xr:uid="{00000000-0005-0000-0000-00004D0C0000}"/>
    <cellStyle name="Currency 5 2 4 7 2 2" xfId="15164" xr:uid="{80CFD5AC-13D4-4C61-8D21-CA054DB8395A}"/>
    <cellStyle name="Currency 5 2 4 7 3" xfId="10946" xr:uid="{FAC1877E-6235-436F-AEB1-9B3488570118}"/>
    <cellStyle name="Currency 5 2 4 8" xfId="2727" xr:uid="{00000000-0005-0000-0000-00004E0C0000}"/>
    <cellStyle name="Currency 5 2 4 9" xfId="2808" xr:uid="{00000000-0005-0000-0000-00004F0C0000}"/>
    <cellStyle name="Currency 5 2 4 9 2" xfId="7031" xr:uid="{00000000-0005-0000-0000-0000500C0000}"/>
    <cellStyle name="Currency 5 2 4 9 2 2" xfId="15481" xr:uid="{245CE304-A830-42A3-B1F0-FC33E3F2EC92}"/>
    <cellStyle name="Currency 5 2 4 9 3" xfId="11263" xr:uid="{649AA2D3-1706-4BE8-88DA-B10FB4DA1ED7}"/>
    <cellStyle name="Currency 5 2 5" xfId="207" xr:uid="{00000000-0005-0000-0000-0000510C0000}"/>
    <cellStyle name="Currency 5 2 5 10" xfId="8882" xr:uid="{80ABF4B8-C384-4151-889D-3F1A44F2B846}"/>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15659" xr:uid="{002C440C-C9AC-4690-ACBD-B0A8D1E3C43F}"/>
    <cellStyle name="Currency 5 2 5 2 2 3" xfId="11441" xr:uid="{22122A98-F6C8-4B2D-AFD1-EF3A1C018D4B}"/>
    <cellStyle name="Currency 5 2 5 2 3" xfId="5064" xr:uid="{00000000-0005-0000-0000-0000550C0000}"/>
    <cellStyle name="Currency 5 2 5 2 3 2" xfId="13514" xr:uid="{4DFA09E2-A31D-43F0-BAE4-F798E250B101}"/>
    <cellStyle name="Currency 5 2 5 2 4" xfId="9296" xr:uid="{B3507663-77F6-4DD2-B7A3-399442520561}"/>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16072" xr:uid="{428EE293-FF82-47C4-BE2A-BA156A999228}"/>
    <cellStyle name="Currency 5 2 5 3 2 3" xfId="11854" xr:uid="{05052482-51A7-44FB-80DB-184EA46ACFC6}"/>
    <cellStyle name="Currency 5 2 5 3 3" xfId="5477" xr:uid="{00000000-0005-0000-0000-0000590C0000}"/>
    <cellStyle name="Currency 5 2 5 3 3 2" xfId="13927" xr:uid="{960F8F90-E73D-4D0B-941F-D37F30BA1046}"/>
    <cellStyle name="Currency 5 2 5 3 4" xfId="9709" xr:uid="{F0E588FE-C958-4843-93E4-B0601C4B34F5}"/>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16485" xr:uid="{E6E6ABF1-A356-41BD-8E13-98C308491321}"/>
    <cellStyle name="Currency 5 2 5 4 2 3" xfId="12267" xr:uid="{7F060831-1139-4E6F-8BB3-CB6F8183A52F}"/>
    <cellStyle name="Currency 5 2 5 4 3" xfId="5890" xr:uid="{00000000-0005-0000-0000-00005D0C0000}"/>
    <cellStyle name="Currency 5 2 5 4 3 2" xfId="14340" xr:uid="{97A06864-5906-4AD5-B04C-CBDF6D6E6EA3}"/>
    <cellStyle name="Currency 5 2 5 4 4" xfId="10122" xr:uid="{FA00EA12-BAEE-45C7-827B-C2C134D9E034}"/>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16898" xr:uid="{BEAB27F1-4643-4F80-9641-505AE2A4B526}"/>
    <cellStyle name="Currency 5 2 5 5 2 3" xfId="12680" xr:uid="{8BBFD0B3-5774-42F0-A229-E2A666B2739C}"/>
    <cellStyle name="Currency 5 2 5 5 3" xfId="6303" xr:uid="{00000000-0005-0000-0000-0000610C0000}"/>
    <cellStyle name="Currency 5 2 5 5 3 2" xfId="14753" xr:uid="{BD49B425-CB60-4386-BE9D-4BD40E157E22}"/>
    <cellStyle name="Currency 5 2 5 5 4" xfId="10535" xr:uid="{4E5C09EC-6C6A-45A9-B420-D82BF49AE23D}"/>
    <cellStyle name="Currency 5 2 5 6" xfId="2432" xr:uid="{00000000-0005-0000-0000-0000620C0000}"/>
    <cellStyle name="Currency 5 2 5 6 2" xfId="6716" xr:uid="{00000000-0005-0000-0000-0000630C0000}"/>
    <cellStyle name="Currency 5 2 5 6 2 2" xfId="15166" xr:uid="{3315D5AA-1CC7-4D61-BE4E-59BBE268E2F3}"/>
    <cellStyle name="Currency 5 2 5 6 3" xfId="10948" xr:uid="{E9B44334-3AD5-4C83-821C-C9755E3462F1}"/>
    <cellStyle name="Currency 5 2 5 7" xfId="2729" xr:uid="{00000000-0005-0000-0000-0000640C0000}"/>
    <cellStyle name="Currency 5 2 5 8" xfId="2810" xr:uid="{00000000-0005-0000-0000-0000650C0000}"/>
    <cellStyle name="Currency 5 2 5 8 2" xfId="7033" xr:uid="{00000000-0005-0000-0000-0000660C0000}"/>
    <cellStyle name="Currency 5 2 5 8 2 2" xfId="15483" xr:uid="{F7080136-13C2-4D53-8EA2-B0CFE5A20F59}"/>
    <cellStyle name="Currency 5 2 5 8 3" xfId="11265" xr:uid="{5352CE0F-5953-44F3-BCC4-6F30DABF9D8E}"/>
    <cellStyle name="Currency 5 2 5 9" xfId="4650" xr:uid="{00000000-0005-0000-0000-0000670C0000}"/>
    <cellStyle name="Currency 5 2 5 9 2" xfId="13100" xr:uid="{AFD2DDF8-A796-417A-8372-B0C6DD05FD0F}"/>
    <cellStyle name="Currency 5 2 6" xfId="208" xr:uid="{00000000-0005-0000-0000-0000680C0000}"/>
    <cellStyle name="Currency 5 2 6 10" xfId="8883" xr:uid="{6AD87AED-79A9-4D9B-A799-B5666812FB2B}"/>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15660" xr:uid="{BB5A9E44-1AD1-4899-BCC0-2D7E09096EE0}"/>
    <cellStyle name="Currency 5 2 6 2 2 3" xfId="11442" xr:uid="{9D516E27-7974-413D-BDA2-01D43DF82073}"/>
    <cellStyle name="Currency 5 2 6 2 3" xfId="5065" xr:uid="{00000000-0005-0000-0000-00006C0C0000}"/>
    <cellStyle name="Currency 5 2 6 2 3 2" xfId="13515" xr:uid="{02420815-B7B5-4705-B18E-654C6F35354D}"/>
    <cellStyle name="Currency 5 2 6 2 4" xfId="9297" xr:uid="{4B6CFA35-C41B-46AD-BAE9-D7C86BB2CA17}"/>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16073" xr:uid="{BD63C4CA-7BB1-4A27-B878-26F5B39205D4}"/>
    <cellStyle name="Currency 5 2 6 3 2 3" xfId="11855" xr:uid="{15916D5F-6439-40DC-B9B8-59A30F8A006B}"/>
    <cellStyle name="Currency 5 2 6 3 3" xfId="5478" xr:uid="{00000000-0005-0000-0000-0000700C0000}"/>
    <cellStyle name="Currency 5 2 6 3 3 2" xfId="13928" xr:uid="{438CBBBD-3733-4348-B4C4-4947DE6808CF}"/>
    <cellStyle name="Currency 5 2 6 3 4" xfId="9710" xr:uid="{BCE3FD3B-6E47-4470-8384-64F367036D28}"/>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16486" xr:uid="{8DB4F563-2F23-4791-BAB0-19737D0E3518}"/>
    <cellStyle name="Currency 5 2 6 4 2 3" xfId="12268" xr:uid="{21B947C0-A66E-4001-BF30-8D29D8B5DFF9}"/>
    <cellStyle name="Currency 5 2 6 4 3" xfId="5891" xr:uid="{00000000-0005-0000-0000-0000740C0000}"/>
    <cellStyle name="Currency 5 2 6 4 3 2" xfId="14341" xr:uid="{844D35CA-D4FF-4BAF-A8F5-3022DF32F783}"/>
    <cellStyle name="Currency 5 2 6 4 4" xfId="10123" xr:uid="{3579D4F0-9706-4951-8C08-460E7F9E1BD2}"/>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16899" xr:uid="{139B4E0A-44F8-4591-B1F3-B8826560E162}"/>
    <cellStyle name="Currency 5 2 6 5 2 3" xfId="12681" xr:uid="{3DC70985-6A2A-4497-BD4B-467F67FD62E9}"/>
    <cellStyle name="Currency 5 2 6 5 3" xfId="6304" xr:uid="{00000000-0005-0000-0000-0000780C0000}"/>
    <cellStyle name="Currency 5 2 6 5 3 2" xfId="14754" xr:uid="{A1F8A41A-D95A-4D33-BD9A-CDAC8061B3A4}"/>
    <cellStyle name="Currency 5 2 6 5 4" xfId="10536" xr:uid="{40AED81C-3468-466C-B062-5E9F4272B43F}"/>
    <cellStyle name="Currency 5 2 6 6" xfId="2433" xr:uid="{00000000-0005-0000-0000-0000790C0000}"/>
    <cellStyle name="Currency 5 2 6 6 2" xfId="6717" xr:uid="{00000000-0005-0000-0000-00007A0C0000}"/>
    <cellStyle name="Currency 5 2 6 6 2 2" xfId="15167" xr:uid="{BC4F6668-5947-407C-85AA-356EC86CBC54}"/>
    <cellStyle name="Currency 5 2 6 6 3" xfId="10949" xr:uid="{09EAB3C5-BF8C-470C-9F2F-8A97A0C0B45B}"/>
    <cellStyle name="Currency 5 2 6 7" xfId="2730" xr:uid="{00000000-0005-0000-0000-00007B0C0000}"/>
    <cellStyle name="Currency 5 2 6 8" xfId="2811" xr:uid="{00000000-0005-0000-0000-00007C0C0000}"/>
    <cellStyle name="Currency 5 2 6 8 2" xfId="7034" xr:uid="{00000000-0005-0000-0000-00007D0C0000}"/>
    <cellStyle name="Currency 5 2 6 8 2 2" xfId="15484" xr:uid="{0DC9B769-7AE3-4F7B-AE97-F4B372E9FC78}"/>
    <cellStyle name="Currency 5 2 6 8 3" xfId="11266" xr:uid="{D6F269E8-F22F-472B-87D2-234016C9DB90}"/>
    <cellStyle name="Currency 5 2 6 9" xfId="4651" xr:uid="{00000000-0005-0000-0000-00007E0C0000}"/>
    <cellStyle name="Currency 5 2 6 9 2" xfId="13101" xr:uid="{84FBA36C-E8DB-4746-B942-B896F351CBD4}"/>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15485" xr:uid="{B62EED93-4E7D-4824-A9F0-D030EFC6EBF0}"/>
    <cellStyle name="Currency 5 3 2 10 3" xfId="11267" xr:uid="{7EB4716F-6BDC-4B54-8DF1-30A839B25B43}"/>
    <cellStyle name="Currency 5 3 2 11" xfId="4652" xr:uid="{00000000-0005-0000-0000-0000840C0000}"/>
    <cellStyle name="Currency 5 3 2 11 2" xfId="13102" xr:uid="{1A2117DB-672E-4411-8C68-EBA1B39A503F}"/>
    <cellStyle name="Currency 5 3 2 12" xfId="8884" xr:uid="{8F574B9B-9D61-4D52-A510-850DC16BCAD1}"/>
    <cellStyle name="Currency 5 3 2 2" xfId="211" xr:uid="{00000000-0005-0000-0000-0000850C0000}"/>
    <cellStyle name="Currency 5 3 2 2 10" xfId="4653" xr:uid="{00000000-0005-0000-0000-0000860C0000}"/>
    <cellStyle name="Currency 5 3 2 2 10 2" xfId="13103" xr:uid="{B2DA255D-1B42-4A18-8A2C-A7BB226D22C5}"/>
    <cellStyle name="Currency 5 3 2 2 11" xfId="8885" xr:uid="{0299F9F3-4FE6-48CE-B239-961C6CFD3F4C}"/>
    <cellStyle name="Currency 5 3 2 2 2" xfId="212" xr:uid="{00000000-0005-0000-0000-0000870C0000}"/>
    <cellStyle name="Currency 5 3 2 2 2 10" xfId="8886" xr:uid="{FE9E94D5-8FDF-4CA1-87D0-C43AB614842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15663" xr:uid="{49DDD0DB-06D6-43B1-95F0-C8D5AD9EC9BE}"/>
    <cellStyle name="Currency 5 3 2 2 2 2 2 3" xfId="11445" xr:uid="{6851DDA3-2F65-432A-AA34-A3E12E398C2C}"/>
    <cellStyle name="Currency 5 3 2 2 2 2 3" xfId="5068" xr:uid="{00000000-0005-0000-0000-00008B0C0000}"/>
    <cellStyle name="Currency 5 3 2 2 2 2 3 2" xfId="13518" xr:uid="{072F68C9-2E14-47FE-8922-C565845AC33D}"/>
    <cellStyle name="Currency 5 3 2 2 2 2 4" xfId="9300" xr:uid="{68F2FAF1-30ED-48F2-80ED-9170C16A310C}"/>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16076" xr:uid="{0596C0F4-3192-4B72-A976-A1DFBD37C2E6}"/>
    <cellStyle name="Currency 5 3 2 2 2 3 2 3" xfId="11858" xr:uid="{E8D42DBF-CB63-4F5C-B987-CF0430FB8C05}"/>
    <cellStyle name="Currency 5 3 2 2 2 3 3" xfId="5481" xr:uid="{00000000-0005-0000-0000-00008F0C0000}"/>
    <cellStyle name="Currency 5 3 2 2 2 3 3 2" xfId="13931" xr:uid="{736D3831-6EB7-4DE3-A766-F573FE247117}"/>
    <cellStyle name="Currency 5 3 2 2 2 3 4" xfId="9713" xr:uid="{7FC30601-4DBF-4856-B3E7-953A0E49F5AF}"/>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16489" xr:uid="{D4548EFD-06F4-4347-AB46-8CCA7E5824E0}"/>
    <cellStyle name="Currency 5 3 2 2 2 4 2 3" xfId="12271" xr:uid="{0DECE148-CE91-4717-B6F4-D52A419A9689}"/>
    <cellStyle name="Currency 5 3 2 2 2 4 3" xfId="5894" xr:uid="{00000000-0005-0000-0000-0000930C0000}"/>
    <cellStyle name="Currency 5 3 2 2 2 4 3 2" xfId="14344" xr:uid="{0C3A5298-EEA2-4980-825D-C02F00E21F01}"/>
    <cellStyle name="Currency 5 3 2 2 2 4 4" xfId="10126" xr:uid="{E4D1C061-875D-4114-B08B-27226EF16E23}"/>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16902" xr:uid="{58B17C75-4788-48EC-861E-5F1897918D9C}"/>
    <cellStyle name="Currency 5 3 2 2 2 5 2 3" xfId="12684" xr:uid="{803BAF72-02F0-41C9-B5A6-6125366F9F0F}"/>
    <cellStyle name="Currency 5 3 2 2 2 5 3" xfId="6307" xr:uid="{00000000-0005-0000-0000-0000970C0000}"/>
    <cellStyle name="Currency 5 3 2 2 2 5 3 2" xfId="14757" xr:uid="{35BD10AA-B30D-4424-99D1-0834DBD7215B}"/>
    <cellStyle name="Currency 5 3 2 2 2 5 4" xfId="10539" xr:uid="{E6D4C483-86B6-4F7D-AF4D-56B9A12BA1ED}"/>
    <cellStyle name="Currency 5 3 2 2 2 6" xfId="2436" xr:uid="{00000000-0005-0000-0000-0000980C0000}"/>
    <cellStyle name="Currency 5 3 2 2 2 6 2" xfId="6720" xr:uid="{00000000-0005-0000-0000-0000990C0000}"/>
    <cellStyle name="Currency 5 3 2 2 2 6 2 2" xfId="15170" xr:uid="{8BE07ACA-BCBD-4C91-B6B4-91D08855657B}"/>
    <cellStyle name="Currency 5 3 2 2 2 6 3" xfId="10952" xr:uid="{93A5F919-0401-446E-A80C-9BC89882C068}"/>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15487" xr:uid="{E1834448-BFCC-462B-AF84-AC0807904B4A}"/>
    <cellStyle name="Currency 5 3 2 2 2 8 3" xfId="11269" xr:uid="{DF3DC58A-5A46-40E2-9AA4-9C4390265051}"/>
    <cellStyle name="Currency 5 3 2 2 2 9" xfId="4654" xr:uid="{00000000-0005-0000-0000-00009D0C0000}"/>
    <cellStyle name="Currency 5 3 2 2 2 9 2" xfId="13104" xr:uid="{D258C6DD-60AE-4B25-8FA9-BF945627782E}"/>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15662" xr:uid="{29096BF9-B793-48F8-9BD8-75B93D944301}"/>
    <cellStyle name="Currency 5 3 2 2 3 2 3" xfId="11444" xr:uid="{25D43851-C03D-413B-857E-2840103D27C5}"/>
    <cellStyle name="Currency 5 3 2 2 3 3" xfId="5067" xr:uid="{00000000-0005-0000-0000-0000A10C0000}"/>
    <cellStyle name="Currency 5 3 2 2 3 3 2" xfId="13517" xr:uid="{6C26F0EB-7DA7-47A9-BC73-3B390077E4BA}"/>
    <cellStyle name="Currency 5 3 2 2 3 4" xfId="9299" xr:uid="{D9F676A8-01C2-41B4-8E24-090106D49AA1}"/>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16075" xr:uid="{47BB738A-4F59-4FA0-A4E1-F1DB30ADA02A}"/>
    <cellStyle name="Currency 5 3 2 2 4 2 3" xfId="11857" xr:uid="{F7B97E4D-45FC-4B8E-837A-D0F1AC095567}"/>
    <cellStyle name="Currency 5 3 2 2 4 3" xfId="5480" xr:uid="{00000000-0005-0000-0000-0000A50C0000}"/>
    <cellStyle name="Currency 5 3 2 2 4 3 2" xfId="13930" xr:uid="{DC889591-BCDA-4C13-87DF-7661C9718ED6}"/>
    <cellStyle name="Currency 5 3 2 2 4 4" xfId="9712" xr:uid="{7AC63226-C329-4505-AE15-BC8116738CDF}"/>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16488" xr:uid="{A456797D-F581-434D-A2C9-0FC71AC76D1B}"/>
    <cellStyle name="Currency 5 3 2 2 5 2 3" xfId="12270" xr:uid="{489A41BC-AC50-4206-862C-C2CA9B50BABA}"/>
    <cellStyle name="Currency 5 3 2 2 5 3" xfId="5893" xr:uid="{00000000-0005-0000-0000-0000A90C0000}"/>
    <cellStyle name="Currency 5 3 2 2 5 3 2" xfId="14343" xr:uid="{ABBE6944-B38A-4DE2-A6D4-73F8528CCD61}"/>
    <cellStyle name="Currency 5 3 2 2 5 4" xfId="10125" xr:uid="{D7B34DAD-08EA-492A-B993-0A02BC70010E}"/>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16901" xr:uid="{1FBCE353-4E7E-4202-B037-B94331900493}"/>
    <cellStyle name="Currency 5 3 2 2 6 2 3" xfId="12683" xr:uid="{0CAD509E-4DCF-4280-AF98-E08EC1BB79AA}"/>
    <cellStyle name="Currency 5 3 2 2 6 3" xfId="6306" xr:uid="{00000000-0005-0000-0000-0000AD0C0000}"/>
    <cellStyle name="Currency 5 3 2 2 6 3 2" xfId="14756" xr:uid="{3902FC59-3E24-46C7-B8C3-B0EADD90E8A0}"/>
    <cellStyle name="Currency 5 3 2 2 6 4" xfId="10538" xr:uid="{6F9D1416-DF08-4AEF-B7F7-6C71DF4B4833}"/>
    <cellStyle name="Currency 5 3 2 2 7" xfId="2435" xr:uid="{00000000-0005-0000-0000-0000AE0C0000}"/>
    <cellStyle name="Currency 5 3 2 2 7 2" xfId="6719" xr:uid="{00000000-0005-0000-0000-0000AF0C0000}"/>
    <cellStyle name="Currency 5 3 2 2 7 2 2" xfId="15169" xr:uid="{9575B502-4A2A-4815-AA19-3F5A2F882422}"/>
    <cellStyle name="Currency 5 3 2 2 7 3" xfId="10951" xr:uid="{9693038A-2D49-447B-9BC4-CF6438670EDA}"/>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15486" xr:uid="{9364D33E-2780-4448-857E-658E62ABF9F0}"/>
    <cellStyle name="Currency 5 3 2 2 9 3" xfId="11268" xr:uid="{7F08FA23-2292-4CE7-9E24-20FE1A9D78AC}"/>
    <cellStyle name="Currency 5 3 2 3" xfId="213" xr:uid="{00000000-0005-0000-0000-0000B30C0000}"/>
    <cellStyle name="Currency 5 3 2 3 10" xfId="8887" xr:uid="{F614C5EB-D851-43B7-A66D-EACE4D129AF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15664" xr:uid="{D43042F9-911F-4433-BA2F-BDBC21CF9624}"/>
    <cellStyle name="Currency 5 3 2 3 2 2 3" xfId="11446" xr:uid="{129464FE-364B-4BB0-8E75-D8EBD0A83D6D}"/>
    <cellStyle name="Currency 5 3 2 3 2 3" xfId="5069" xr:uid="{00000000-0005-0000-0000-0000B70C0000}"/>
    <cellStyle name="Currency 5 3 2 3 2 3 2" xfId="13519" xr:uid="{F3687540-1D45-4F22-A7D4-39B2CDA5036D}"/>
    <cellStyle name="Currency 5 3 2 3 2 4" xfId="9301" xr:uid="{A88F4B32-881C-4738-9FFB-089105E6CEA1}"/>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16077" xr:uid="{FD854F3C-249E-42DF-A80C-7325A1633DFD}"/>
    <cellStyle name="Currency 5 3 2 3 3 2 3" xfId="11859" xr:uid="{2DC10A4C-B9C6-406F-97EA-40AD3EC326D9}"/>
    <cellStyle name="Currency 5 3 2 3 3 3" xfId="5482" xr:uid="{00000000-0005-0000-0000-0000BB0C0000}"/>
    <cellStyle name="Currency 5 3 2 3 3 3 2" xfId="13932" xr:uid="{FCE18275-4648-4BE8-89EE-45AAA29F7BCB}"/>
    <cellStyle name="Currency 5 3 2 3 3 4" xfId="9714" xr:uid="{6E32B86D-93C1-4ABF-89B1-754F9347944C}"/>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16490" xr:uid="{765FE026-BCB7-4B60-A3B7-7AC7F767C785}"/>
    <cellStyle name="Currency 5 3 2 3 4 2 3" xfId="12272" xr:uid="{59A3E9B8-AED5-454D-9C36-FC674295B114}"/>
    <cellStyle name="Currency 5 3 2 3 4 3" xfId="5895" xr:uid="{00000000-0005-0000-0000-0000BF0C0000}"/>
    <cellStyle name="Currency 5 3 2 3 4 3 2" xfId="14345" xr:uid="{10B15BF5-0F4B-42FE-ADEA-2DEA4A0008CA}"/>
    <cellStyle name="Currency 5 3 2 3 4 4" xfId="10127" xr:uid="{6F8FB941-D03D-4C83-8DEF-17CBF18E2C5C}"/>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16903" xr:uid="{37A5EC67-9F48-488E-90B1-76E76956D103}"/>
    <cellStyle name="Currency 5 3 2 3 5 2 3" xfId="12685" xr:uid="{4B69ED17-D7A3-4EE2-A7BA-50FCBB139A25}"/>
    <cellStyle name="Currency 5 3 2 3 5 3" xfId="6308" xr:uid="{00000000-0005-0000-0000-0000C30C0000}"/>
    <cellStyle name="Currency 5 3 2 3 5 3 2" xfId="14758" xr:uid="{1DA1E8A3-9D5C-4483-BA35-2B1B19BF36F3}"/>
    <cellStyle name="Currency 5 3 2 3 5 4" xfId="10540" xr:uid="{0768D0FC-087C-49BD-8F9F-B846F7443A18}"/>
    <cellStyle name="Currency 5 3 2 3 6" xfId="2437" xr:uid="{00000000-0005-0000-0000-0000C40C0000}"/>
    <cellStyle name="Currency 5 3 2 3 6 2" xfId="6721" xr:uid="{00000000-0005-0000-0000-0000C50C0000}"/>
    <cellStyle name="Currency 5 3 2 3 6 2 2" xfId="15171" xr:uid="{6AA4C659-D5F1-4D7E-BA03-8814D4EFB69B}"/>
    <cellStyle name="Currency 5 3 2 3 6 3" xfId="10953" xr:uid="{5FF4EB4B-1801-4D2E-976F-7CCBC4DE9AE5}"/>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15488" xr:uid="{B302612A-F179-4C88-B2E6-25D1AB3607C8}"/>
    <cellStyle name="Currency 5 3 2 3 8 3" xfId="11270" xr:uid="{F06E5C66-8018-4227-8591-58311EF90E5B}"/>
    <cellStyle name="Currency 5 3 2 3 9" xfId="4655" xr:uid="{00000000-0005-0000-0000-0000C90C0000}"/>
    <cellStyle name="Currency 5 3 2 3 9 2" xfId="13105" xr:uid="{CD753B0D-12D8-46DA-B880-9DA85BACDD5E}"/>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15661" xr:uid="{7BC6F15F-3854-4826-9412-355DDC5F1D6A}"/>
    <cellStyle name="Currency 5 3 2 4 2 3" xfId="11443" xr:uid="{A3562142-B9EA-4C15-A850-183A2F2092C8}"/>
    <cellStyle name="Currency 5 3 2 4 3" xfId="5066" xr:uid="{00000000-0005-0000-0000-0000CD0C0000}"/>
    <cellStyle name="Currency 5 3 2 4 3 2" xfId="13516" xr:uid="{6F990E03-EECA-4F52-8AD1-785881C93B6C}"/>
    <cellStyle name="Currency 5 3 2 4 4" xfId="9298" xr:uid="{48D7FD55-A6AB-4555-994F-F545DB0541E1}"/>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16074" xr:uid="{901EA6BF-D9E9-4D35-97CF-950A53B1911E}"/>
    <cellStyle name="Currency 5 3 2 5 2 3" xfId="11856" xr:uid="{C0901515-25D6-4D35-A069-BF985E3F0B41}"/>
    <cellStyle name="Currency 5 3 2 5 3" xfId="5479" xr:uid="{00000000-0005-0000-0000-0000D10C0000}"/>
    <cellStyle name="Currency 5 3 2 5 3 2" xfId="13929" xr:uid="{CDB95E9E-6291-4CD4-94C2-896CAAEF78B4}"/>
    <cellStyle name="Currency 5 3 2 5 4" xfId="9711" xr:uid="{BCFE4A66-3140-4128-AF86-07162E013C62}"/>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16487" xr:uid="{5FC1823B-7DF6-4AD9-9B85-482E9EAD541B}"/>
    <cellStyle name="Currency 5 3 2 6 2 3" xfId="12269" xr:uid="{0CDDF3A2-7140-4F39-B63F-5AAA1C6129B2}"/>
    <cellStyle name="Currency 5 3 2 6 3" xfId="5892" xr:uid="{00000000-0005-0000-0000-0000D50C0000}"/>
    <cellStyle name="Currency 5 3 2 6 3 2" xfId="14342" xr:uid="{EB0DFEB9-5640-4DE9-AC9D-C6002449139A}"/>
    <cellStyle name="Currency 5 3 2 6 4" xfId="10124" xr:uid="{B500FD30-FE4A-409C-B201-F4684EEF3007}"/>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16900" xr:uid="{D9A87483-F299-4FC3-9B8F-EA539BEB6ABD}"/>
    <cellStyle name="Currency 5 3 2 7 2 3" xfId="12682" xr:uid="{999A01A0-F826-4FB6-869F-0933ADB2B7CD}"/>
    <cellStyle name="Currency 5 3 2 7 3" xfId="6305" xr:uid="{00000000-0005-0000-0000-0000D90C0000}"/>
    <cellStyle name="Currency 5 3 2 7 3 2" xfId="14755" xr:uid="{EC25C06A-2EB3-433B-9E96-970FCD857D91}"/>
    <cellStyle name="Currency 5 3 2 7 4" xfId="10537" xr:uid="{36E16C48-E5D5-4B22-8693-12CA392EF462}"/>
    <cellStyle name="Currency 5 3 2 8" xfId="2434" xr:uid="{00000000-0005-0000-0000-0000DA0C0000}"/>
    <cellStyle name="Currency 5 3 2 8 2" xfId="6718" xr:uid="{00000000-0005-0000-0000-0000DB0C0000}"/>
    <cellStyle name="Currency 5 3 2 8 2 2" xfId="15168" xr:uid="{1269C7EC-B2F0-4BBF-9397-F2F2C5FA874E}"/>
    <cellStyle name="Currency 5 3 2 8 3" xfId="10950" xr:uid="{0E7B1399-D618-42FA-89C9-3377E76B4BFD}"/>
    <cellStyle name="Currency 5 3 2 9" xfId="2731" xr:uid="{00000000-0005-0000-0000-0000DC0C0000}"/>
    <cellStyle name="Currency 5 3 3" xfId="214" xr:uid="{00000000-0005-0000-0000-0000DD0C0000}"/>
    <cellStyle name="Currency 5 3 3 10" xfId="4656" xr:uid="{00000000-0005-0000-0000-0000DE0C0000}"/>
    <cellStyle name="Currency 5 3 3 10 2" xfId="13106" xr:uid="{B89BA7D3-49CA-4C61-8386-6424B3C0A2AE}"/>
    <cellStyle name="Currency 5 3 3 11" xfId="8888" xr:uid="{86F335B9-3FC8-420A-9132-97E382D70589}"/>
    <cellStyle name="Currency 5 3 3 2" xfId="215" xr:uid="{00000000-0005-0000-0000-0000DF0C0000}"/>
    <cellStyle name="Currency 5 3 3 2 10" xfId="8889" xr:uid="{07A3231F-D996-4FD6-AD36-7EDF5B06E8E7}"/>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15666" xr:uid="{07F637A5-8067-4516-8B6A-4400865E99A6}"/>
    <cellStyle name="Currency 5 3 3 2 2 2 3" xfId="11448" xr:uid="{D2976C1B-B7DB-4682-A3D8-27E18FA67A8C}"/>
    <cellStyle name="Currency 5 3 3 2 2 3" xfId="5071" xr:uid="{00000000-0005-0000-0000-0000E30C0000}"/>
    <cellStyle name="Currency 5 3 3 2 2 3 2" xfId="13521" xr:uid="{8F310592-08D1-4F95-8ADC-2EF0C2D66683}"/>
    <cellStyle name="Currency 5 3 3 2 2 4" xfId="9303" xr:uid="{84631ECA-5CDA-46FF-A9F1-F66A7E999EF6}"/>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16079" xr:uid="{FBE88829-DCE0-418C-BB70-451CC181AD6A}"/>
    <cellStyle name="Currency 5 3 3 2 3 2 3" xfId="11861" xr:uid="{50FFB4A5-0782-4A4B-867B-71BACA8395C3}"/>
    <cellStyle name="Currency 5 3 3 2 3 3" xfId="5484" xr:uid="{00000000-0005-0000-0000-0000E70C0000}"/>
    <cellStyle name="Currency 5 3 3 2 3 3 2" xfId="13934" xr:uid="{442E108E-6F49-4D89-B1DA-8149DC284139}"/>
    <cellStyle name="Currency 5 3 3 2 3 4" xfId="9716" xr:uid="{2CF32F83-3D71-43EC-85F7-E173C919E37E}"/>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16492" xr:uid="{A1566E1F-03E6-4EC4-A2AB-8C00F0EE48F0}"/>
    <cellStyle name="Currency 5 3 3 2 4 2 3" xfId="12274" xr:uid="{48169906-988A-4583-BACE-4ACF7406139B}"/>
    <cellStyle name="Currency 5 3 3 2 4 3" xfId="5897" xr:uid="{00000000-0005-0000-0000-0000EB0C0000}"/>
    <cellStyle name="Currency 5 3 3 2 4 3 2" xfId="14347" xr:uid="{35FB124E-CA6C-48F1-A982-4AFEC9FD714C}"/>
    <cellStyle name="Currency 5 3 3 2 4 4" xfId="10129" xr:uid="{F9595377-F7C5-45CB-8BBD-3E2E6640BFB9}"/>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16905" xr:uid="{7D64F72D-BFE0-4D94-B38D-BC163EA3E97A}"/>
    <cellStyle name="Currency 5 3 3 2 5 2 3" xfId="12687" xr:uid="{FBA246DC-598C-440E-BED1-E26B29B83108}"/>
    <cellStyle name="Currency 5 3 3 2 5 3" xfId="6310" xr:uid="{00000000-0005-0000-0000-0000EF0C0000}"/>
    <cellStyle name="Currency 5 3 3 2 5 3 2" xfId="14760" xr:uid="{881929B6-232E-4E38-B0C7-4BE3C79C7144}"/>
    <cellStyle name="Currency 5 3 3 2 5 4" xfId="10542" xr:uid="{619052EC-34CE-4502-8685-B2816D5917C1}"/>
    <cellStyle name="Currency 5 3 3 2 6" xfId="2439" xr:uid="{00000000-0005-0000-0000-0000F00C0000}"/>
    <cellStyle name="Currency 5 3 3 2 6 2" xfId="6723" xr:uid="{00000000-0005-0000-0000-0000F10C0000}"/>
    <cellStyle name="Currency 5 3 3 2 6 2 2" xfId="15173" xr:uid="{B97D7D5F-D2D4-4748-BA3F-46E67A57334C}"/>
    <cellStyle name="Currency 5 3 3 2 6 3" xfId="10955" xr:uid="{0C9853B7-FC61-4119-A679-B91545D2E040}"/>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15490" xr:uid="{B4FD5B8D-04EA-4377-9DEB-43408ED60B85}"/>
    <cellStyle name="Currency 5 3 3 2 8 3" xfId="11272" xr:uid="{0E6C5719-56C1-4D12-9B9F-4AC70A6DE913}"/>
    <cellStyle name="Currency 5 3 3 2 9" xfId="4657" xr:uid="{00000000-0005-0000-0000-0000F50C0000}"/>
    <cellStyle name="Currency 5 3 3 2 9 2" xfId="13107" xr:uid="{98F855AC-8F58-4C78-9E67-42306E335476}"/>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15665" xr:uid="{52FFBD98-B79D-45E0-90F5-43B04C6FC9F2}"/>
    <cellStyle name="Currency 5 3 3 3 2 3" xfId="11447" xr:uid="{5FA9EA26-BEB5-462A-BDF3-0653A389D62D}"/>
    <cellStyle name="Currency 5 3 3 3 3" xfId="5070" xr:uid="{00000000-0005-0000-0000-0000F90C0000}"/>
    <cellStyle name="Currency 5 3 3 3 3 2" xfId="13520" xr:uid="{6FA535DE-6DFC-4745-A655-DEAB6874F75C}"/>
    <cellStyle name="Currency 5 3 3 3 4" xfId="9302" xr:uid="{BA848BFF-D581-448A-A16C-78BAC905CCD0}"/>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16078" xr:uid="{6AB4E711-B4BD-4629-BDA0-B3CAE8AE095E}"/>
    <cellStyle name="Currency 5 3 3 4 2 3" xfId="11860" xr:uid="{677F9E0B-13A2-42FC-B0AE-72CEEA1CECDD}"/>
    <cellStyle name="Currency 5 3 3 4 3" xfId="5483" xr:uid="{00000000-0005-0000-0000-0000FD0C0000}"/>
    <cellStyle name="Currency 5 3 3 4 3 2" xfId="13933" xr:uid="{EA9A45CE-6D64-460B-A6E8-D3C57144D414}"/>
    <cellStyle name="Currency 5 3 3 4 4" xfId="9715" xr:uid="{09603FDC-DC97-43EA-8C98-120F785F197E}"/>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16491" xr:uid="{E8B2F2EE-2444-4059-9FB7-DB4DC6C2A11A}"/>
    <cellStyle name="Currency 5 3 3 5 2 3" xfId="12273" xr:uid="{3DEC61F3-B91E-4C7B-A162-7B5EA2F4AA88}"/>
    <cellStyle name="Currency 5 3 3 5 3" xfId="5896" xr:uid="{00000000-0005-0000-0000-0000010D0000}"/>
    <cellStyle name="Currency 5 3 3 5 3 2" xfId="14346" xr:uid="{2F600E20-373F-4593-8906-D1B20B1E666E}"/>
    <cellStyle name="Currency 5 3 3 5 4" xfId="10128" xr:uid="{91A5C95D-7F16-4681-AE01-9DFDC654C6E2}"/>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16904" xr:uid="{A174193F-83B0-4A37-BBD9-8F850B4B6D5A}"/>
    <cellStyle name="Currency 5 3 3 6 2 3" xfId="12686" xr:uid="{6394916D-A73D-4E87-B071-D3FD5B9881A5}"/>
    <cellStyle name="Currency 5 3 3 6 3" xfId="6309" xr:uid="{00000000-0005-0000-0000-0000050D0000}"/>
    <cellStyle name="Currency 5 3 3 6 3 2" xfId="14759" xr:uid="{0E3BBC0F-70FC-4E2F-AB22-A08DE235DA30}"/>
    <cellStyle name="Currency 5 3 3 6 4" xfId="10541" xr:uid="{6ED50782-8ED9-4630-9D28-223D6BDC5482}"/>
    <cellStyle name="Currency 5 3 3 7" xfId="2438" xr:uid="{00000000-0005-0000-0000-0000060D0000}"/>
    <cellStyle name="Currency 5 3 3 7 2" xfId="6722" xr:uid="{00000000-0005-0000-0000-0000070D0000}"/>
    <cellStyle name="Currency 5 3 3 7 2 2" xfId="15172" xr:uid="{6759283E-BA23-4A71-8C80-8C386E4511B7}"/>
    <cellStyle name="Currency 5 3 3 7 3" xfId="10954" xr:uid="{7AE33BB6-A70E-4A13-9052-B5E02D0ABCEA}"/>
    <cellStyle name="Currency 5 3 3 8" xfId="2735" xr:uid="{00000000-0005-0000-0000-0000080D0000}"/>
    <cellStyle name="Currency 5 3 3 9" xfId="2816" xr:uid="{00000000-0005-0000-0000-0000090D0000}"/>
    <cellStyle name="Currency 5 3 3 9 2" xfId="7039" xr:uid="{00000000-0005-0000-0000-00000A0D0000}"/>
    <cellStyle name="Currency 5 3 3 9 2 2" xfId="15489" xr:uid="{8303D296-4239-4468-AE4D-6462D641E0BE}"/>
    <cellStyle name="Currency 5 3 3 9 3" xfId="11271" xr:uid="{B7145FFF-5B25-4682-ABCD-4CD38FB04FBA}"/>
    <cellStyle name="Currency 5 3 4" xfId="216" xr:uid="{00000000-0005-0000-0000-00000B0D0000}"/>
    <cellStyle name="Currency 5 3 4 10" xfId="8890" xr:uid="{25E9F183-C9E0-4E49-95E2-CE0FC0BAAAB1}"/>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15667" xr:uid="{785FC1EF-748A-4CA6-BA9D-FE53E9F137A1}"/>
    <cellStyle name="Currency 5 3 4 2 2 3" xfId="11449" xr:uid="{C8B899F1-275C-4AA3-9DAC-1881FF7E7873}"/>
    <cellStyle name="Currency 5 3 4 2 3" xfId="5072" xr:uid="{00000000-0005-0000-0000-00000F0D0000}"/>
    <cellStyle name="Currency 5 3 4 2 3 2" xfId="13522" xr:uid="{C485A82C-7178-4C5F-AAAE-AD80063C9E6D}"/>
    <cellStyle name="Currency 5 3 4 2 4" xfId="9304" xr:uid="{9A981FE9-862A-4472-B840-8F37600708FB}"/>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16080" xr:uid="{B7B85FD5-EDD1-48B2-B794-5AD576B061CF}"/>
    <cellStyle name="Currency 5 3 4 3 2 3" xfId="11862" xr:uid="{CEDB586D-CFD8-44A9-8465-CF615FB2DEF8}"/>
    <cellStyle name="Currency 5 3 4 3 3" xfId="5485" xr:uid="{00000000-0005-0000-0000-0000130D0000}"/>
    <cellStyle name="Currency 5 3 4 3 3 2" xfId="13935" xr:uid="{47CC00E8-A597-4244-B677-4F17EC85AE8E}"/>
    <cellStyle name="Currency 5 3 4 3 4" xfId="9717" xr:uid="{1E719162-9C98-49CD-8453-B5400D919A71}"/>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16493" xr:uid="{59A6D02F-ED4B-4789-BA06-BC20486553C7}"/>
    <cellStyle name="Currency 5 3 4 4 2 3" xfId="12275" xr:uid="{BF0E1ABA-8673-455E-97F4-0518B26C98AC}"/>
    <cellStyle name="Currency 5 3 4 4 3" xfId="5898" xr:uid="{00000000-0005-0000-0000-0000170D0000}"/>
    <cellStyle name="Currency 5 3 4 4 3 2" xfId="14348" xr:uid="{1643F9A7-1399-4F5C-8D92-E5B5A8DB4791}"/>
    <cellStyle name="Currency 5 3 4 4 4" xfId="10130" xr:uid="{AF69574D-EFB3-4AB3-A0E0-4E59A94BDD8A}"/>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16906" xr:uid="{BB25FD93-DC36-456E-8E04-7EEE9E695EC1}"/>
    <cellStyle name="Currency 5 3 4 5 2 3" xfId="12688" xr:uid="{0A1BE898-E647-4759-9DED-CA86E93A53FF}"/>
    <cellStyle name="Currency 5 3 4 5 3" xfId="6311" xr:uid="{00000000-0005-0000-0000-00001B0D0000}"/>
    <cellStyle name="Currency 5 3 4 5 3 2" xfId="14761" xr:uid="{4B20828B-DB20-4662-90F6-60F6C2857637}"/>
    <cellStyle name="Currency 5 3 4 5 4" xfId="10543" xr:uid="{152BF32E-8A60-458D-A8CC-F1BDBF7E78AB}"/>
    <cellStyle name="Currency 5 3 4 6" xfId="2440" xr:uid="{00000000-0005-0000-0000-00001C0D0000}"/>
    <cellStyle name="Currency 5 3 4 6 2" xfId="6724" xr:uid="{00000000-0005-0000-0000-00001D0D0000}"/>
    <cellStyle name="Currency 5 3 4 6 2 2" xfId="15174" xr:uid="{CE5D1F4A-AB61-4965-9395-433265A58E27}"/>
    <cellStyle name="Currency 5 3 4 6 3" xfId="10956" xr:uid="{8D43C7CB-8BB0-4665-9389-A0347C10B2B6}"/>
    <cellStyle name="Currency 5 3 4 7" xfId="2737" xr:uid="{00000000-0005-0000-0000-00001E0D0000}"/>
    <cellStyle name="Currency 5 3 4 8" xfId="2818" xr:uid="{00000000-0005-0000-0000-00001F0D0000}"/>
    <cellStyle name="Currency 5 3 4 8 2" xfId="7041" xr:uid="{00000000-0005-0000-0000-0000200D0000}"/>
    <cellStyle name="Currency 5 3 4 8 2 2" xfId="15491" xr:uid="{B3B786DC-9817-4B21-B8E8-2A82B5F62D9E}"/>
    <cellStyle name="Currency 5 3 4 8 3" xfId="11273" xr:uid="{0100D744-32B7-40A6-B737-F75CE1872E45}"/>
    <cellStyle name="Currency 5 3 4 9" xfId="4658" xr:uid="{00000000-0005-0000-0000-0000210D0000}"/>
    <cellStyle name="Currency 5 3 4 9 2" xfId="13108" xr:uid="{F438E178-44DE-4732-8672-6CF3C334FC2F}"/>
    <cellStyle name="Currency 5 3 5" xfId="217" xr:uid="{00000000-0005-0000-0000-0000220D0000}"/>
    <cellStyle name="Currency 5 3 5 10" xfId="8891" xr:uid="{C596A60D-67C4-4F75-887F-9495469830F4}"/>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15668" xr:uid="{867E245B-1D2D-4B94-91F8-C47771013F97}"/>
    <cellStyle name="Currency 5 3 5 2 2 3" xfId="11450" xr:uid="{79AE15B4-D87F-44B4-8758-182FD903429C}"/>
    <cellStyle name="Currency 5 3 5 2 3" xfId="5073" xr:uid="{00000000-0005-0000-0000-0000260D0000}"/>
    <cellStyle name="Currency 5 3 5 2 3 2" xfId="13523" xr:uid="{EE285092-FA2A-43DE-A193-2C6E190E0D34}"/>
    <cellStyle name="Currency 5 3 5 2 4" xfId="9305" xr:uid="{125E4B4F-507D-4DDA-9B88-3303EDD46685}"/>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16081" xr:uid="{9C50621D-2FE4-4CCA-A012-4F496AF143DE}"/>
    <cellStyle name="Currency 5 3 5 3 2 3" xfId="11863" xr:uid="{45873474-25FB-45C0-B9B0-51924D42D4A3}"/>
    <cellStyle name="Currency 5 3 5 3 3" xfId="5486" xr:uid="{00000000-0005-0000-0000-00002A0D0000}"/>
    <cellStyle name="Currency 5 3 5 3 3 2" xfId="13936" xr:uid="{F589042F-7F79-452D-93E2-1F9C9BF703E4}"/>
    <cellStyle name="Currency 5 3 5 3 4" xfId="9718" xr:uid="{53E38399-4959-46C8-BC64-2D98ABB7B109}"/>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16494" xr:uid="{AE695331-76EB-452E-97B0-B1BEA38ABF8A}"/>
    <cellStyle name="Currency 5 3 5 4 2 3" xfId="12276" xr:uid="{4F093E29-DBBF-4D52-BF1E-DC8DB4569721}"/>
    <cellStyle name="Currency 5 3 5 4 3" xfId="5899" xr:uid="{00000000-0005-0000-0000-00002E0D0000}"/>
    <cellStyle name="Currency 5 3 5 4 3 2" xfId="14349" xr:uid="{53300281-12FC-4D41-ABFD-0A283153BF90}"/>
    <cellStyle name="Currency 5 3 5 4 4" xfId="10131" xr:uid="{CE8F89A5-9D54-46DE-8E0D-22E0294B7B60}"/>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16907" xr:uid="{73122E4A-E5E4-472F-BD9A-ADF541961F1E}"/>
    <cellStyle name="Currency 5 3 5 5 2 3" xfId="12689" xr:uid="{62BFE675-06EA-42B2-BE69-558001C8769C}"/>
    <cellStyle name="Currency 5 3 5 5 3" xfId="6312" xr:uid="{00000000-0005-0000-0000-0000320D0000}"/>
    <cellStyle name="Currency 5 3 5 5 3 2" xfId="14762" xr:uid="{A70D79EA-C3DD-4FA0-8D09-30D5ACD5B3F4}"/>
    <cellStyle name="Currency 5 3 5 5 4" xfId="10544" xr:uid="{F30F3037-E815-4FEA-9342-63DA91B4834D}"/>
    <cellStyle name="Currency 5 3 5 6" xfId="2441" xr:uid="{00000000-0005-0000-0000-0000330D0000}"/>
    <cellStyle name="Currency 5 3 5 6 2" xfId="6725" xr:uid="{00000000-0005-0000-0000-0000340D0000}"/>
    <cellStyle name="Currency 5 3 5 6 2 2" xfId="15175" xr:uid="{E9DFA6C0-029A-48B4-A9AF-7BDE736B26ED}"/>
    <cellStyle name="Currency 5 3 5 6 3" xfId="10957" xr:uid="{A54FF8F3-56BF-4CCB-944F-C3E103F975C2}"/>
    <cellStyle name="Currency 5 3 5 7" xfId="2738" xr:uid="{00000000-0005-0000-0000-0000350D0000}"/>
    <cellStyle name="Currency 5 3 5 8" xfId="2819" xr:uid="{00000000-0005-0000-0000-0000360D0000}"/>
    <cellStyle name="Currency 5 3 5 8 2" xfId="7042" xr:uid="{00000000-0005-0000-0000-0000370D0000}"/>
    <cellStyle name="Currency 5 3 5 8 2 2" xfId="15492" xr:uid="{55D33FF9-D4A1-43CD-BB65-8A9137D2F528}"/>
    <cellStyle name="Currency 5 3 5 8 3" xfId="11274" xr:uid="{36980DED-B995-4C6A-B21E-04D674EFD0E9}"/>
    <cellStyle name="Currency 5 3 5 9" xfId="4659" xr:uid="{00000000-0005-0000-0000-0000380D0000}"/>
    <cellStyle name="Currency 5 3 5 9 2" xfId="13109" xr:uid="{33C6DFEF-2A21-4432-A6BC-2362634B1499}"/>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13110" xr:uid="{E216CCA2-0883-4108-95D9-90CCECE7009E}"/>
    <cellStyle name="Currency 5 5 11" xfId="8892" xr:uid="{E9DEAA97-0B68-4552-ABDC-777C3AAD6E4E}"/>
    <cellStyle name="Currency 5 5 2" xfId="220" xr:uid="{00000000-0005-0000-0000-00003D0D0000}"/>
    <cellStyle name="Currency 5 5 2 10" xfId="8893" xr:uid="{EF0BC6D5-C528-4DE9-8A5C-B7B7433FD8B4}"/>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15670" xr:uid="{7EB51C46-B1BC-4408-B75C-B15F02DAA5EC}"/>
    <cellStyle name="Currency 5 5 2 2 2 3" xfId="11452" xr:uid="{489C1873-F397-4DE4-A577-522C8304C815}"/>
    <cellStyle name="Currency 5 5 2 2 3" xfId="5075" xr:uid="{00000000-0005-0000-0000-0000410D0000}"/>
    <cellStyle name="Currency 5 5 2 2 3 2" xfId="13525" xr:uid="{CEF29297-8533-40E6-BF54-D09D6FCC4791}"/>
    <cellStyle name="Currency 5 5 2 2 4" xfId="9307" xr:uid="{BE376C36-A1B9-4AC4-B947-22C7B2D72779}"/>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16083" xr:uid="{0AB6EF82-7158-4F9C-9D26-3217B7107024}"/>
    <cellStyle name="Currency 5 5 2 3 2 3" xfId="11865" xr:uid="{744AF46B-57A7-44F1-9630-2B53CABCFAFD}"/>
    <cellStyle name="Currency 5 5 2 3 3" xfId="5488" xr:uid="{00000000-0005-0000-0000-0000450D0000}"/>
    <cellStyle name="Currency 5 5 2 3 3 2" xfId="13938" xr:uid="{570AAAD4-D9D1-4D42-909E-446643CB8FC9}"/>
    <cellStyle name="Currency 5 5 2 3 4" xfId="9720" xr:uid="{9AF14A30-F38D-436A-A249-0C91E4B576EB}"/>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16496" xr:uid="{F69170F9-EF15-4C2C-AB5B-FFCBEB1726AC}"/>
    <cellStyle name="Currency 5 5 2 4 2 3" xfId="12278" xr:uid="{CC50B620-0469-46CC-95ED-87E141D0E7DD}"/>
    <cellStyle name="Currency 5 5 2 4 3" xfId="5901" xr:uid="{00000000-0005-0000-0000-0000490D0000}"/>
    <cellStyle name="Currency 5 5 2 4 3 2" xfId="14351" xr:uid="{AF6ADFA3-93A5-4FBD-B569-D57942EEB8DA}"/>
    <cellStyle name="Currency 5 5 2 4 4" xfId="10133" xr:uid="{1D2EAC9D-3AB9-43B9-B93E-284818941174}"/>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16909" xr:uid="{139184EF-0B56-43E5-8355-96A5BDD30FD0}"/>
    <cellStyle name="Currency 5 5 2 5 2 3" xfId="12691" xr:uid="{AEF1114B-6FB6-4377-A303-B4E333F65EF6}"/>
    <cellStyle name="Currency 5 5 2 5 3" xfId="6314" xr:uid="{00000000-0005-0000-0000-00004D0D0000}"/>
    <cellStyle name="Currency 5 5 2 5 3 2" xfId="14764" xr:uid="{F96FE80C-6775-43CA-BCB9-B9D930671237}"/>
    <cellStyle name="Currency 5 5 2 5 4" xfId="10546" xr:uid="{E058D836-D4C3-4F3F-9661-CA763EFB10BE}"/>
    <cellStyle name="Currency 5 5 2 6" xfId="2443" xr:uid="{00000000-0005-0000-0000-00004E0D0000}"/>
    <cellStyle name="Currency 5 5 2 6 2" xfId="6727" xr:uid="{00000000-0005-0000-0000-00004F0D0000}"/>
    <cellStyle name="Currency 5 5 2 6 2 2" xfId="15177" xr:uid="{C060B0E7-49DE-4082-AAF0-5B56D2C0C08D}"/>
    <cellStyle name="Currency 5 5 2 6 3" xfId="10959" xr:uid="{5D46006B-5461-4746-AFB3-1DBA9C3C22E1}"/>
    <cellStyle name="Currency 5 5 2 7" xfId="2740" xr:uid="{00000000-0005-0000-0000-0000500D0000}"/>
    <cellStyle name="Currency 5 5 2 8" xfId="2821" xr:uid="{00000000-0005-0000-0000-0000510D0000}"/>
    <cellStyle name="Currency 5 5 2 8 2" xfId="7044" xr:uid="{00000000-0005-0000-0000-0000520D0000}"/>
    <cellStyle name="Currency 5 5 2 8 2 2" xfId="15494" xr:uid="{2169FD47-2AA1-47B7-B743-7DAE8B15A260}"/>
    <cellStyle name="Currency 5 5 2 8 3" xfId="11276" xr:uid="{F0B86E32-7959-426A-B0CD-0898C6889245}"/>
    <cellStyle name="Currency 5 5 2 9" xfId="4661" xr:uid="{00000000-0005-0000-0000-0000530D0000}"/>
    <cellStyle name="Currency 5 5 2 9 2" xfId="13111" xr:uid="{44F88CD5-AFDD-477A-82D2-6472DE68E7B4}"/>
    <cellStyle name="Currency 5 5 3" xfId="745" xr:uid="{00000000-0005-0000-0000-0000540D0000}"/>
    <cellStyle name="Currency 5 5 3 2" xfId="2997" xr:uid="{00000000-0005-0000-0000-0000550D0000}"/>
    <cellStyle name="Currency 5 5 3 2 2" xfId="7219" xr:uid="{00000000-0005-0000-0000-0000560D0000}"/>
    <cellStyle name="Currency 5 5 3 2 2 2" xfId="15669" xr:uid="{EC5E4728-E722-4B98-8083-936821B0FA4B}"/>
    <cellStyle name="Currency 5 5 3 2 3" xfId="11451" xr:uid="{A68B1DE4-F45F-452E-A8A7-3F21997C84B2}"/>
    <cellStyle name="Currency 5 5 3 3" xfId="5074" xr:uid="{00000000-0005-0000-0000-0000570D0000}"/>
    <cellStyle name="Currency 5 5 3 3 2" xfId="13524" xr:uid="{0521615B-4B3E-4BFC-A034-DFCBA36BEA68}"/>
    <cellStyle name="Currency 5 5 3 4" xfId="9306" xr:uid="{ED1D9463-B036-4C97-8ACF-A0A9C0020A07}"/>
    <cellStyle name="Currency 5 5 4" xfId="1179" xr:uid="{00000000-0005-0000-0000-0000580D0000}"/>
    <cellStyle name="Currency 5 5 4 2" xfId="3410" xr:uid="{00000000-0005-0000-0000-0000590D0000}"/>
    <cellStyle name="Currency 5 5 4 2 2" xfId="7632" xr:uid="{00000000-0005-0000-0000-00005A0D0000}"/>
    <cellStyle name="Currency 5 5 4 2 2 2" xfId="16082" xr:uid="{3C5483CD-3A51-45CC-8203-507783B7CFD4}"/>
    <cellStyle name="Currency 5 5 4 2 3" xfId="11864" xr:uid="{BF082E00-A0DC-4E90-A534-6134FF2CB027}"/>
    <cellStyle name="Currency 5 5 4 3" xfId="5487" xr:uid="{00000000-0005-0000-0000-00005B0D0000}"/>
    <cellStyle name="Currency 5 5 4 3 2" xfId="13937" xr:uid="{D64346D7-8729-4175-BE33-0ED2E1BCF1C9}"/>
    <cellStyle name="Currency 5 5 4 4" xfId="9719" xr:uid="{D7566A94-51DF-44C1-B333-1A90143CC883}"/>
    <cellStyle name="Currency 5 5 5" xfId="1593" xr:uid="{00000000-0005-0000-0000-00005C0D0000}"/>
    <cellStyle name="Currency 5 5 5 2" xfId="3823" xr:uid="{00000000-0005-0000-0000-00005D0D0000}"/>
    <cellStyle name="Currency 5 5 5 2 2" xfId="8045" xr:uid="{00000000-0005-0000-0000-00005E0D0000}"/>
    <cellStyle name="Currency 5 5 5 2 2 2" xfId="16495" xr:uid="{E7BF221E-7523-42C2-80DA-C48AFCB111A2}"/>
    <cellStyle name="Currency 5 5 5 2 3" xfId="12277" xr:uid="{6C4D0109-4252-44F8-B95C-289B2999153C}"/>
    <cellStyle name="Currency 5 5 5 3" xfId="5900" xr:uid="{00000000-0005-0000-0000-00005F0D0000}"/>
    <cellStyle name="Currency 5 5 5 3 2" xfId="14350" xr:uid="{5253EB51-9A94-41D5-9837-42DB1ACEBBC4}"/>
    <cellStyle name="Currency 5 5 5 4" xfId="10132" xr:uid="{73BF65D9-F429-4377-94FE-4BEC9C63751A}"/>
    <cellStyle name="Currency 5 5 6" xfId="2007" xr:uid="{00000000-0005-0000-0000-0000600D0000}"/>
    <cellStyle name="Currency 5 5 6 2" xfId="4236" xr:uid="{00000000-0005-0000-0000-0000610D0000}"/>
    <cellStyle name="Currency 5 5 6 2 2" xfId="8458" xr:uid="{00000000-0005-0000-0000-0000620D0000}"/>
    <cellStyle name="Currency 5 5 6 2 2 2" xfId="16908" xr:uid="{221BE189-B54E-434E-B4B4-F73DD8A11BCB}"/>
    <cellStyle name="Currency 5 5 6 2 3" xfId="12690" xr:uid="{6B6EF545-24E8-4E65-ADFC-3998139AE036}"/>
    <cellStyle name="Currency 5 5 6 3" xfId="6313" xr:uid="{00000000-0005-0000-0000-0000630D0000}"/>
    <cellStyle name="Currency 5 5 6 3 2" xfId="14763" xr:uid="{CA3DA6F1-15A7-4469-8187-A62C8A5721CB}"/>
    <cellStyle name="Currency 5 5 6 4" xfId="10545" xr:uid="{FA27467D-C26E-4AFB-88DB-F13FFF16EB2D}"/>
    <cellStyle name="Currency 5 5 7" xfId="2442" xr:uid="{00000000-0005-0000-0000-0000640D0000}"/>
    <cellStyle name="Currency 5 5 7 2" xfId="6726" xr:uid="{00000000-0005-0000-0000-0000650D0000}"/>
    <cellStyle name="Currency 5 5 7 2 2" xfId="15176" xr:uid="{407061DB-4C5F-4308-9623-EE0B9BC20FC0}"/>
    <cellStyle name="Currency 5 5 7 3" xfId="10958" xr:uid="{D5CC8CEB-0CC3-4EB1-9C90-F2E92D5F1844}"/>
    <cellStyle name="Currency 5 5 8" xfId="2739" xr:uid="{00000000-0005-0000-0000-0000660D0000}"/>
    <cellStyle name="Currency 5 5 9" xfId="2820" xr:uid="{00000000-0005-0000-0000-0000670D0000}"/>
    <cellStyle name="Currency 5 5 9 2" xfId="7043" xr:uid="{00000000-0005-0000-0000-0000680D0000}"/>
    <cellStyle name="Currency 5 5 9 2 2" xfId="15493" xr:uid="{E8C28571-613D-49C9-A77A-73EB92EE8B8A}"/>
    <cellStyle name="Currency 5 5 9 3" xfId="11275" xr:uid="{2F1CAC9C-8BB6-4E09-8C0E-476AEE477E72}"/>
    <cellStyle name="Currency 5 6" xfId="221" xr:uid="{00000000-0005-0000-0000-0000690D0000}"/>
    <cellStyle name="Currency 5 6 10" xfId="8894" xr:uid="{BEDC93EF-C788-404C-8219-0F0402BBFE4D}"/>
    <cellStyle name="Currency 5 6 2" xfId="747" xr:uid="{00000000-0005-0000-0000-00006A0D0000}"/>
    <cellStyle name="Currency 5 6 2 2" xfId="2999" xr:uid="{00000000-0005-0000-0000-00006B0D0000}"/>
    <cellStyle name="Currency 5 6 2 2 2" xfId="7221" xr:uid="{00000000-0005-0000-0000-00006C0D0000}"/>
    <cellStyle name="Currency 5 6 2 2 2 2" xfId="15671" xr:uid="{EAD34D49-7DE4-4FA7-9469-09D3C3762E61}"/>
    <cellStyle name="Currency 5 6 2 2 3" xfId="11453" xr:uid="{F00E01A4-0C0F-4ED5-A06D-16ECA3813A8C}"/>
    <cellStyle name="Currency 5 6 2 3" xfId="5076" xr:uid="{00000000-0005-0000-0000-00006D0D0000}"/>
    <cellStyle name="Currency 5 6 2 3 2" xfId="13526" xr:uid="{7ECBFCFB-8295-48E4-8A96-4BF90E32462B}"/>
    <cellStyle name="Currency 5 6 2 4" xfId="9308" xr:uid="{65061F58-1587-49EF-976B-C09C8564EC9C}"/>
    <cellStyle name="Currency 5 6 3" xfId="1181" xr:uid="{00000000-0005-0000-0000-00006E0D0000}"/>
    <cellStyle name="Currency 5 6 3 2" xfId="3412" xr:uid="{00000000-0005-0000-0000-00006F0D0000}"/>
    <cellStyle name="Currency 5 6 3 2 2" xfId="7634" xr:uid="{00000000-0005-0000-0000-0000700D0000}"/>
    <cellStyle name="Currency 5 6 3 2 2 2" xfId="16084" xr:uid="{B18CD6C2-881C-4387-8DEC-E652BBD0D36D}"/>
    <cellStyle name="Currency 5 6 3 2 3" xfId="11866" xr:uid="{8ECAD978-FED3-442B-B393-6FF0579AF083}"/>
    <cellStyle name="Currency 5 6 3 3" xfId="5489" xr:uid="{00000000-0005-0000-0000-0000710D0000}"/>
    <cellStyle name="Currency 5 6 3 3 2" xfId="13939" xr:uid="{83E56592-E0F9-4636-A4ED-87AE59BEE915}"/>
    <cellStyle name="Currency 5 6 3 4" xfId="9721" xr:uid="{E65EE1EA-6D9A-4F38-BBEF-9FE009FE1BF5}"/>
    <cellStyle name="Currency 5 6 4" xfId="1595" xr:uid="{00000000-0005-0000-0000-0000720D0000}"/>
    <cellStyle name="Currency 5 6 4 2" xfId="3825" xr:uid="{00000000-0005-0000-0000-0000730D0000}"/>
    <cellStyle name="Currency 5 6 4 2 2" xfId="8047" xr:uid="{00000000-0005-0000-0000-0000740D0000}"/>
    <cellStyle name="Currency 5 6 4 2 2 2" xfId="16497" xr:uid="{CB853175-C0F7-47F0-995A-19D35119F5EE}"/>
    <cellStyle name="Currency 5 6 4 2 3" xfId="12279" xr:uid="{3E1ACD1E-9A4E-45A3-B682-1B7A27DF565F}"/>
    <cellStyle name="Currency 5 6 4 3" xfId="5902" xr:uid="{00000000-0005-0000-0000-0000750D0000}"/>
    <cellStyle name="Currency 5 6 4 3 2" xfId="14352" xr:uid="{4812E14C-4FC3-4B9A-885F-1C035E12F73E}"/>
    <cellStyle name="Currency 5 6 4 4" xfId="10134" xr:uid="{DD71F5ED-9A58-4FB3-942E-0A0B7A20CF16}"/>
    <cellStyle name="Currency 5 6 5" xfId="2009" xr:uid="{00000000-0005-0000-0000-0000760D0000}"/>
    <cellStyle name="Currency 5 6 5 2" xfId="4238" xr:uid="{00000000-0005-0000-0000-0000770D0000}"/>
    <cellStyle name="Currency 5 6 5 2 2" xfId="8460" xr:uid="{00000000-0005-0000-0000-0000780D0000}"/>
    <cellStyle name="Currency 5 6 5 2 2 2" xfId="16910" xr:uid="{8CD89E43-36D6-4D0B-84D9-017547C07630}"/>
    <cellStyle name="Currency 5 6 5 2 3" xfId="12692" xr:uid="{7892CAAD-C84B-4265-AAF9-496D5750A73C}"/>
    <cellStyle name="Currency 5 6 5 3" xfId="6315" xr:uid="{00000000-0005-0000-0000-0000790D0000}"/>
    <cellStyle name="Currency 5 6 5 3 2" xfId="14765" xr:uid="{A02CAB64-C5CB-4BFA-8156-2D9659867AF5}"/>
    <cellStyle name="Currency 5 6 5 4" xfId="10547" xr:uid="{0AC1F081-4FCD-474E-A0BC-2E14DE5456C3}"/>
    <cellStyle name="Currency 5 6 6" xfId="2444" xr:uid="{00000000-0005-0000-0000-00007A0D0000}"/>
    <cellStyle name="Currency 5 6 6 2" xfId="6728" xr:uid="{00000000-0005-0000-0000-00007B0D0000}"/>
    <cellStyle name="Currency 5 6 6 2 2" xfId="15178" xr:uid="{9E9368FB-909B-4EE7-8D98-E263DB07C61C}"/>
    <cellStyle name="Currency 5 6 6 3" xfId="10960" xr:uid="{5085E31F-557D-4211-AB48-15AD83CE825F}"/>
    <cellStyle name="Currency 5 6 7" xfId="2741" xr:uid="{00000000-0005-0000-0000-00007C0D0000}"/>
    <cellStyle name="Currency 5 6 8" xfId="2822" xr:uid="{00000000-0005-0000-0000-00007D0D0000}"/>
    <cellStyle name="Currency 5 6 8 2" xfId="7045" xr:uid="{00000000-0005-0000-0000-00007E0D0000}"/>
    <cellStyle name="Currency 5 6 8 2 2" xfId="15495" xr:uid="{1F3E343D-DBB1-4D3F-AF0F-7F7B3E1E6992}"/>
    <cellStyle name="Currency 5 6 8 3" xfId="11277" xr:uid="{33F500BE-775A-4ED3-910C-B1951EF3D3BB}"/>
    <cellStyle name="Currency 5 6 9" xfId="4662" xr:uid="{00000000-0005-0000-0000-00007F0D0000}"/>
    <cellStyle name="Currency 5 6 9 2" xfId="13112" xr:uid="{998250F7-7166-4F6B-B7D0-A1B5996E151D}"/>
    <cellStyle name="Currency 5 7" xfId="222" xr:uid="{00000000-0005-0000-0000-0000800D0000}"/>
    <cellStyle name="Currency 5 7 10" xfId="8895" xr:uid="{32D0A18F-0790-49D6-A374-9ABF014E9F1B}"/>
    <cellStyle name="Currency 5 7 2" xfId="748" xr:uid="{00000000-0005-0000-0000-0000810D0000}"/>
    <cellStyle name="Currency 5 7 2 2" xfId="3000" xr:uid="{00000000-0005-0000-0000-0000820D0000}"/>
    <cellStyle name="Currency 5 7 2 2 2" xfId="7222" xr:uid="{00000000-0005-0000-0000-0000830D0000}"/>
    <cellStyle name="Currency 5 7 2 2 2 2" xfId="15672" xr:uid="{E917A95B-95F6-49BC-A5DA-0FEE4D2D90A3}"/>
    <cellStyle name="Currency 5 7 2 2 3" xfId="11454" xr:uid="{38B33A2A-78E9-4674-8BF6-5D7FEC1144B4}"/>
    <cellStyle name="Currency 5 7 2 3" xfId="5077" xr:uid="{00000000-0005-0000-0000-0000840D0000}"/>
    <cellStyle name="Currency 5 7 2 3 2" xfId="13527" xr:uid="{A783FA02-105F-4EDB-BD65-9DF197B7AF63}"/>
    <cellStyle name="Currency 5 7 2 4" xfId="9309" xr:uid="{6927F909-740A-4B51-808C-30F246EF935C}"/>
    <cellStyle name="Currency 5 7 3" xfId="1182" xr:uid="{00000000-0005-0000-0000-0000850D0000}"/>
    <cellStyle name="Currency 5 7 3 2" xfId="3413" xr:uid="{00000000-0005-0000-0000-0000860D0000}"/>
    <cellStyle name="Currency 5 7 3 2 2" xfId="7635" xr:uid="{00000000-0005-0000-0000-0000870D0000}"/>
    <cellStyle name="Currency 5 7 3 2 2 2" xfId="16085" xr:uid="{B18D85E7-02C9-4A2B-9DD4-E2E9803D222E}"/>
    <cellStyle name="Currency 5 7 3 2 3" xfId="11867" xr:uid="{589C93C8-A179-4B67-8ADF-05D4D8380703}"/>
    <cellStyle name="Currency 5 7 3 3" xfId="5490" xr:uid="{00000000-0005-0000-0000-0000880D0000}"/>
    <cellStyle name="Currency 5 7 3 3 2" xfId="13940" xr:uid="{4FEC312E-D105-4551-8AE1-530A435D7DFF}"/>
    <cellStyle name="Currency 5 7 3 4" xfId="9722" xr:uid="{B5F0827D-20CD-4F09-B8CD-ED989A556E2E}"/>
    <cellStyle name="Currency 5 7 4" xfId="1596" xr:uid="{00000000-0005-0000-0000-0000890D0000}"/>
    <cellStyle name="Currency 5 7 4 2" xfId="3826" xr:uid="{00000000-0005-0000-0000-00008A0D0000}"/>
    <cellStyle name="Currency 5 7 4 2 2" xfId="8048" xr:uid="{00000000-0005-0000-0000-00008B0D0000}"/>
    <cellStyle name="Currency 5 7 4 2 2 2" xfId="16498" xr:uid="{C3F5A2CE-CA84-4830-9D12-8D94A514176B}"/>
    <cellStyle name="Currency 5 7 4 2 3" xfId="12280" xr:uid="{A4A17D6F-7D6F-46DE-A973-19A8FE26BBC4}"/>
    <cellStyle name="Currency 5 7 4 3" xfId="5903" xr:uid="{00000000-0005-0000-0000-00008C0D0000}"/>
    <cellStyle name="Currency 5 7 4 3 2" xfId="14353" xr:uid="{ABB33EAF-8AC5-43E6-8E92-CEDCAE27B448}"/>
    <cellStyle name="Currency 5 7 4 4" xfId="10135" xr:uid="{9958AD28-469E-4B79-B0A4-2A37F9D9ED59}"/>
    <cellStyle name="Currency 5 7 5" xfId="2010" xr:uid="{00000000-0005-0000-0000-00008D0D0000}"/>
    <cellStyle name="Currency 5 7 5 2" xfId="4239" xr:uid="{00000000-0005-0000-0000-00008E0D0000}"/>
    <cellStyle name="Currency 5 7 5 2 2" xfId="8461" xr:uid="{00000000-0005-0000-0000-00008F0D0000}"/>
    <cellStyle name="Currency 5 7 5 2 2 2" xfId="16911" xr:uid="{EF7244F9-BA42-4219-8A7F-13AC205A8934}"/>
    <cellStyle name="Currency 5 7 5 2 3" xfId="12693" xr:uid="{EE958637-E693-43CD-B4F1-5BD7A1679AD4}"/>
    <cellStyle name="Currency 5 7 5 3" xfId="6316" xr:uid="{00000000-0005-0000-0000-0000900D0000}"/>
    <cellStyle name="Currency 5 7 5 3 2" xfId="14766" xr:uid="{9CE3C8DE-7940-4288-A623-5BABDFD8235C}"/>
    <cellStyle name="Currency 5 7 5 4" xfId="10548" xr:uid="{D96AFDCA-F8A2-42CD-8324-8C4A5C243E76}"/>
    <cellStyle name="Currency 5 7 6" xfId="2445" xr:uid="{00000000-0005-0000-0000-0000910D0000}"/>
    <cellStyle name="Currency 5 7 6 2" xfId="6729" xr:uid="{00000000-0005-0000-0000-0000920D0000}"/>
    <cellStyle name="Currency 5 7 6 2 2" xfId="15179" xr:uid="{6F118800-A33F-4B59-BFBF-CB99B93809B8}"/>
    <cellStyle name="Currency 5 7 6 3" xfId="10961" xr:uid="{117DC13F-075F-483F-9414-154580E28F7F}"/>
    <cellStyle name="Currency 5 7 7" xfId="2742" xr:uid="{00000000-0005-0000-0000-0000930D0000}"/>
    <cellStyle name="Currency 5 7 8" xfId="2823" xr:uid="{00000000-0005-0000-0000-0000940D0000}"/>
    <cellStyle name="Currency 5 7 8 2" xfId="7046" xr:uid="{00000000-0005-0000-0000-0000950D0000}"/>
    <cellStyle name="Currency 5 7 8 2 2" xfId="15496" xr:uid="{F48B7578-67ED-4061-8ED3-F1D0FA576E28}"/>
    <cellStyle name="Currency 5 7 8 3" xfId="11278" xr:uid="{B0CCA3FA-61B0-44C8-96CD-F76C99463806}"/>
    <cellStyle name="Currency 5 7 9" xfId="4663" xr:uid="{00000000-0005-0000-0000-0000960D0000}"/>
    <cellStyle name="Currency 5 7 9 2" xfId="13113" xr:uid="{8DE87AFD-D9B8-49A9-AFF5-2B0B5BE9914D}"/>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0 2 2" xfId="15180" xr:uid="{1C468FA7-6171-483D-8242-CAE527233F68}"/>
    <cellStyle name="Normal 12 10 3" xfId="10962" xr:uid="{3747376D-7056-4A71-90B6-0538A2AB8A1B}"/>
    <cellStyle name="Normal 12 11" xfId="4664" xr:uid="{00000000-0005-0000-0000-0000CC0D0000}"/>
    <cellStyle name="Normal 12 11 2" xfId="13114" xr:uid="{B7296BF9-27FE-4241-A5E8-EC7C61B700ED}"/>
    <cellStyle name="Normal 12 12" xfId="8896" xr:uid="{68F0C9F1-0D9A-4FF4-9284-C6708EF24A5A}"/>
    <cellStyle name="Normal 12 2" xfId="260" xr:uid="{00000000-0005-0000-0000-0000CD0D0000}"/>
    <cellStyle name="Normal 12 2 10" xfId="8897" xr:uid="{6503B809-E7F3-4D15-8316-3D9920B890A7}"/>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15676" xr:uid="{1BBEFC03-DA24-473A-8FBD-E00E82E3D98B}"/>
    <cellStyle name="Normal 12 2 2 2 2 2 3" xfId="11458" xr:uid="{A7483585-0CBB-4DD1-8CD2-8DC10644075B}"/>
    <cellStyle name="Normal 12 2 2 2 2 3" xfId="5081" xr:uid="{00000000-0005-0000-0000-0000D30D0000}"/>
    <cellStyle name="Normal 12 2 2 2 2 3 2" xfId="13531" xr:uid="{AD26A439-853F-4F57-8076-A23C4D9F1E9B}"/>
    <cellStyle name="Normal 12 2 2 2 2 4" xfId="9313" xr:uid="{C7D17AB9-5A14-4B80-93C2-732151345847}"/>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16089" xr:uid="{80BC0CDF-7BEB-4BA3-889A-4EEFE18D5250}"/>
    <cellStyle name="Normal 12 2 2 2 3 2 3" xfId="11871" xr:uid="{2FDBE8EE-60F8-4C48-A654-C93FB0E97815}"/>
    <cellStyle name="Normal 12 2 2 2 3 3" xfId="5494" xr:uid="{00000000-0005-0000-0000-0000D70D0000}"/>
    <cellStyle name="Normal 12 2 2 2 3 3 2" xfId="13944" xr:uid="{701E38DD-BCB0-49AD-AC4C-7EA39EA10D7B}"/>
    <cellStyle name="Normal 12 2 2 2 3 4" xfId="9726" xr:uid="{1BF2548E-83A3-43FD-ADC9-22C2D01B21DB}"/>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16502" xr:uid="{8435B6AE-A1E5-4BD9-983B-D79B54C43726}"/>
    <cellStyle name="Normal 12 2 2 2 4 2 3" xfId="12284" xr:uid="{EA01A6F5-AEBF-4E07-82B1-33211A01E8DE}"/>
    <cellStyle name="Normal 12 2 2 2 4 3" xfId="5907" xr:uid="{00000000-0005-0000-0000-0000DB0D0000}"/>
    <cellStyle name="Normal 12 2 2 2 4 3 2" xfId="14357" xr:uid="{5C8260C6-41E3-4B70-A6E2-90507B3B54A1}"/>
    <cellStyle name="Normal 12 2 2 2 4 4" xfId="10139" xr:uid="{30E55C84-F081-4CCD-A13B-5B13B7A97FAA}"/>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16915" xr:uid="{9631928D-3A93-4A24-8318-7EFD4BDA335C}"/>
    <cellStyle name="Normal 12 2 2 2 5 2 3" xfId="12697" xr:uid="{1E626E12-D754-4079-B8DB-48558671B63C}"/>
    <cellStyle name="Normal 12 2 2 2 5 3" xfId="6320" xr:uid="{00000000-0005-0000-0000-0000DF0D0000}"/>
    <cellStyle name="Normal 12 2 2 2 5 3 2" xfId="14770" xr:uid="{2B7D7F42-9594-4621-B690-8821D6DB57D0}"/>
    <cellStyle name="Normal 12 2 2 2 5 4" xfId="10552" xr:uid="{97317FFC-2AAD-4DF8-959A-9976CB92A708}"/>
    <cellStyle name="Normal 12 2 2 2 6" xfId="2450" xr:uid="{00000000-0005-0000-0000-0000E00D0000}"/>
    <cellStyle name="Normal 12 2 2 2 6 2" xfId="6733" xr:uid="{00000000-0005-0000-0000-0000E10D0000}"/>
    <cellStyle name="Normal 12 2 2 2 6 2 2" xfId="15183" xr:uid="{4D6BD9DF-0048-4BCF-B7CE-EBAD72D9689E}"/>
    <cellStyle name="Normal 12 2 2 2 6 3" xfId="10965" xr:uid="{DC6E2D19-5517-4B53-BCD7-4CEAE1FBFDF3}"/>
    <cellStyle name="Normal 12 2 2 2 7" xfId="4667" xr:uid="{00000000-0005-0000-0000-0000E20D0000}"/>
    <cellStyle name="Normal 12 2 2 2 7 2" xfId="13117" xr:uid="{ACBD885E-5870-4A01-97CD-0485B531B046}"/>
    <cellStyle name="Normal 12 2 2 2 8" xfId="8899" xr:uid="{6F225D2A-42C2-4189-A6E2-EE36C07711C6}"/>
    <cellStyle name="Normal 12 2 2 3" xfId="762" xr:uid="{00000000-0005-0000-0000-0000E30D0000}"/>
    <cellStyle name="Normal 12 2 2 3 2" xfId="3003" xr:uid="{00000000-0005-0000-0000-0000E40D0000}"/>
    <cellStyle name="Normal 12 2 2 3 2 2" xfId="7225" xr:uid="{00000000-0005-0000-0000-0000E50D0000}"/>
    <cellStyle name="Normal 12 2 2 3 2 2 2" xfId="15675" xr:uid="{C7906F4C-B3B0-466F-89F6-10E3A6645160}"/>
    <cellStyle name="Normal 12 2 2 3 2 3" xfId="11457" xr:uid="{B04DEE96-0ED0-41B8-9B80-8040AED08540}"/>
    <cellStyle name="Normal 12 2 2 3 3" xfId="5080" xr:uid="{00000000-0005-0000-0000-0000E60D0000}"/>
    <cellStyle name="Normal 12 2 2 3 3 2" xfId="13530" xr:uid="{DDA2C8C1-28BF-4C73-AD3E-9A5B2D645B65}"/>
    <cellStyle name="Normal 12 2 2 3 4" xfId="9312" xr:uid="{15DF72E0-AEA0-4704-99A5-1C7EFE53BBE6}"/>
    <cellStyle name="Normal 12 2 2 4" xfId="1185" xr:uid="{00000000-0005-0000-0000-0000E70D0000}"/>
    <cellStyle name="Normal 12 2 2 4 2" xfId="3416" xr:uid="{00000000-0005-0000-0000-0000E80D0000}"/>
    <cellStyle name="Normal 12 2 2 4 2 2" xfId="7638" xr:uid="{00000000-0005-0000-0000-0000E90D0000}"/>
    <cellStyle name="Normal 12 2 2 4 2 2 2" xfId="16088" xr:uid="{CFFFA377-65FB-471F-9A78-A51211D1D7D0}"/>
    <cellStyle name="Normal 12 2 2 4 2 3" xfId="11870" xr:uid="{D663E344-8AD4-48C8-9138-EDC7C4B312A9}"/>
    <cellStyle name="Normal 12 2 2 4 3" xfId="5493" xr:uid="{00000000-0005-0000-0000-0000EA0D0000}"/>
    <cellStyle name="Normal 12 2 2 4 3 2" xfId="13943" xr:uid="{A7CB1A3B-760E-4B98-9ED0-7DF3DAD01212}"/>
    <cellStyle name="Normal 12 2 2 4 4" xfId="9725" xr:uid="{B93CCD14-FC12-470D-AD54-3F05D632DE12}"/>
    <cellStyle name="Normal 12 2 2 5" xfId="1599" xr:uid="{00000000-0005-0000-0000-0000EB0D0000}"/>
    <cellStyle name="Normal 12 2 2 5 2" xfId="3829" xr:uid="{00000000-0005-0000-0000-0000EC0D0000}"/>
    <cellStyle name="Normal 12 2 2 5 2 2" xfId="8051" xr:uid="{00000000-0005-0000-0000-0000ED0D0000}"/>
    <cellStyle name="Normal 12 2 2 5 2 2 2" xfId="16501" xr:uid="{1664C210-7773-48CD-A3E8-C9AC5C5A7AC1}"/>
    <cellStyle name="Normal 12 2 2 5 2 3" xfId="12283" xr:uid="{19AD02BE-A3C1-4D6C-83DF-B85060E98439}"/>
    <cellStyle name="Normal 12 2 2 5 3" xfId="5906" xr:uid="{00000000-0005-0000-0000-0000EE0D0000}"/>
    <cellStyle name="Normal 12 2 2 5 3 2" xfId="14356" xr:uid="{EA332F62-E6DD-448B-88E4-B76D28C021C1}"/>
    <cellStyle name="Normal 12 2 2 5 4" xfId="10138" xr:uid="{2EA48C5A-4898-4D88-BE35-50510474AAC3}"/>
    <cellStyle name="Normal 12 2 2 6" xfId="2013" xr:uid="{00000000-0005-0000-0000-0000EF0D0000}"/>
    <cellStyle name="Normal 12 2 2 6 2" xfId="4242" xr:uid="{00000000-0005-0000-0000-0000F00D0000}"/>
    <cellStyle name="Normal 12 2 2 6 2 2" xfId="8464" xr:uid="{00000000-0005-0000-0000-0000F10D0000}"/>
    <cellStyle name="Normal 12 2 2 6 2 2 2" xfId="16914" xr:uid="{7827D595-5DFC-4859-9849-AD56CCE7609B}"/>
    <cellStyle name="Normal 12 2 2 6 2 3" xfId="12696" xr:uid="{FAE43388-8EE6-4D3B-B2AF-9A207983C5D4}"/>
    <cellStyle name="Normal 12 2 2 6 3" xfId="6319" xr:uid="{00000000-0005-0000-0000-0000F20D0000}"/>
    <cellStyle name="Normal 12 2 2 6 3 2" xfId="14769" xr:uid="{6653179E-00E1-4A08-A9CB-6A03A273B871}"/>
    <cellStyle name="Normal 12 2 2 6 4" xfId="10551" xr:uid="{B2DF4C27-F590-476C-B834-F2CB75D51809}"/>
    <cellStyle name="Normal 12 2 2 7" xfId="2449" xr:uid="{00000000-0005-0000-0000-0000F30D0000}"/>
    <cellStyle name="Normal 12 2 2 7 2" xfId="6732" xr:uid="{00000000-0005-0000-0000-0000F40D0000}"/>
    <cellStyle name="Normal 12 2 2 7 2 2" xfId="15182" xr:uid="{B18ACB06-148C-460E-8A5D-5F48DE6BC1BA}"/>
    <cellStyle name="Normal 12 2 2 7 3" xfId="10964" xr:uid="{B4235185-26E5-422F-8BC8-9782256F0B54}"/>
    <cellStyle name="Normal 12 2 2 8" xfId="4666" xr:uid="{00000000-0005-0000-0000-0000F50D0000}"/>
    <cellStyle name="Normal 12 2 2 8 2" xfId="13116" xr:uid="{7F21C238-E855-4994-B9C2-A6F47B423763}"/>
    <cellStyle name="Normal 12 2 2 9" xfId="8898" xr:uid="{FAE3E362-FC86-4DF2-85C7-C815B92D21F1}"/>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2 2 2" xfId="15677" xr:uid="{16A1DEAA-4943-4E6A-865D-FDB168FD2360}"/>
    <cellStyle name="Normal 12 2 3 2 2 3" xfId="11459" xr:uid="{5C94272D-78FC-4AD9-A388-FD5F1C0C9BCA}"/>
    <cellStyle name="Normal 12 2 3 2 3" xfId="5082" xr:uid="{00000000-0005-0000-0000-0000FA0D0000}"/>
    <cellStyle name="Normal 12 2 3 2 3 2" xfId="13532" xr:uid="{ED4AC2AC-3840-494E-A615-E905F6B2DD65}"/>
    <cellStyle name="Normal 12 2 3 2 4" xfId="9314" xr:uid="{29F83AE3-37F7-41E0-8C94-C996EC501EC3}"/>
    <cellStyle name="Normal 12 2 3 3" xfId="1187" xr:uid="{00000000-0005-0000-0000-0000FB0D0000}"/>
    <cellStyle name="Normal 12 2 3 3 2" xfId="3418" xr:uid="{00000000-0005-0000-0000-0000FC0D0000}"/>
    <cellStyle name="Normal 12 2 3 3 2 2" xfId="7640" xr:uid="{00000000-0005-0000-0000-0000FD0D0000}"/>
    <cellStyle name="Normal 12 2 3 3 2 2 2" xfId="16090" xr:uid="{4C317293-3E13-4306-BB5E-05834530F8A9}"/>
    <cellStyle name="Normal 12 2 3 3 2 3" xfId="11872" xr:uid="{F5B7F776-0DAB-469F-8BD8-65FE9CD25AB2}"/>
    <cellStyle name="Normal 12 2 3 3 3" xfId="5495" xr:uid="{00000000-0005-0000-0000-0000FE0D0000}"/>
    <cellStyle name="Normal 12 2 3 3 3 2" xfId="13945" xr:uid="{7072C1DF-51B2-4B5E-8093-D41F849BA1E4}"/>
    <cellStyle name="Normal 12 2 3 3 4" xfId="9727" xr:uid="{E9F4BB40-AA7B-4EEB-BC7D-C80B3C2835AD}"/>
    <cellStyle name="Normal 12 2 3 4" xfId="1601" xr:uid="{00000000-0005-0000-0000-0000FF0D0000}"/>
    <cellStyle name="Normal 12 2 3 4 2" xfId="3831" xr:uid="{00000000-0005-0000-0000-0000000E0000}"/>
    <cellStyle name="Normal 12 2 3 4 2 2" xfId="8053" xr:uid="{00000000-0005-0000-0000-0000010E0000}"/>
    <cellStyle name="Normal 12 2 3 4 2 2 2" xfId="16503" xr:uid="{ECF0790C-B94E-4465-AF80-147BF6E92140}"/>
    <cellStyle name="Normal 12 2 3 4 2 3" xfId="12285" xr:uid="{8701E8E6-60BC-4C0F-9378-E41E2EAB9335}"/>
    <cellStyle name="Normal 12 2 3 4 3" xfId="5908" xr:uid="{00000000-0005-0000-0000-0000020E0000}"/>
    <cellStyle name="Normal 12 2 3 4 3 2" xfId="14358" xr:uid="{830BDDED-0CCC-4B11-964E-E3C08D0A105F}"/>
    <cellStyle name="Normal 12 2 3 4 4" xfId="10140" xr:uid="{6A801DFF-0A86-49A7-93C2-D278196326B5}"/>
    <cellStyle name="Normal 12 2 3 5" xfId="2015" xr:uid="{00000000-0005-0000-0000-0000030E0000}"/>
    <cellStyle name="Normal 12 2 3 5 2" xfId="4244" xr:uid="{00000000-0005-0000-0000-0000040E0000}"/>
    <cellStyle name="Normal 12 2 3 5 2 2" xfId="8466" xr:uid="{00000000-0005-0000-0000-0000050E0000}"/>
    <cellStyle name="Normal 12 2 3 5 2 2 2" xfId="16916" xr:uid="{5C196F7F-3FB4-4E19-A508-F152A07D4DA5}"/>
    <cellStyle name="Normal 12 2 3 5 2 3" xfId="12698" xr:uid="{56F5ADC2-7ACD-45A2-8D19-29412987141E}"/>
    <cellStyle name="Normal 12 2 3 5 3" xfId="6321" xr:uid="{00000000-0005-0000-0000-0000060E0000}"/>
    <cellStyle name="Normal 12 2 3 5 3 2" xfId="14771" xr:uid="{226D79AD-FDE1-49DF-B2D2-D1F8711C6806}"/>
    <cellStyle name="Normal 12 2 3 5 4" xfId="10553" xr:uid="{C270A5F3-7341-47D1-B60F-DCD8A5E27E53}"/>
    <cellStyle name="Normal 12 2 3 6" xfId="2451" xr:uid="{00000000-0005-0000-0000-0000070E0000}"/>
    <cellStyle name="Normal 12 2 3 6 2" xfId="6734" xr:uid="{00000000-0005-0000-0000-0000080E0000}"/>
    <cellStyle name="Normal 12 2 3 6 2 2" xfId="15184" xr:uid="{9AD5FAB8-8523-4ADF-8459-537A26568F77}"/>
    <cellStyle name="Normal 12 2 3 6 3" xfId="10966" xr:uid="{36ABD6BE-4FD6-47CF-8995-DBBDC24B87F2}"/>
    <cellStyle name="Normal 12 2 3 7" xfId="4668" xr:uid="{00000000-0005-0000-0000-0000090E0000}"/>
    <cellStyle name="Normal 12 2 3 7 2" xfId="13118" xr:uid="{E9B699CF-48AC-4F6A-9E1C-C3E7EF56FE81}"/>
    <cellStyle name="Normal 12 2 3 8" xfId="8900" xr:uid="{9F252246-DE04-4173-ADDB-6B7860007950}"/>
    <cellStyle name="Normal 12 2 4" xfId="761" xr:uid="{00000000-0005-0000-0000-00000A0E0000}"/>
    <cellStyle name="Normal 12 2 4 2" xfId="3002" xr:uid="{00000000-0005-0000-0000-00000B0E0000}"/>
    <cellStyle name="Normal 12 2 4 2 2" xfId="7224" xr:uid="{00000000-0005-0000-0000-00000C0E0000}"/>
    <cellStyle name="Normal 12 2 4 2 2 2" xfId="15674" xr:uid="{1059C38A-A960-4C1F-BE4D-127DDD3B7FDE}"/>
    <cellStyle name="Normal 12 2 4 2 3" xfId="11456" xr:uid="{F081A4B2-E74A-499D-B71C-99170D6012BA}"/>
    <cellStyle name="Normal 12 2 4 3" xfId="5079" xr:uid="{00000000-0005-0000-0000-00000D0E0000}"/>
    <cellStyle name="Normal 12 2 4 3 2" xfId="13529" xr:uid="{674D87A5-443A-4F7E-8EA5-D6025BA86117}"/>
    <cellStyle name="Normal 12 2 4 4" xfId="9311" xr:uid="{185AB60B-4045-4F36-8E97-5A32A5329D0B}"/>
    <cellStyle name="Normal 12 2 5" xfId="1184" xr:uid="{00000000-0005-0000-0000-00000E0E0000}"/>
    <cellStyle name="Normal 12 2 5 2" xfId="3415" xr:uid="{00000000-0005-0000-0000-00000F0E0000}"/>
    <cellStyle name="Normal 12 2 5 2 2" xfId="7637" xr:uid="{00000000-0005-0000-0000-0000100E0000}"/>
    <cellStyle name="Normal 12 2 5 2 2 2" xfId="16087" xr:uid="{52B47BD1-F702-4A2D-AE2F-389063EEEA14}"/>
    <cellStyle name="Normal 12 2 5 2 3" xfId="11869" xr:uid="{4D6E20AC-E11B-4E37-9775-0C728D5AFCBE}"/>
    <cellStyle name="Normal 12 2 5 3" xfId="5492" xr:uid="{00000000-0005-0000-0000-0000110E0000}"/>
    <cellStyle name="Normal 12 2 5 3 2" xfId="13942" xr:uid="{9C581124-393D-482B-8137-D75CD05263A5}"/>
    <cellStyle name="Normal 12 2 5 4" xfId="9724" xr:uid="{F7C4A9C6-9AFB-4EF3-80BC-AE88D54A55A6}"/>
    <cellStyle name="Normal 12 2 6" xfId="1598" xr:uid="{00000000-0005-0000-0000-0000120E0000}"/>
    <cellStyle name="Normal 12 2 6 2" xfId="3828" xr:uid="{00000000-0005-0000-0000-0000130E0000}"/>
    <cellStyle name="Normal 12 2 6 2 2" xfId="8050" xr:uid="{00000000-0005-0000-0000-0000140E0000}"/>
    <cellStyle name="Normal 12 2 6 2 2 2" xfId="16500" xr:uid="{D198592C-EC31-4897-9A7F-2A0A620DED68}"/>
    <cellStyle name="Normal 12 2 6 2 3" xfId="12282" xr:uid="{14DA0E91-EA27-4701-95AC-1377AE9E4982}"/>
    <cellStyle name="Normal 12 2 6 3" xfId="5905" xr:uid="{00000000-0005-0000-0000-0000150E0000}"/>
    <cellStyle name="Normal 12 2 6 3 2" xfId="14355" xr:uid="{3EAE13D7-2406-4B77-BAF4-83190D36C729}"/>
    <cellStyle name="Normal 12 2 6 4" xfId="10137" xr:uid="{2ABC12E8-52A4-4122-B33A-75C4BAACAAB8}"/>
    <cellStyle name="Normal 12 2 7" xfId="2012" xr:uid="{00000000-0005-0000-0000-0000160E0000}"/>
    <cellStyle name="Normal 12 2 7 2" xfId="4241" xr:uid="{00000000-0005-0000-0000-0000170E0000}"/>
    <cellStyle name="Normal 12 2 7 2 2" xfId="8463" xr:uid="{00000000-0005-0000-0000-0000180E0000}"/>
    <cellStyle name="Normal 12 2 7 2 2 2" xfId="16913" xr:uid="{AEC25929-6BC7-4C51-8BB9-437FFF1C4D3E}"/>
    <cellStyle name="Normal 12 2 7 2 3" xfId="12695" xr:uid="{28C046F0-66E3-4DA8-8801-6F826867FE9B}"/>
    <cellStyle name="Normal 12 2 7 3" xfId="6318" xr:uid="{00000000-0005-0000-0000-0000190E0000}"/>
    <cellStyle name="Normal 12 2 7 3 2" xfId="14768" xr:uid="{8C9547A1-A188-49D1-B912-E746DC625B1E}"/>
    <cellStyle name="Normal 12 2 7 4" xfId="10550" xr:uid="{BC4589DA-2D81-4C30-ACEE-3CB4BC10019D}"/>
    <cellStyle name="Normal 12 2 8" xfId="2448" xr:uid="{00000000-0005-0000-0000-00001A0E0000}"/>
    <cellStyle name="Normal 12 2 8 2" xfId="6731" xr:uid="{00000000-0005-0000-0000-00001B0E0000}"/>
    <cellStyle name="Normal 12 2 8 2 2" xfId="15181" xr:uid="{2DB9F189-22C3-4E84-8722-669667026DBC}"/>
    <cellStyle name="Normal 12 2 8 3" xfId="10963" xr:uid="{46B3E523-A4E2-4D8A-91D5-700A4C0F95FD}"/>
    <cellStyle name="Normal 12 2 9" xfId="4665" xr:uid="{00000000-0005-0000-0000-00001C0E0000}"/>
    <cellStyle name="Normal 12 2 9 2" xfId="13115" xr:uid="{8558EFA2-9295-4A01-A2D2-1C06B10EC1E6}"/>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2 2 2" xfId="15679" xr:uid="{FF299545-7EE2-4FD8-A3EC-EDEB32813DD3}"/>
    <cellStyle name="Normal 12 3 2 2 2 3" xfId="11461" xr:uid="{0FE1DC4E-A8B6-4B13-9871-50EEF8206BD4}"/>
    <cellStyle name="Normal 12 3 2 2 3" xfId="5084" xr:uid="{00000000-0005-0000-0000-0000220E0000}"/>
    <cellStyle name="Normal 12 3 2 2 3 2" xfId="13534" xr:uid="{F8CD3DDD-343B-4BDC-B662-DCF21DAD94F0}"/>
    <cellStyle name="Normal 12 3 2 2 4" xfId="9316" xr:uid="{54CE226F-CFE4-4EEC-BA74-4424E9313801}"/>
    <cellStyle name="Normal 12 3 2 3" xfId="1189" xr:uid="{00000000-0005-0000-0000-0000230E0000}"/>
    <cellStyle name="Normal 12 3 2 3 2" xfId="3420" xr:uid="{00000000-0005-0000-0000-0000240E0000}"/>
    <cellStyle name="Normal 12 3 2 3 2 2" xfId="7642" xr:uid="{00000000-0005-0000-0000-0000250E0000}"/>
    <cellStyle name="Normal 12 3 2 3 2 2 2" xfId="16092" xr:uid="{8A77875D-9FE3-494F-9C3F-FCDFD5640369}"/>
    <cellStyle name="Normal 12 3 2 3 2 3" xfId="11874" xr:uid="{B94C0375-B790-43B3-9DEE-4C0BDF1EE03D}"/>
    <cellStyle name="Normal 12 3 2 3 3" xfId="5497" xr:uid="{00000000-0005-0000-0000-0000260E0000}"/>
    <cellStyle name="Normal 12 3 2 3 3 2" xfId="13947" xr:uid="{90A20E1A-574B-4276-AB18-0FD884C0038E}"/>
    <cellStyle name="Normal 12 3 2 3 4" xfId="9729" xr:uid="{4866E213-1C51-471C-94FD-5BBD78B8DA5F}"/>
    <cellStyle name="Normal 12 3 2 4" xfId="1603" xr:uid="{00000000-0005-0000-0000-0000270E0000}"/>
    <cellStyle name="Normal 12 3 2 4 2" xfId="3833" xr:uid="{00000000-0005-0000-0000-0000280E0000}"/>
    <cellStyle name="Normal 12 3 2 4 2 2" xfId="8055" xr:uid="{00000000-0005-0000-0000-0000290E0000}"/>
    <cellStyle name="Normal 12 3 2 4 2 2 2" xfId="16505" xr:uid="{B4A7F245-9D78-4B98-8D7B-0E5E14CE786D}"/>
    <cellStyle name="Normal 12 3 2 4 2 3" xfId="12287" xr:uid="{C7A6A7A2-B4EE-4236-A23B-68EE6E3D1097}"/>
    <cellStyle name="Normal 12 3 2 4 3" xfId="5910" xr:uid="{00000000-0005-0000-0000-00002A0E0000}"/>
    <cellStyle name="Normal 12 3 2 4 3 2" xfId="14360" xr:uid="{9D440290-3221-47E4-A534-ACF53009AD6D}"/>
    <cellStyle name="Normal 12 3 2 4 4" xfId="10142" xr:uid="{A963FF5E-44CE-44EA-8973-805C2AC0513E}"/>
    <cellStyle name="Normal 12 3 2 5" xfId="2017" xr:uid="{00000000-0005-0000-0000-00002B0E0000}"/>
    <cellStyle name="Normal 12 3 2 5 2" xfId="4246" xr:uid="{00000000-0005-0000-0000-00002C0E0000}"/>
    <cellStyle name="Normal 12 3 2 5 2 2" xfId="8468" xr:uid="{00000000-0005-0000-0000-00002D0E0000}"/>
    <cellStyle name="Normal 12 3 2 5 2 2 2" xfId="16918" xr:uid="{B77A632B-797C-4414-A913-93CEF24BBA40}"/>
    <cellStyle name="Normal 12 3 2 5 2 3" xfId="12700" xr:uid="{BF264F2A-03AA-4B27-B37D-1B8E493203D8}"/>
    <cellStyle name="Normal 12 3 2 5 3" xfId="6323" xr:uid="{00000000-0005-0000-0000-00002E0E0000}"/>
    <cellStyle name="Normal 12 3 2 5 3 2" xfId="14773" xr:uid="{9840EDC3-2D36-4CCB-B971-0383AAF6485E}"/>
    <cellStyle name="Normal 12 3 2 5 4" xfId="10555" xr:uid="{70CEADAC-8F7F-47D4-8983-289FE33179E2}"/>
    <cellStyle name="Normal 12 3 2 6" xfId="2453" xr:uid="{00000000-0005-0000-0000-00002F0E0000}"/>
    <cellStyle name="Normal 12 3 2 6 2" xfId="6736" xr:uid="{00000000-0005-0000-0000-0000300E0000}"/>
    <cellStyle name="Normal 12 3 2 6 2 2" xfId="15186" xr:uid="{0EADF9E4-53B1-470B-9FC6-5438B631EB8C}"/>
    <cellStyle name="Normal 12 3 2 6 3" xfId="10968" xr:uid="{2EEEE1D2-8029-4DBC-A574-1E789DB1792E}"/>
    <cellStyle name="Normal 12 3 2 7" xfId="4670" xr:uid="{00000000-0005-0000-0000-0000310E0000}"/>
    <cellStyle name="Normal 12 3 2 7 2" xfId="13120" xr:uid="{2AD6AE8F-BDE8-4DFA-8608-F6F309CB1C90}"/>
    <cellStyle name="Normal 12 3 2 8" xfId="8902" xr:uid="{47815047-FA0B-4AB6-AC0E-BA2CA5C566E0}"/>
    <cellStyle name="Normal 12 3 3" xfId="765" xr:uid="{00000000-0005-0000-0000-0000320E0000}"/>
    <cellStyle name="Normal 12 3 3 2" xfId="3006" xr:uid="{00000000-0005-0000-0000-0000330E0000}"/>
    <cellStyle name="Normal 12 3 3 2 2" xfId="7228" xr:uid="{00000000-0005-0000-0000-0000340E0000}"/>
    <cellStyle name="Normal 12 3 3 2 2 2" xfId="15678" xr:uid="{1DC2BDCD-D8B8-4F85-8BFC-9A3D08FD455B}"/>
    <cellStyle name="Normal 12 3 3 2 3" xfId="11460" xr:uid="{7F35CCEA-992B-4EC1-B14B-95CB3339782B}"/>
    <cellStyle name="Normal 12 3 3 3" xfId="5083" xr:uid="{00000000-0005-0000-0000-0000350E0000}"/>
    <cellStyle name="Normal 12 3 3 3 2" xfId="13533" xr:uid="{F29582EB-26C3-4F16-8680-A4BBF049ABEC}"/>
    <cellStyle name="Normal 12 3 3 4" xfId="9315" xr:uid="{012675DA-BC3B-4B8D-910E-610EE43CCC11}"/>
    <cellStyle name="Normal 12 3 4" xfId="1188" xr:uid="{00000000-0005-0000-0000-0000360E0000}"/>
    <cellStyle name="Normal 12 3 4 2" xfId="3419" xr:uid="{00000000-0005-0000-0000-0000370E0000}"/>
    <cellStyle name="Normal 12 3 4 2 2" xfId="7641" xr:uid="{00000000-0005-0000-0000-0000380E0000}"/>
    <cellStyle name="Normal 12 3 4 2 2 2" xfId="16091" xr:uid="{C8681C06-11CF-46E0-BE51-5F4AE422D53B}"/>
    <cellStyle name="Normal 12 3 4 2 3" xfId="11873" xr:uid="{A8F2AF39-ED09-42F8-BE41-22ED06F92CD7}"/>
    <cellStyle name="Normal 12 3 4 3" xfId="5496" xr:uid="{00000000-0005-0000-0000-0000390E0000}"/>
    <cellStyle name="Normal 12 3 4 3 2" xfId="13946" xr:uid="{F00589DC-8623-4ACA-AD56-D75BCE046F70}"/>
    <cellStyle name="Normal 12 3 4 4" xfId="9728" xr:uid="{29820ADE-631C-4A2D-8548-70B57B42C943}"/>
    <cellStyle name="Normal 12 3 5" xfId="1602" xr:uid="{00000000-0005-0000-0000-00003A0E0000}"/>
    <cellStyle name="Normal 12 3 5 2" xfId="3832" xr:uid="{00000000-0005-0000-0000-00003B0E0000}"/>
    <cellStyle name="Normal 12 3 5 2 2" xfId="8054" xr:uid="{00000000-0005-0000-0000-00003C0E0000}"/>
    <cellStyle name="Normal 12 3 5 2 2 2" xfId="16504" xr:uid="{2FAE78DE-6A92-4541-A5BF-D922A48952BB}"/>
    <cellStyle name="Normal 12 3 5 2 3" xfId="12286" xr:uid="{81CCE0EB-7190-40E0-9ADD-E394BD21B144}"/>
    <cellStyle name="Normal 12 3 5 3" xfId="5909" xr:uid="{00000000-0005-0000-0000-00003D0E0000}"/>
    <cellStyle name="Normal 12 3 5 3 2" xfId="14359" xr:uid="{7491AE04-5FE4-4E13-86E1-2D3F56AAA0A5}"/>
    <cellStyle name="Normal 12 3 5 4" xfId="10141" xr:uid="{12981709-9B02-4689-9D3A-AA98891A6D0F}"/>
    <cellStyle name="Normal 12 3 6" xfId="2016" xr:uid="{00000000-0005-0000-0000-00003E0E0000}"/>
    <cellStyle name="Normal 12 3 6 2" xfId="4245" xr:uid="{00000000-0005-0000-0000-00003F0E0000}"/>
    <cellStyle name="Normal 12 3 6 2 2" xfId="8467" xr:uid="{00000000-0005-0000-0000-0000400E0000}"/>
    <cellStyle name="Normal 12 3 6 2 2 2" xfId="16917" xr:uid="{997C1C8C-536B-4D84-B4EA-C03146BB6668}"/>
    <cellStyle name="Normal 12 3 6 2 3" xfId="12699" xr:uid="{0B0C9848-4333-4C32-9622-928DEF1AF10F}"/>
    <cellStyle name="Normal 12 3 6 3" xfId="6322" xr:uid="{00000000-0005-0000-0000-0000410E0000}"/>
    <cellStyle name="Normal 12 3 6 3 2" xfId="14772" xr:uid="{B484B480-D16F-4446-BB4D-9A207734C501}"/>
    <cellStyle name="Normal 12 3 6 4" xfId="10554" xr:uid="{4A6AB7EF-EE62-42CA-B4C3-28EC7758BC29}"/>
    <cellStyle name="Normal 12 3 7" xfId="2452" xr:uid="{00000000-0005-0000-0000-0000420E0000}"/>
    <cellStyle name="Normal 12 3 7 2" xfId="6735" xr:uid="{00000000-0005-0000-0000-0000430E0000}"/>
    <cellStyle name="Normal 12 3 7 2 2" xfId="15185" xr:uid="{8385F374-5DD9-4F05-A41C-D37307D7D79D}"/>
    <cellStyle name="Normal 12 3 7 3" xfId="10967" xr:uid="{DDD8CFC4-E8FC-4B47-984F-4BDF8D8E1962}"/>
    <cellStyle name="Normal 12 3 8" xfId="4669" xr:uid="{00000000-0005-0000-0000-0000440E0000}"/>
    <cellStyle name="Normal 12 3 8 2" xfId="13119" xr:uid="{7148EBB0-98CE-4CA5-97D7-05D718F9DEC6}"/>
    <cellStyle name="Normal 12 3 9" xfId="8901" xr:uid="{DB265653-B38B-4294-B318-79A772B87011}"/>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2 2 2" xfId="15680" xr:uid="{825BB0EC-F5DA-48B2-8950-00C6215CA814}"/>
    <cellStyle name="Normal 12 4 2 2 3" xfId="11462" xr:uid="{E0B0D324-4695-4184-9406-1FE8859E3877}"/>
    <cellStyle name="Normal 12 4 2 3" xfId="5085" xr:uid="{00000000-0005-0000-0000-0000490E0000}"/>
    <cellStyle name="Normal 12 4 2 3 2" xfId="13535" xr:uid="{37C659EA-9C62-462D-9C7E-8FE9603E14D5}"/>
    <cellStyle name="Normal 12 4 2 4" xfId="9317" xr:uid="{86110D2F-319E-46D0-B453-7F5526D3BA04}"/>
    <cellStyle name="Normal 12 4 3" xfId="1190" xr:uid="{00000000-0005-0000-0000-00004A0E0000}"/>
    <cellStyle name="Normal 12 4 3 2" xfId="3421" xr:uid="{00000000-0005-0000-0000-00004B0E0000}"/>
    <cellStyle name="Normal 12 4 3 2 2" xfId="7643" xr:uid="{00000000-0005-0000-0000-00004C0E0000}"/>
    <cellStyle name="Normal 12 4 3 2 2 2" xfId="16093" xr:uid="{203971C2-73B7-427D-9044-2C388659FE15}"/>
    <cellStyle name="Normal 12 4 3 2 3" xfId="11875" xr:uid="{DBD9070A-842C-40DA-8136-331361A12D56}"/>
    <cellStyle name="Normal 12 4 3 3" xfId="5498" xr:uid="{00000000-0005-0000-0000-00004D0E0000}"/>
    <cellStyle name="Normal 12 4 3 3 2" xfId="13948" xr:uid="{3C18FAE9-7EF6-447C-9B3F-E31C9067F9B2}"/>
    <cellStyle name="Normal 12 4 3 4" xfId="9730" xr:uid="{695373D2-50CE-40B8-95B0-6F1278F3B846}"/>
    <cellStyle name="Normal 12 4 4" xfId="1604" xr:uid="{00000000-0005-0000-0000-00004E0E0000}"/>
    <cellStyle name="Normal 12 4 4 2" xfId="3834" xr:uid="{00000000-0005-0000-0000-00004F0E0000}"/>
    <cellStyle name="Normal 12 4 4 2 2" xfId="8056" xr:uid="{00000000-0005-0000-0000-0000500E0000}"/>
    <cellStyle name="Normal 12 4 4 2 2 2" xfId="16506" xr:uid="{C2761B6F-EAA7-420E-97D8-FB6DE6F071F1}"/>
    <cellStyle name="Normal 12 4 4 2 3" xfId="12288" xr:uid="{DAC9675F-F08A-45DD-9B37-BB1E76877EA8}"/>
    <cellStyle name="Normal 12 4 4 3" xfId="5911" xr:uid="{00000000-0005-0000-0000-0000510E0000}"/>
    <cellStyle name="Normal 12 4 4 3 2" xfId="14361" xr:uid="{2629B7E2-02C1-4C77-93BE-62689D485263}"/>
    <cellStyle name="Normal 12 4 4 4" xfId="10143" xr:uid="{09A65C75-3150-4F53-9200-D16D9936A8E2}"/>
    <cellStyle name="Normal 12 4 5" xfId="2018" xr:uid="{00000000-0005-0000-0000-0000520E0000}"/>
    <cellStyle name="Normal 12 4 5 2" xfId="4247" xr:uid="{00000000-0005-0000-0000-0000530E0000}"/>
    <cellStyle name="Normal 12 4 5 2 2" xfId="8469" xr:uid="{00000000-0005-0000-0000-0000540E0000}"/>
    <cellStyle name="Normal 12 4 5 2 2 2" xfId="16919" xr:uid="{1AC0BB86-B4D2-44AE-A532-4D9553721D80}"/>
    <cellStyle name="Normal 12 4 5 2 3" xfId="12701" xr:uid="{2890E73F-BC22-42CA-8C34-79594E1BDE54}"/>
    <cellStyle name="Normal 12 4 5 3" xfId="6324" xr:uid="{00000000-0005-0000-0000-0000550E0000}"/>
    <cellStyle name="Normal 12 4 5 3 2" xfId="14774" xr:uid="{53ED8EF6-E78E-436C-855F-488480434656}"/>
    <cellStyle name="Normal 12 4 5 4" xfId="10556" xr:uid="{CB213293-23C7-4A7B-AA0F-01771E17AAE1}"/>
    <cellStyle name="Normal 12 4 6" xfId="2454" xr:uid="{00000000-0005-0000-0000-0000560E0000}"/>
    <cellStyle name="Normal 12 4 6 2" xfId="6737" xr:uid="{00000000-0005-0000-0000-0000570E0000}"/>
    <cellStyle name="Normal 12 4 6 2 2" xfId="15187" xr:uid="{8F1B8BE8-F601-4F20-89C4-B7589E75E04F}"/>
    <cellStyle name="Normal 12 4 6 3" xfId="10969" xr:uid="{9226A9E8-CA4F-49F8-A461-73CDD9C43B93}"/>
    <cellStyle name="Normal 12 4 7" xfId="4671" xr:uid="{00000000-0005-0000-0000-0000580E0000}"/>
    <cellStyle name="Normal 12 4 7 2" xfId="13121" xr:uid="{F7437A8A-A8FF-4B58-9F40-E683CD36113F}"/>
    <cellStyle name="Normal 12 4 8" xfId="8903" xr:uid="{A7DC2BFC-0717-42C5-B14D-546D0575E5BE}"/>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2 2 2" xfId="15673" xr:uid="{DF105762-16D0-490C-84B5-F68C0D24F6BF}"/>
    <cellStyle name="Normal 12 6 2 3" xfId="11455" xr:uid="{93BD2D51-5372-403E-808E-88F90F5375A7}"/>
    <cellStyle name="Normal 12 6 3" xfId="5078" xr:uid="{00000000-0005-0000-0000-00005D0E0000}"/>
    <cellStyle name="Normal 12 6 3 2" xfId="13528" xr:uid="{A0E75B16-91E6-483D-9922-13F2A3EBB4FC}"/>
    <cellStyle name="Normal 12 6 4" xfId="9310" xr:uid="{C15A7395-4BD9-4F06-A428-B33337EF6AB3}"/>
    <cellStyle name="Normal 12 7" xfId="1183" xr:uid="{00000000-0005-0000-0000-00005E0E0000}"/>
    <cellStyle name="Normal 12 7 2" xfId="3414" xr:uid="{00000000-0005-0000-0000-00005F0E0000}"/>
    <cellStyle name="Normal 12 7 2 2" xfId="7636" xr:uid="{00000000-0005-0000-0000-0000600E0000}"/>
    <cellStyle name="Normal 12 7 2 2 2" xfId="16086" xr:uid="{EEB66FA7-2360-4173-84F7-63857637B6D7}"/>
    <cellStyle name="Normal 12 7 2 3" xfId="11868" xr:uid="{E9AFDA40-F9F5-47AF-A82B-7160A9074420}"/>
    <cellStyle name="Normal 12 7 3" xfId="5491" xr:uid="{00000000-0005-0000-0000-0000610E0000}"/>
    <cellStyle name="Normal 12 7 3 2" xfId="13941" xr:uid="{E33C01BC-5093-47FA-AFAF-F091BB6EADCF}"/>
    <cellStyle name="Normal 12 7 4" xfId="9723" xr:uid="{D8F566C4-1F27-493B-834D-5AAAA0A87E42}"/>
    <cellStyle name="Normal 12 8" xfId="1597" xr:uid="{00000000-0005-0000-0000-0000620E0000}"/>
    <cellStyle name="Normal 12 8 2" xfId="3827" xr:uid="{00000000-0005-0000-0000-0000630E0000}"/>
    <cellStyle name="Normal 12 8 2 2" xfId="8049" xr:uid="{00000000-0005-0000-0000-0000640E0000}"/>
    <cellStyle name="Normal 12 8 2 2 2" xfId="16499" xr:uid="{F00F88DD-783C-43A6-AAC4-AD9F29A20735}"/>
    <cellStyle name="Normal 12 8 2 3" xfId="12281" xr:uid="{4CBF7ECF-2550-4760-BB64-14B5FDAAEBB4}"/>
    <cellStyle name="Normal 12 8 3" xfId="5904" xr:uid="{00000000-0005-0000-0000-0000650E0000}"/>
    <cellStyle name="Normal 12 8 3 2" xfId="14354" xr:uid="{50E5D5B7-71D8-4C1C-9358-D3B41DC2A70F}"/>
    <cellStyle name="Normal 12 8 4" xfId="10136" xr:uid="{96E2B7D1-757D-4076-B803-61019DF1AB77}"/>
    <cellStyle name="Normal 12 9" xfId="2011" xr:uid="{00000000-0005-0000-0000-0000660E0000}"/>
    <cellStyle name="Normal 12 9 2" xfId="4240" xr:uid="{00000000-0005-0000-0000-0000670E0000}"/>
    <cellStyle name="Normal 12 9 2 2" xfId="8462" xr:uid="{00000000-0005-0000-0000-0000680E0000}"/>
    <cellStyle name="Normal 12 9 2 2 2" xfId="16912" xr:uid="{8E2FB539-81DE-4534-A4C1-7D90B701B77D}"/>
    <cellStyle name="Normal 12 9 2 3" xfId="12694" xr:uid="{C8A7C30E-FC17-4912-9DAF-FF6D3F868E81}"/>
    <cellStyle name="Normal 12 9 3" xfId="6317" xr:uid="{00000000-0005-0000-0000-0000690E0000}"/>
    <cellStyle name="Normal 12 9 3 2" xfId="14767" xr:uid="{5A7CDC0C-4736-43FB-800F-D86280F64C99}"/>
    <cellStyle name="Normal 12 9 4" xfId="10549" xr:uid="{41B70EA9-C00D-4FE2-B1A5-AEC5DFC7FDAC}"/>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2 2 2" xfId="15681" xr:uid="{DC0A6CFE-0F38-4F14-AEF8-8734F25A1747}"/>
    <cellStyle name="Normal 14 2 2 3" xfId="11463" xr:uid="{D40AD3EF-6C6D-4599-B763-B4FC008601F0}"/>
    <cellStyle name="Normal 14 2 3" xfId="5086" xr:uid="{00000000-0005-0000-0000-0000700E0000}"/>
    <cellStyle name="Normal 14 2 3 2" xfId="13536" xr:uid="{99C0FB7B-2D5A-45F6-AD85-2CAAF4FEC17B}"/>
    <cellStyle name="Normal 14 2 4" xfId="9318" xr:uid="{2D11BB02-0609-46A8-BD4B-8DCEF6483E65}"/>
    <cellStyle name="Normal 14 3" xfId="1191" xr:uid="{00000000-0005-0000-0000-0000710E0000}"/>
    <cellStyle name="Normal 14 3 2" xfId="3422" xr:uid="{00000000-0005-0000-0000-0000720E0000}"/>
    <cellStyle name="Normal 14 3 2 2" xfId="7644" xr:uid="{00000000-0005-0000-0000-0000730E0000}"/>
    <cellStyle name="Normal 14 3 2 2 2" xfId="16094" xr:uid="{D0D0FEDD-32F3-4FB2-9466-84D5166AFFEC}"/>
    <cellStyle name="Normal 14 3 2 3" xfId="11876" xr:uid="{F525EA31-8C26-4510-9152-C426830A5136}"/>
    <cellStyle name="Normal 14 3 3" xfId="5499" xr:uid="{00000000-0005-0000-0000-0000740E0000}"/>
    <cellStyle name="Normal 14 3 3 2" xfId="13949" xr:uid="{26C29B71-033B-405E-B53E-F08295AF610A}"/>
    <cellStyle name="Normal 14 3 4" xfId="9731" xr:uid="{A120ACB8-189F-4BE6-9206-492D3CF18AC5}"/>
    <cellStyle name="Normal 14 4" xfId="1605" xr:uid="{00000000-0005-0000-0000-0000750E0000}"/>
    <cellStyle name="Normal 14 4 2" xfId="3835" xr:uid="{00000000-0005-0000-0000-0000760E0000}"/>
    <cellStyle name="Normal 14 4 2 2" xfId="8057" xr:uid="{00000000-0005-0000-0000-0000770E0000}"/>
    <cellStyle name="Normal 14 4 2 2 2" xfId="16507" xr:uid="{1A2FACD4-7FAC-433F-9285-88B204C202FF}"/>
    <cellStyle name="Normal 14 4 2 3" xfId="12289" xr:uid="{FB4BCA4F-F5B2-42F4-ACFC-5A25734E1BAF}"/>
    <cellStyle name="Normal 14 4 3" xfId="5912" xr:uid="{00000000-0005-0000-0000-0000780E0000}"/>
    <cellStyle name="Normal 14 4 3 2" xfId="14362" xr:uid="{C17EAC9F-798B-4D1C-B2E9-DA94A5C1267E}"/>
    <cellStyle name="Normal 14 4 4" xfId="10144" xr:uid="{97CEA2D1-999F-4B24-907D-99A4C94BCFBA}"/>
    <cellStyle name="Normal 14 5" xfId="2019" xr:uid="{00000000-0005-0000-0000-0000790E0000}"/>
    <cellStyle name="Normal 14 5 2" xfId="4248" xr:uid="{00000000-0005-0000-0000-00007A0E0000}"/>
    <cellStyle name="Normal 14 5 2 2" xfId="8470" xr:uid="{00000000-0005-0000-0000-00007B0E0000}"/>
    <cellStyle name="Normal 14 5 2 2 2" xfId="16920" xr:uid="{6C6EEC6B-4F13-46D3-BA78-F62B7727B8FA}"/>
    <cellStyle name="Normal 14 5 2 3" xfId="12702" xr:uid="{472F2071-690F-40BA-9EE1-9887F0B054B5}"/>
    <cellStyle name="Normal 14 5 3" xfId="6325" xr:uid="{00000000-0005-0000-0000-00007C0E0000}"/>
    <cellStyle name="Normal 14 5 3 2" xfId="14775" xr:uid="{8C076FEE-80A3-4B72-9F10-B82D71B65783}"/>
    <cellStyle name="Normal 14 5 4" xfId="10557" xr:uid="{EEA25D4C-8679-4915-8134-D99B4EB20D38}"/>
    <cellStyle name="Normal 14 6" xfId="2455" xr:uid="{00000000-0005-0000-0000-00007D0E0000}"/>
    <cellStyle name="Normal 14 6 2" xfId="6738" xr:uid="{00000000-0005-0000-0000-00007E0E0000}"/>
    <cellStyle name="Normal 14 6 2 2" xfId="15188" xr:uid="{EBDB1345-C8E3-46F3-B6AC-C1FA0953DAD0}"/>
    <cellStyle name="Normal 14 6 3" xfId="10970" xr:uid="{666B71A6-FC15-43C7-AA37-D4AD5A909531}"/>
    <cellStyle name="Normal 14 7" xfId="4672" xr:uid="{00000000-0005-0000-0000-00007F0E0000}"/>
    <cellStyle name="Normal 14 7 2" xfId="13122" xr:uid="{D6A255A4-8E4A-4B50-AE81-AAC2295DBF43}"/>
    <cellStyle name="Normal 14 8" xfId="8904" xr:uid="{B1CF2FAD-408A-4108-830E-B11487412AD8}"/>
    <cellStyle name="Normal 15" xfId="4496" xr:uid="{00000000-0005-0000-0000-0000800E0000}"/>
    <cellStyle name="Normal 15 2" xfId="12948" xr:uid="{C26D363D-D735-4DD6-9E23-D2B957089109}"/>
    <cellStyle name="Normal 16" xfId="4500" xr:uid="{00000000-0005-0000-0000-0000810E0000}"/>
    <cellStyle name="Normal 16 2" xfId="8715" xr:uid="{00000000-0005-0000-0000-0000820E0000}"/>
    <cellStyle name="Normal 16 2 2" xfId="17165" xr:uid="{BE63289F-4934-4A2D-B98A-381C4D3027C3}"/>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2 2 2" xfId="17181" xr:uid="{E167D1B6-BA0F-408A-82D6-234B1EEE8924}"/>
    <cellStyle name="Normal 16 3 2 2 2 3" xfId="17178" xr:uid="{B906E5A9-522D-41BF-93A0-B1EB68075908}"/>
    <cellStyle name="Normal 16 3 2 2 3" xfId="17174" xr:uid="{846F0125-4104-4290-A8A2-75623997A50E}"/>
    <cellStyle name="Normal 16 3 2 3" xfId="17171" xr:uid="{3F688ABC-CE5F-404E-9242-AF38E0EDE089}"/>
    <cellStyle name="Normal 16 3 3" xfId="17168" xr:uid="{A7F51A8F-25D6-4B9C-BDE1-FDB13C976C92}"/>
    <cellStyle name="Normal 16 4" xfId="12951" xr:uid="{4E419FB0-6B74-469B-A125-8888B21E5A5C}"/>
    <cellStyle name="Normal 17" xfId="8728" xr:uid="{3FF0972C-833B-4475-99D8-1A6907499E71}"/>
    <cellStyle name="Normal 17 2" xfId="17177" xr:uid="{4528DA66-0727-41C5-A487-314127625153}"/>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16921" xr:uid="{4D54B489-DF31-49B0-A00E-11BDBFD9E590}"/>
    <cellStyle name="Normal 2 4 2 10 2 3" xfId="12703" xr:uid="{576A7E13-5BA3-4C18-9023-FE3BEC012388}"/>
    <cellStyle name="Normal 2 4 2 10 3" xfId="6326" xr:uid="{00000000-0005-0000-0000-0000910E0000}"/>
    <cellStyle name="Normal 2 4 2 10 3 2" xfId="14776" xr:uid="{3B4349C6-0B5B-4C98-8518-ED10FACC9E88}"/>
    <cellStyle name="Normal 2 4 2 10 4" xfId="10558" xr:uid="{06872DCA-318B-470B-9B7B-B995103FDC5D}"/>
    <cellStyle name="Normal 2 4 2 11" xfId="2456" xr:uid="{00000000-0005-0000-0000-0000920E0000}"/>
    <cellStyle name="Normal 2 4 2 11 2" xfId="6739" xr:uid="{00000000-0005-0000-0000-0000930E0000}"/>
    <cellStyle name="Normal 2 4 2 11 2 2" xfId="15189" xr:uid="{EBD4F03D-00EA-4B28-9246-24E683A576E5}"/>
    <cellStyle name="Normal 2 4 2 11 3" xfId="10971" xr:uid="{A4CE391D-08E1-4615-BF65-9B7C92781C43}"/>
    <cellStyle name="Normal 2 4 2 12" xfId="4673" xr:uid="{00000000-0005-0000-0000-0000940E0000}"/>
    <cellStyle name="Normal 2 4 2 12 2" xfId="13123" xr:uid="{9B6E6452-A2D8-4A79-90CC-65AB0D187EE3}"/>
    <cellStyle name="Normal 2 4 2 13" xfId="8905" xr:uid="{1F8B1AF1-4630-4167-AB13-BD2A2C32FCF5}"/>
    <cellStyle name="Normal 2 4 2 2" xfId="280" xr:uid="{00000000-0005-0000-0000-0000950E0000}"/>
    <cellStyle name="Normal 2 4 2 3" xfId="281" xr:uid="{00000000-0005-0000-0000-0000960E0000}"/>
    <cellStyle name="Normal 2 4 2 3 10" xfId="4674" xr:uid="{00000000-0005-0000-0000-0000970E0000}"/>
    <cellStyle name="Normal 2 4 2 3 10 2" xfId="13124" xr:uid="{D593AC67-29FA-4981-84D4-E84FAD06B42D}"/>
    <cellStyle name="Normal 2 4 2 3 11" xfId="8906" xr:uid="{F7775AA8-6C81-4DFD-8483-81A6DCA6F909}"/>
    <cellStyle name="Normal 2 4 2 3 2" xfId="282" xr:uid="{00000000-0005-0000-0000-0000980E0000}"/>
    <cellStyle name="Normal 2 4 2 3 2 10" xfId="8907" xr:uid="{10256351-084D-406C-881E-AB8E965560B5}"/>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15686" xr:uid="{79D282FE-0E02-4DF9-86FB-445D002E44DB}"/>
    <cellStyle name="Normal 2 4 2 3 2 2 2 2 2 3" xfId="11468" xr:uid="{6D1939FC-FA21-426E-B330-37DC12206B7C}"/>
    <cellStyle name="Normal 2 4 2 3 2 2 2 2 3" xfId="5091" xr:uid="{00000000-0005-0000-0000-00009E0E0000}"/>
    <cellStyle name="Normal 2 4 2 3 2 2 2 2 3 2" xfId="13541" xr:uid="{5D578832-3D90-4831-B013-75126109E90F}"/>
    <cellStyle name="Normal 2 4 2 3 2 2 2 2 4" xfId="9323" xr:uid="{C0220CDC-4453-48E0-879F-D6CEEEAAFE9E}"/>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16099" xr:uid="{19A9AD7A-2906-4CE4-8F77-4CDAB3D1B141}"/>
    <cellStyle name="Normal 2 4 2 3 2 2 2 3 2 3" xfId="11881" xr:uid="{3E6CCA5D-C11A-49F4-BDAF-343A8EEB5BA6}"/>
    <cellStyle name="Normal 2 4 2 3 2 2 2 3 3" xfId="5504" xr:uid="{00000000-0005-0000-0000-0000A20E0000}"/>
    <cellStyle name="Normal 2 4 2 3 2 2 2 3 3 2" xfId="13954" xr:uid="{83C90DB4-0924-4DF4-8044-5F386494C796}"/>
    <cellStyle name="Normal 2 4 2 3 2 2 2 3 4" xfId="9736" xr:uid="{F546A89D-CB9D-4479-9CC4-500A77848915}"/>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16512" xr:uid="{1DE1D4A7-7B3F-41F0-BB42-6416C1EB76F1}"/>
    <cellStyle name="Normal 2 4 2 3 2 2 2 4 2 3" xfId="12294" xr:uid="{3DAB28BD-7110-4705-ACA5-3242B3653799}"/>
    <cellStyle name="Normal 2 4 2 3 2 2 2 4 3" xfId="5917" xr:uid="{00000000-0005-0000-0000-0000A60E0000}"/>
    <cellStyle name="Normal 2 4 2 3 2 2 2 4 3 2" xfId="14367" xr:uid="{EBBB0DCE-9F48-4DAF-8FC3-9B0D93929A77}"/>
    <cellStyle name="Normal 2 4 2 3 2 2 2 4 4" xfId="10149" xr:uid="{292ADFA0-46F3-4D34-9340-6C6D942D5159}"/>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16925" xr:uid="{DA794BF3-32FE-4DC3-A66B-A8B5C07FA9E3}"/>
    <cellStyle name="Normal 2 4 2 3 2 2 2 5 2 3" xfId="12707" xr:uid="{64F29F3E-2521-408B-9A82-E0997C1AD7BC}"/>
    <cellStyle name="Normal 2 4 2 3 2 2 2 5 3" xfId="6330" xr:uid="{00000000-0005-0000-0000-0000AA0E0000}"/>
    <cellStyle name="Normal 2 4 2 3 2 2 2 5 3 2" xfId="14780" xr:uid="{C78F17C9-B52A-44C8-BE65-1C675733B3B8}"/>
    <cellStyle name="Normal 2 4 2 3 2 2 2 5 4" xfId="10562" xr:uid="{62F04210-E04B-425D-8887-305CCCA04D47}"/>
    <cellStyle name="Normal 2 4 2 3 2 2 2 6" xfId="2460" xr:uid="{00000000-0005-0000-0000-0000AB0E0000}"/>
    <cellStyle name="Normal 2 4 2 3 2 2 2 6 2" xfId="6743" xr:uid="{00000000-0005-0000-0000-0000AC0E0000}"/>
    <cellStyle name="Normal 2 4 2 3 2 2 2 6 2 2" xfId="15193" xr:uid="{7A9C0D2C-3754-4671-B9D7-48E8B762926D}"/>
    <cellStyle name="Normal 2 4 2 3 2 2 2 6 3" xfId="10975" xr:uid="{CC268012-EABE-4D17-9F76-6F093D03E626}"/>
    <cellStyle name="Normal 2 4 2 3 2 2 2 7" xfId="4677" xr:uid="{00000000-0005-0000-0000-0000AD0E0000}"/>
    <cellStyle name="Normal 2 4 2 3 2 2 2 7 2" xfId="13127" xr:uid="{FA528922-7AFC-4918-8D46-5ECB47E7DD9E}"/>
    <cellStyle name="Normal 2 4 2 3 2 2 2 8" xfId="8909" xr:uid="{13273E56-E5D4-40F2-9771-64351D10836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15685" xr:uid="{74742952-C43F-431C-8F7C-E754E29782E2}"/>
    <cellStyle name="Normal 2 4 2 3 2 2 3 2 3" xfId="11467" xr:uid="{DD23E2C8-B47C-4A0E-89B2-389FFB7C3431}"/>
    <cellStyle name="Normal 2 4 2 3 2 2 3 3" xfId="5090" xr:uid="{00000000-0005-0000-0000-0000B10E0000}"/>
    <cellStyle name="Normal 2 4 2 3 2 2 3 3 2" xfId="13540" xr:uid="{0A17F7CE-B856-4559-AA32-C9E4D21A1051}"/>
    <cellStyle name="Normal 2 4 2 3 2 2 3 4" xfId="9322" xr:uid="{ACFB1169-B666-4C42-B9FF-3E0BF6BC332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16098" xr:uid="{DDAAB1EF-FA23-48EA-BD53-3E206E2F31C6}"/>
    <cellStyle name="Normal 2 4 2 3 2 2 4 2 3" xfId="11880" xr:uid="{EE36045C-0614-4E55-B261-F4CB93501070}"/>
    <cellStyle name="Normal 2 4 2 3 2 2 4 3" xfId="5503" xr:uid="{00000000-0005-0000-0000-0000B50E0000}"/>
    <cellStyle name="Normal 2 4 2 3 2 2 4 3 2" xfId="13953" xr:uid="{7CCB2CCB-7D6D-4025-B045-0383B7F21ED7}"/>
    <cellStyle name="Normal 2 4 2 3 2 2 4 4" xfId="9735" xr:uid="{96E4BA30-F139-4A94-B863-F0605397167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16511" xr:uid="{D29A03F8-BEE7-4DB3-9FB5-338DAC223227}"/>
    <cellStyle name="Normal 2 4 2 3 2 2 5 2 3" xfId="12293" xr:uid="{1C155B70-0466-474B-BDB2-D77054828CF8}"/>
    <cellStyle name="Normal 2 4 2 3 2 2 5 3" xfId="5916" xr:uid="{00000000-0005-0000-0000-0000B90E0000}"/>
    <cellStyle name="Normal 2 4 2 3 2 2 5 3 2" xfId="14366" xr:uid="{0B762B2C-BD4D-4058-99D4-B27997DD6A5E}"/>
    <cellStyle name="Normal 2 4 2 3 2 2 5 4" xfId="10148" xr:uid="{87B29805-771B-4BBA-BCD2-E13120B8356E}"/>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16924" xr:uid="{33BB090A-FC30-4348-97BD-3B82DDE8AE31}"/>
    <cellStyle name="Normal 2 4 2 3 2 2 6 2 3" xfId="12706" xr:uid="{6313C045-D7AC-4AD4-86DE-367D3060E7DA}"/>
    <cellStyle name="Normal 2 4 2 3 2 2 6 3" xfId="6329" xr:uid="{00000000-0005-0000-0000-0000BD0E0000}"/>
    <cellStyle name="Normal 2 4 2 3 2 2 6 3 2" xfId="14779" xr:uid="{A2AC6FD9-9AFC-4062-8106-1102B4DF82E2}"/>
    <cellStyle name="Normal 2 4 2 3 2 2 6 4" xfId="10561" xr:uid="{94B5EDCA-5A6E-4491-B11E-ECDBA918790D}"/>
    <cellStyle name="Normal 2 4 2 3 2 2 7" xfId="2459" xr:uid="{00000000-0005-0000-0000-0000BE0E0000}"/>
    <cellStyle name="Normal 2 4 2 3 2 2 7 2" xfId="6742" xr:uid="{00000000-0005-0000-0000-0000BF0E0000}"/>
    <cellStyle name="Normal 2 4 2 3 2 2 7 2 2" xfId="15192" xr:uid="{5B0ADC02-B66A-48EA-8F03-935C915685DD}"/>
    <cellStyle name="Normal 2 4 2 3 2 2 7 3" xfId="10974" xr:uid="{FA25B611-955C-4530-A44A-CC1341F872C9}"/>
    <cellStyle name="Normal 2 4 2 3 2 2 8" xfId="4676" xr:uid="{00000000-0005-0000-0000-0000C00E0000}"/>
    <cellStyle name="Normal 2 4 2 3 2 2 8 2" xfId="13126" xr:uid="{BFC5F564-87AD-4401-B30F-8F0C53172F81}"/>
    <cellStyle name="Normal 2 4 2 3 2 2 9" xfId="8908" xr:uid="{4936041E-64BA-4456-BF75-0A2DDAB8A259}"/>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15687" xr:uid="{C03974AF-15FF-4E10-8F85-54A0073E9C7B}"/>
    <cellStyle name="Normal 2 4 2 3 2 3 2 2 3" xfId="11469" xr:uid="{0BC175D7-876E-4502-9FD4-265B619D8C06}"/>
    <cellStyle name="Normal 2 4 2 3 2 3 2 3" xfId="5092" xr:uid="{00000000-0005-0000-0000-0000C50E0000}"/>
    <cellStyle name="Normal 2 4 2 3 2 3 2 3 2" xfId="13542" xr:uid="{2DDF99B0-1697-40FE-8A90-F09D7D90A270}"/>
    <cellStyle name="Normal 2 4 2 3 2 3 2 4" xfId="9324" xr:uid="{5191F0FF-E030-41AC-AE92-60D1C5C3452A}"/>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16100" xr:uid="{B26DBBED-92E8-424D-A38E-957B1B939668}"/>
    <cellStyle name="Normal 2 4 2 3 2 3 3 2 3" xfId="11882" xr:uid="{41B37900-7F5D-42D4-A3D4-35BED15FC058}"/>
    <cellStyle name="Normal 2 4 2 3 2 3 3 3" xfId="5505" xr:uid="{00000000-0005-0000-0000-0000C90E0000}"/>
    <cellStyle name="Normal 2 4 2 3 2 3 3 3 2" xfId="13955" xr:uid="{7828BD84-81E1-4AEE-8929-374FD446E059}"/>
    <cellStyle name="Normal 2 4 2 3 2 3 3 4" xfId="9737" xr:uid="{76767CD5-0CCA-4524-90C8-29F1D9902C3B}"/>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16513" xr:uid="{8B2580AE-0FB5-4FF1-9239-34608EC5BF92}"/>
    <cellStyle name="Normal 2 4 2 3 2 3 4 2 3" xfId="12295" xr:uid="{39800BB9-17EC-4F67-B9FC-F0E672A11615}"/>
    <cellStyle name="Normal 2 4 2 3 2 3 4 3" xfId="5918" xr:uid="{00000000-0005-0000-0000-0000CD0E0000}"/>
    <cellStyle name="Normal 2 4 2 3 2 3 4 3 2" xfId="14368" xr:uid="{EB8F2E01-0B44-46B2-8D99-B1DBA07F405E}"/>
    <cellStyle name="Normal 2 4 2 3 2 3 4 4" xfId="10150" xr:uid="{621F1E37-57B5-4E1D-928C-57D6EC398045}"/>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16926" xr:uid="{88B2D26F-922B-4B8D-9337-44F337BBAC06}"/>
    <cellStyle name="Normal 2 4 2 3 2 3 5 2 3" xfId="12708" xr:uid="{4ADE6141-E12E-4376-A219-C0586715D482}"/>
    <cellStyle name="Normal 2 4 2 3 2 3 5 3" xfId="6331" xr:uid="{00000000-0005-0000-0000-0000D10E0000}"/>
    <cellStyle name="Normal 2 4 2 3 2 3 5 3 2" xfId="14781" xr:uid="{BECAA948-7606-4D2E-AB32-9875018C0FF5}"/>
    <cellStyle name="Normal 2 4 2 3 2 3 5 4" xfId="10563" xr:uid="{0614B20D-9630-4FCC-B8F6-47D2CF7F14C1}"/>
    <cellStyle name="Normal 2 4 2 3 2 3 6" xfId="2461" xr:uid="{00000000-0005-0000-0000-0000D20E0000}"/>
    <cellStyle name="Normal 2 4 2 3 2 3 6 2" xfId="6744" xr:uid="{00000000-0005-0000-0000-0000D30E0000}"/>
    <cellStyle name="Normal 2 4 2 3 2 3 6 2 2" xfId="15194" xr:uid="{E1BA7005-507E-402A-8D99-CA9E71D73CEA}"/>
    <cellStyle name="Normal 2 4 2 3 2 3 6 3" xfId="10976" xr:uid="{46855AB1-60E2-41D1-AFB2-01A2E0746F30}"/>
    <cellStyle name="Normal 2 4 2 3 2 3 7" xfId="4678" xr:uid="{00000000-0005-0000-0000-0000D40E0000}"/>
    <cellStyle name="Normal 2 4 2 3 2 3 7 2" xfId="13128" xr:uid="{A3A0E6CC-3C20-4117-97AA-FBF4929E0DFC}"/>
    <cellStyle name="Normal 2 4 2 3 2 3 8" xfId="8910" xr:uid="{26D15C41-D7B3-47E8-A65B-2781C6026B76}"/>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15684" xr:uid="{ED3A70A6-A990-40E5-8333-D27F7F8A5251}"/>
    <cellStyle name="Normal 2 4 2 3 2 4 2 3" xfId="11466" xr:uid="{B2638520-7FB3-47B0-A45D-AEA2A33CD2DA}"/>
    <cellStyle name="Normal 2 4 2 3 2 4 3" xfId="5089" xr:uid="{00000000-0005-0000-0000-0000D80E0000}"/>
    <cellStyle name="Normal 2 4 2 3 2 4 3 2" xfId="13539" xr:uid="{F94A9E5D-DE19-4B5F-B9A3-89B15F6B0A7D}"/>
    <cellStyle name="Normal 2 4 2 3 2 4 4" xfId="9321" xr:uid="{C6DA6E65-4FBC-435E-84B7-3B79B8FCBB4D}"/>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16097" xr:uid="{F81C0170-FDA5-41FA-90A2-1D593B14CB16}"/>
    <cellStyle name="Normal 2 4 2 3 2 5 2 3" xfId="11879" xr:uid="{543994A8-9E88-45F1-8B72-283826489CBA}"/>
    <cellStyle name="Normal 2 4 2 3 2 5 3" xfId="5502" xr:uid="{00000000-0005-0000-0000-0000DC0E0000}"/>
    <cellStyle name="Normal 2 4 2 3 2 5 3 2" xfId="13952" xr:uid="{471970AC-13CF-4F21-8FBF-DA55D45C56B6}"/>
    <cellStyle name="Normal 2 4 2 3 2 5 4" xfId="9734" xr:uid="{5A1F84F9-C8C5-4F4D-A818-C4B45A8AB6A9}"/>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16510" xr:uid="{F1618D2F-470B-4385-BF9D-1BF79FC93437}"/>
    <cellStyle name="Normal 2 4 2 3 2 6 2 3" xfId="12292" xr:uid="{D7D13475-7270-4D97-8D95-54C61BC81E17}"/>
    <cellStyle name="Normal 2 4 2 3 2 6 3" xfId="5915" xr:uid="{00000000-0005-0000-0000-0000E00E0000}"/>
    <cellStyle name="Normal 2 4 2 3 2 6 3 2" xfId="14365" xr:uid="{70700753-9D2A-4F79-AD94-2AD2F8F94B24}"/>
    <cellStyle name="Normal 2 4 2 3 2 6 4" xfId="10147" xr:uid="{24FE3316-8DE6-453E-A840-8815CA9F2259}"/>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16923" xr:uid="{C18719A2-B232-4835-BEFF-14D1F2F46A75}"/>
    <cellStyle name="Normal 2 4 2 3 2 7 2 3" xfId="12705" xr:uid="{9D83D1C3-0AF1-48FB-BE8E-E138C6774EAF}"/>
    <cellStyle name="Normal 2 4 2 3 2 7 3" xfId="6328" xr:uid="{00000000-0005-0000-0000-0000E40E0000}"/>
    <cellStyle name="Normal 2 4 2 3 2 7 3 2" xfId="14778" xr:uid="{52AD84AE-D74F-442F-957D-6022FE49E81D}"/>
    <cellStyle name="Normal 2 4 2 3 2 7 4" xfId="10560" xr:uid="{2157BD7D-F577-4388-BA21-D9621BD9561A}"/>
    <cellStyle name="Normal 2 4 2 3 2 8" xfId="2458" xr:uid="{00000000-0005-0000-0000-0000E50E0000}"/>
    <cellStyle name="Normal 2 4 2 3 2 8 2" xfId="6741" xr:uid="{00000000-0005-0000-0000-0000E60E0000}"/>
    <cellStyle name="Normal 2 4 2 3 2 8 2 2" xfId="15191" xr:uid="{B65C0B5F-304B-4729-803B-F5A99F30AE88}"/>
    <cellStyle name="Normal 2 4 2 3 2 8 3" xfId="10973" xr:uid="{F8BFE7FB-E09C-4A33-B540-7742B47B2809}"/>
    <cellStyle name="Normal 2 4 2 3 2 9" xfId="4675" xr:uid="{00000000-0005-0000-0000-0000E70E0000}"/>
    <cellStyle name="Normal 2 4 2 3 2 9 2" xfId="13125" xr:uid="{E7C4AEF8-D82F-4D8F-A0EB-5156488C3619}"/>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15689" xr:uid="{03C1B077-4587-46AC-AC6D-94DCD44A44A5}"/>
    <cellStyle name="Normal 2 4 2 3 3 2 2 2 3" xfId="11471" xr:uid="{E4C2ECD4-A0F8-4221-83DB-7EFCC960CE68}"/>
    <cellStyle name="Normal 2 4 2 3 3 2 2 3" xfId="5094" xr:uid="{00000000-0005-0000-0000-0000ED0E0000}"/>
    <cellStyle name="Normal 2 4 2 3 3 2 2 3 2" xfId="13544" xr:uid="{6424AA65-7273-4B5A-9C66-27E655482E7C}"/>
    <cellStyle name="Normal 2 4 2 3 3 2 2 4" xfId="9326" xr:uid="{F274BF7B-2600-4DFA-983E-61DA4D2115D8}"/>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16102" xr:uid="{FE6EAC59-0927-46FD-BAAE-042D94ADDC9B}"/>
    <cellStyle name="Normal 2 4 2 3 3 2 3 2 3" xfId="11884" xr:uid="{2D59D4A4-492A-4D0B-980E-69B403A252DA}"/>
    <cellStyle name="Normal 2 4 2 3 3 2 3 3" xfId="5507" xr:uid="{00000000-0005-0000-0000-0000F10E0000}"/>
    <cellStyle name="Normal 2 4 2 3 3 2 3 3 2" xfId="13957" xr:uid="{E39A0925-D9D3-4DCF-9999-F747CB79AB7B}"/>
    <cellStyle name="Normal 2 4 2 3 3 2 3 4" xfId="9739" xr:uid="{1BD895FF-3C87-48ED-A9E7-52EB799054A5}"/>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16515" xr:uid="{3D4B997B-01F3-4293-BE1A-F87F7557DDFD}"/>
    <cellStyle name="Normal 2 4 2 3 3 2 4 2 3" xfId="12297" xr:uid="{22722A00-BA9F-486E-969F-2A46D75A7BAA}"/>
    <cellStyle name="Normal 2 4 2 3 3 2 4 3" xfId="5920" xr:uid="{00000000-0005-0000-0000-0000F50E0000}"/>
    <cellStyle name="Normal 2 4 2 3 3 2 4 3 2" xfId="14370" xr:uid="{1B96412D-3105-4E2F-8B87-13A8DD76C74C}"/>
    <cellStyle name="Normal 2 4 2 3 3 2 4 4" xfId="10152" xr:uid="{3C479FE3-D71B-47F9-BFC1-CD8E6B63C63A}"/>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16928" xr:uid="{EA4315A7-C41E-4BCB-BA86-7201C05FD660}"/>
    <cellStyle name="Normal 2 4 2 3 3 2 5 2 3" xfId="12710" xr:uid="{CC02D2D4-9CE0-4E41-8EB0-41C4305F60EE}"/>
    <cellStyle name="Normal 2 4 2 3 3 2 5 3" xfId="6333" xr:uid="{00000000-0005-0000-0000-0000F90E0000}"/>
    <cellStyle name="Normal 2 4 2 3 3 2 5 3 2" xfId="14783" xr:uid="{92A005BA-C6FC-4B31-966B-BE268017B45E}"/>
    <cellStyle name="Normal 2 4 2 3 3 2 5 4" xfId="10565" xr:uid="{8D64C261-B127-4D86-862E-640AF5130A01}"/>
    <cellStyle name="Normal 2 4 2 3 3 2 6" xfId="2463" xr:uid="{00000000-0005-0000-0000-0000FA0E0000}"/>
    <cellStyle name="Normal 2 4 2 3 3 2 6 2" xfId="6746" xr:uid="{00000000-0005-0000-0000-0000FB0E0000}"/>
    <cellStyle name="Normal 2 4 2 3 3 2 6 2 2" xfId="15196" xr:uid="{EDAFD395-799E-4980-99FD-8415BC64CE49}"/>
    <cellStyle name="Normal 2 4 2 3 3 2 6 3" xfId="10978" xr:uid="{825051BB-6153-4176-8E01-3D9E3170CC3F}"/>
    <cellStyle name="Normal 2 4 2 3 3 2 7" xfId="4680" xr:uid="{00000000-0005-0000-0000-0000FC0E0000}"/>
    <cellStyle name="Normal 2 4 2 3 3 2 7 2" xfId="13130" xr:uid="{0564CE41-71AC-4EF7-91B2-83EAA2F3A736}"/>
    <cellStyle name="Normal 2 4 2 3 3 2 8" xfId="8912" xr:uid="{3A9EF3CA-B010-4C71-95D3-4AA7765745D7}"/>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15688" xr:uid="{03F96390-CFDD-489B-9B69-3E7D60F9116F}"/>
    <cellStyle name="Normal 2 4 2 3 3 3 2 3" xfId="11470" xr:uid="{CFE1C0DE-11EB-48C3-915E-4738D023A772}"/>
    <cellStyle name="Normal 2 4 2 3 3 3 3" xfId="5093" xr:uid="{00000000-0005-0000-0000-0000000F0000}"/>
    <cellStyle name="Normal 2 4 2 3 3 3 3 2" xfId="13543" xr:uid="{F2FE1E51-ABCA-4C96-B20E-D9EE5215A32A}"/>
    <cellStyle name="Normal 2 4 2 3 3 3 4" xfId="9325" xr:uid="{3AB16CF8-B375-4ED9-8E23-6844FCC612A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16101" xr:uid="{6B8325D9-1FB6-4006-A8D9-A77B601BB9D2}"/>
    <cellStyle name="Normal 2 4 2 3 3 4 2 3" xfId="11883" xr:uid="{B2C26697-D8AF-4CBD-AAD6-E79CF1AB8BBB}"/>
    <cellStyle name="Normal 2 4 2 3 3 4 3" xfId="5506" xr:uid="{00000000-0005-0000-0000-0000040F0000}"/>
    <cellStyle name="Normal 2 4 2 3 3 4 3 2" xfId="13956" xr:uid="{E62728A5-28EC-4A23-A6E9-335A7D5E8D38}"/>
    <cellStyle name="Normal 2 4 2 3 3 4 4" xfId="9738" xr:uid="{7E981E6D-B5CB-4AC3-B9AB-DF373A6BD7E4}"/>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16514" xr:uid="{107F09B6-BC6E-46C3-941A-7C466E658A7D}"/>
    <cellStyle name="Normal 2 4 2 3 3 5 2 3" xfId="12296" xr:uid="{7D20EA87-710A-4F0C-9057-9FA3A936F51D}"/>
    <cellStyle name="Normal 2 4 2 3 3 5 3" xfId="5919" xr:uid="{00000000-0005-0000-0000-0000080F0000}"/>
    <cellStyle name="Normal 2 4 2 3 3 5 3 2" xfId="14369" xr:uid="{2F1BAF14-89F7-4779-A241-93CF83DE9758}"/>
    <cellStyle name="Normal 2 4 2 3 3 5 4" xfId="10151" xr:uid="{93D700AC-648F-4153-9183-EAFC4DB9C967}"/>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16927" xr:uid="{7793833B-DCF0-4531-9C31-810949B5CBDE}"/>
    <cellStyle name="Normal 2 4 2 3 3 6 2 3" xfId="12709" xr:uid="{A3976A16-5D42-4072-AEFB-DE79586468E7}"/>
    <cellStyle name="Normal 2 4 2 3 3 6 3" xfId="6332" xr:uid="{00000000-0005-0000-0000-00000C0F0000}"/>
    <cellStyle name="Normal 2 4 2 3 3 6 3 2" xfId="14782" xr:uid="{18B9BBBD-ED1D-4115-90EB-C9209C03FA24}"/>
    <cellStyle name="Normal 2 4 2 3 3 6 4" xfId="10564" xr:uid="{9470978E-9374-4F8B-A226-6DF4AFE6EB3D}"/>
    <cellStyle name="Normal 2 4 2 3 3 7" xfId="2462" xr:uid="{00000000-0005-0000-0000-00000D0F0000}"/>
    <cellStyle name="Normal 2 4 2 3 3 7 2" xfId="6745" xr:uid="{00000000-0005-0000-0000-00000E0F0000}"/>
    <cellStyle name="Normal 2 4 2 3 3 7 2 2" xfId="15195" xr:uid="{0EE5242D-2138-48F0-B980-0BD249A44904}"/>
    <cellStyle name="Normal 2 4 2 3 3 7 3" xfId="10977" xr:uid="{AE5E74DF-626C-4268-B661-A3FA8469EAFA}"/>
    <cellStyle name="Normal 2 4 2 3 3 8" xfId="4679" xr:uid="{00000000-0005-0000-0000-00000F0F0000}"/>
    <cellStyle name="Normal 2 4 2 3 3 8 2" xfId="13129" xr:uid="{F8BA5CD0-E078-4C24-919E-87B91BDCCD11}"/>
    <cellStyle name="Normal 2 4 2 3 3 9" xfId="8911" xr:uid="{4DC66C38-9460-4596-A6EB-4CC0CE1332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15690" xr:uid="{26B63F40-1440-46E4-893A-BC57A14C9763}"/>
    <cellStyle name="Normal 2 4 2 3 4 2 2 3" xfId="11472" xr:uid="{B53B6906-46C2-428C-BA54-7689C2E3DC04}"/>
    <cellStyle name="Normal 2 4 2 3 4 2 3" xfId="5095" xr:uid="{00000000-0005-0000-0000-0000140F0000}"/>
    <cellStyle name="Normal 2 4 2 3 4 2 3 2" xfId="13545" xr:uid="{44B4C185-2921-4E3B-9A5F-76F1C9320E98}"/>
    <cellStyle name="Normal 2 4 2 3 4 2 4" xfId="9327" xr:uid="{9C1DEDFC-5FBB-4D92-A40D-88453080BE9F}"/>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16103" xr:uid="{BD6F7D6E-17F7-49E6-868A-78320F1CF762}"/>
    <cellStyle name="Normal 2 4 2 3 4 3 2 3" xfId="11885" xr:uid="{A9C62644-945D-4920-A91C-C81701D42904}"/>
    <cellStyle name="Normal 2 4 2 3 4 3 3" xfId="5508" xr:uid="{00000000-0005-0000-0000-0000180F0000}"/>
    <cellStyle name="Normal 2 4 2 3 4 3 3 2" xfId="13958" xr:uid="{9FE0A881-3560-4917-8A79-13AC23ACF230}"/>
    <cellStyle name="Normal 2 4 2 3 4 3 4" xfId="9740" xr:uid="{C56E4369-BA3B-43E6-A5CC-EB4860304D88}"/>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16516" xr:uid="{4C7D4269-86A5-4A28-9F09-7CB90CA5789C}"/>
    <cellStyle name="Normal 2 4 2 3 4 4 2 3" xfId="12298" xr:uid="{1126E73A-9E66-438C-968B-1B43D2CAD51B}"/>
    <cellStyle name="Normal 2 4 2 3 4 4 3" xfId="5921" xr:uid="{00000000-0005-0000-0000-00001C0F0000}"/>
    <cellStyle name="Normal 2 4 2 3 4 4 3 2" xfId="14371" xr:uid="{03A5021E-1F53-4956-920A-4FA87E15BD95}"/>
    <cellStyle name="Normal 2 4 2 3 4 4 4" xfId="10153" xr:uid="{FC0DB043-B886-4E16-81B6-15CB6BFF3836}"/>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16929" xr:uid="{967A0C44-7E93-460F-8834-1ECACB587B7C}"/>
    <cellStyle name="Normal 2 4 2 3 4 5 2 3" xfId="12711" xr:uid="{55B15135-7C2B-4AFE-9336-C2F92A0C25CB}"/>
    <cellStyle name="Normal 2 4 2 3 4 5 3" xfId="6334" xr:uid="{00000000-0005-0000-0000-0000200F0000}"/>
    <cellStyle name="Normal 2 4 2 3 4 5 3 2" xfId="14784" xr:uid="{625E31ED-1C5B-4A8A-9747-987B7C0E2B88}"/>
    <cellStyle name="Normal 2 4 2 3 4 5 4" xfId="10566" xr:uid="{6EA37E5B-1FB6-4A15-8014-FAFB6A4EFC83}"/>
    <cellStyle name="Normal 2 4 2 3 4 6" xfId="2464" xr:uid="{00000000-0005-0000-0000-0000210F0000}"/>
    <cellStyle name="Normal 2 4 2 3 4 6 2" xfId="6747" xr:uid="{00000000-0005-0000-0000-0000220F0000}"/>
    <cellStyle name="Normal 2 4 2 3 4 6 2 2" xfId="15197" xr:uid="{3FB958E6-15EF-4A2D-B870-A53EFFD2775C}"/>
    <cellStyle name="Normal 2 4 2 3 4 6 3" xfId="10979" xr:uid="{EDD3F22B-4EEF-498D-ADCE-C64FE89717D9}"/>
    <cellStyle name="Normal 2 4 2 3 4 7" xfId="4681" xr:uid="{00000000-0005-0000-0000-0000230F0000}"/>
    <cellStyle name="Normal 2 4 2 3 4 7 2" xfId="13131" xr:uid="{3E858768-0E34-4B92-AC52-113371F94D36}"/>
    <cellStyle name="Normal 2 4 2 3 4 8" xfId="8913" xr:uid="{B8F43478-D304-4A1F-9896-CE66D3D04DBC}"/>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15683" xr:uid="{9F728914-21CE-4EC7-8F1C-CC831032376A}"/>
    <cellStyle name="Normal 2 4 2 3 5 2 3" xfId="11465" xr:uid="{364D6E9E-4310-4ABE-944C-DBB8FB81885A}"/>
    <cellStyle name="Normal 2 4 2 3 5 3" xfId="5088" xr:uid="{00000000-0005-0000-0000-0000270F0000}"/>
    <cellStyle name="Normal 2 4 2 3 5 3 2" xfId="13538" xr:uid="{CBB1382D-D693-477E-AB01-D93195A34540}"/>
    <cellStyle name="Normal 2 4 2 3 5 4" xfId="9320" xr:uid="{505DD33F-894A-452C-B57D-D34C875F3EB4}"/>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16096" xr:uid="{C60B4AD1-CBBE-407E-BA92-E6A06CF9F9A8}"/>
    <cellStyle name="Normal 2 4 2 3 6 2 3" xfId="11878" xr:uid="{4CE60714-78C9-45F5-8635-D690775BEBF7}"/>
    <cellStyle name="Normal 2 4 2 3 6 3" xfId="5501" xr:uid="{00000000-0005-0000-0000-00002B0F0000}"/>
    <cellStyle name="Normal 2 4 2 3 6 3 2" xfId="13951" xr:uid="{9F195DAE-D9E3-4A71-9A81-88B4BBFE0EA6}"/>
    <cellStyle name="Normal 2 4 2 3 6 4" xfId="9733" xr:uid="{58076099-E631-4C24-91CD-334CF28296C2}"/>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16509" xr:uid="{F1A5D5CA-DEF4-4AD9-B27E-E26806D7A63B}"/>
    <cellStyle name="Normal 2 4 2 3 7 2 3" xfId="12291" xr:uid="{3064A65F-3BB2-42D9-A7A8-3AF1B8BADAD9}"/>
    <cellStyle name="Normal 2 4 2 3 7 3" xfId="5914" xr:uid="{00000000-0005-0000-0000-00002F0F0000}"/>
    <cellStyle name="Normal 2 4 2 3 7 3 2" xfId="14364" xr:uid="{DF5CEC6B-9B6D-444D-BD54-9B088E20E1DA}"/>
    <cellStyle name="Normal 2 4 2 3 7 4" xfId="10146" xr:uid="{70E59E92-DEF1-4A62-8FE2-1B64E5D5D887}"/>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16922" xr:uid="{AEABF67C-3B1C-40A3-9E81-D5E6975D5ADA}"/>
    <cellStyle name="Normal 2 4 2 3 8 2 3" xfId="12704" xr:uid="{F3BF1B95-ED67-46E1-AEE2-8E841862D223}"/>
    <cellStyle name="Normal 2 4 2 3 8 3" xfId="6327" xr:uid="{00000000-0005-0000-0000-0000330F0000}"/>
    <cellStyle name="Normal 2 4 2 3 8 3 2" xfId="14777" xr:uid="{3719C33D-1B8D-4223-8D52-A8445A4DC434}"/>
    <cellStyle name="Normal 2 4 2 3 8 4" xfId="10559" xr:uid="{520875CE-E824-4DEA-9F0A-A5D80D580C12}"/>
    <cellStyle name="Normal 2 4 2 3 9" xfId="2457" xr:uid="{00000000-0005-0000-0000-0000340F0000}"/>
    <cellStyle name="Normal 2 4 2 3 9 2" xfId="6740" xr:uid="{00000000-0005-0000-0000-0000350F0000}"/>
    <cellStyle name="Normal 2 4 2 3 9 2 2" xfId="15190" xr:uid="{8F55B49B-16CC-4984-8B3A-998E96047DC0}"/>
    <cellStyle name="Normal 2 4 2 3 9 3" xfId="10972" xr:uid="{7BE8086D-3C0E-43D2-8CCB-27DEAC11460E}"/>
    <cellStyle name="Normal 2 4 2 4" xfId="289" xr:uid="{00000000-0005-0000-0000-0000360F0000}"/>
    <cellStyle name="Normal 2 4 2 4 10" xfId="8914" xr:uid="{02C50222-DF57-414A-B8DD-42884E67FD43}"/>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15693" xr:uid="{3FD2819A-3CEC-4A42-B7AB-A2AC05241087}"/>
    <cellStyle name="Normal 2 4 2 4 2 2 2 2 3" xfId="11475" xr:uid="{424A7AD2-57C1-421E-A962-D1F2B950EACC}"/>
    <cellStyle name="Normal 2 4 2 4 2 2 2 3" xfId="5098" xr:uid="{00000000-0005-0000-0000-00003C0F0000}"/>
    <cellStyle name="Normal 2 4 2 4 2 2 2 3 2" xfId="13548" xr:uid="{735A151F-6C51-4063-9C69-CEBDA67B5F62}"/>
    <cellStyle name="Normal 2 4 2 4 2 2 2 4" xfId="9330" xr:uid="{0FBEFDC3-6EA5-40A4-AC60-DF26DCCFE739}"/>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16106" xr:uid="{F921146E-D0DB-408F-AA34-12F8F173A3D0}"/>
    <cellStyle name="Normal 2 4 2 4 2 2 3 2 3" xfId="11888" xr:uid="{7814EC82-14CB-44BE-B7C4-EE2A6F001432}"/>
    <cellStyle name="Normal 2 4 2 4 2 2 3 3" xfId="5511" xr:uid="{00000000-0005-0000-0000-0000400F0000}"/>
    <cellStyle name="Normal 2 4 2 4 2 2 3 3 2" xfId="13961" xr:uid="{6550C55F-D3F7-44AC-A2E1-F3582E82FD3D}"/>
    <cellStyle name="Normal 2 4 2 4 2 2 3 4" xfId="9743" xr:uid="{7A1D96D2-865F-47CE-ACAB-4EB76ACAE173}"/>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16519" xr:uid="{2EA17522-07C7-4D50-A4FC-81589DD7CD68}"/>
    <cellStyle name="Normal 2 4 2 4 2 2 4 2 3" xfId="12301" xr:uid="{FDB4A878-477D-44AA-9358-132A99FB833E}"/>
    <cellStyle name="Normal 2 4 2 4 2 2 4 3" xfId="5924" xr:uid="{00000000-0005-0000-0000-0000440F0000}"/>
    <cellStyle name="Normal 2 4 2 4 2 2 4 3 2" xfId="14374" xr:uid="{52B15E81-0652-4BA1-9A2C-791BFF072816}"/>
    <cellStyle name="Normal 2 4 2 4 2 2 4 4" xfId="10156" xr:uid="{76914669-5A81-4D66-9F8C-DAC592E415D8}"/>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16932" xr:uid="{FA44FDD2-13A7-4C8D-BB51-47DE6994FD7D}"/>
    <cellStyle name="Normal 2 4 2 4 2 2 5 2 3" xfId="12714" xr:uid="{A5CA481A-540C-48A3-8962-940B371204C3}"/>
    <cellStyle name="Normal 2 4 2 4 2 2 5 3" xfId="6337" xr:uid="{00000000-0005-0000-0000-0000480F0000}"/>
    <cellStyle name="Normal 2 4 2 4 2 2 5 3 2" xfId="14787" xr:uid="{264A39D0-61D5-4A2B-9F66-68029686F9D1}"/>
    <cellStyle name="Normal 2 4 2 4 2 2 5 4" xfId="10569" xr:uid="{D8939762-D08C-411D-9031-FAB05FAE63EC}"/>
    <cellStyle name="Normal 2 4 2 4 2 2 6" xfId="2467" xr:uid="{00000000-0005-0000-0000-0000490F0000}"/>
    <cellStyle name="Normal 2 4 2 4 2 2 6 2" xfId="6750" xr:uid="{00000000-0005-0000-0000-00004A0F0000}"/>
    <cellStyle name="Normal 2 4 2 4 2 2 6 2 2" xfId="15200" xr:uid="{7BEBACF7-2322-4009-8B6F-DE9A5F09ECAC}"/>
    <cellStyle name="Normal 2 4 2 4 2 2 6 3" xfId="10982" xr:uid="{A7400AA3-1DAF-4483-932B-206087146CD0}"/>
    <cellStyle name="Normal 2 4 2 4 2 2 7" xfId="4684" xr:uid="{00000000-0005-0000-0000-00004B0F0000}"/>
    <cellStyle name="Normal 2 4 2 4 2 2 7 2" xfId="13134" xr:uid="{7A23C446-3F38-464D-ABDB-FE7091C5BAA0}"/>
    <cellStyle name="Normal 2 4 2 4 2 2 8" xfId="8916" xr:uid="{FB956442-C4B7-4FDF-804D-23D9FC9E5A68}"/>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15692" xr:uid="{C19553ED-D773-4F21-B9E5-5F050A5C8922}"/>
    <cellStyle name="Normal 2 4 2 4 2 3 2 3" xfId="11474" xr:uid="{C002B265-9E92-4488-B503-DC77A992988B}"/>
    <cellStyle name="Normal 2 4 2 4 2 3 3" xfId="5097" xr:uid="{00000000-0005-0000-0000-00004F0F0000}"/>
    <cellStyle name="Normal 2 4 2 4 2 3 3 2" xfId="13547" xr:uid="{9338741F-4311-45A0-81C4-060F54B223B5}"/>
    <cellStyle name="Normal 2 4 2 4 2 3 4" xfId="9329" xr:uid="{986D13D4-6A0C-471E-91A4-D4E31A06AEAC}"/>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16105" xr:uid="{EFC49CF9-D805-48CF-815C-2CDBD2E5A960}"/>
    <cellStyle name="Normal 2 4 2 4 2 4 2 3" xfId="11887" xr:uid="{CC197EDC-AEF8-48DD-A668-409D61A4F5A8}"/>
    <cellStyle name="Normal 2 4 2 4 2 4 3" xfId="5510" xr:uid="{00000000-0005-0000-0000-0000530F0000}"/>
    <cellStyle name="Normal 2 4 2 4 2 4 3 2" xfId="13960" xr:uid="{0E1A9503-3B8C-498C-B82D-24AB667B0BBA}"/>
    <cellStyle name="Normal 2 4 2 4 2 4 4" xfId="9742" xr:uid="{F821CB68-E002-4557-A534-48CD489B6444}"/>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16518" xr:uid="{D93699E4-5676-421B-A2EC-158B885273A5}"/>
    <cellStyle name="Normal 2 4 2 4 2 5 2 3" xfId="12300" xr:uid="{340A760A-BB64-4BD9-A8A5-66BF5C51F1D5}"/>
    <cellStyle name="Normal 2 4 2 4 2 5 3" xfId="5923" xr:uid="{00000000-0005-0000-0000-0000570F0000}"/>
    <cellStyle name="Normal 2 4 2 4 2 5 3 2" xfId="14373" xr:uid="{09A3AD69-EF16-4D7D-A894-3520DD7AB98F}"/>
    <cellStyle name="Normal 2 4 2 4 2 5 4" xfId="10155" xr:uid="{5ABDD84A-5D97-4BE7-8117-3595BDDBF44D}"/>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16931" xr:uid="{61F2F19B-2266-44DC-A65E-2660FB72C447}"/>
    <cellStyle name="Normal 2 4 2 4 2 6 2 3" xfId="12713" xr:uid="{F5F60CF5-9AFC-4707-933A-BA754397DF9C}"/>
    <cellStyle name="Normal 2 4 2 4 2 6 3" xfId="6336" xr:uid="{00000000-0005-0000-0000-00005B0F0000}"/>
    <cellStyle name="Normal 2 4 2 4 2 6 3 2" xfId="14786" xr:uid="{A3136C7C-B440-4826-AD98-5F91C9E51AA1}"/>
    <cellStyle name="Normal 2 4 2 4 2 6 4" xfId="10568" xr:uid="{83956ADD-EA80-496E-BE87-5B8D3A81E84E}"/>
    <cellStyle name="Normal 2 4 2 4 2 7" xfId="2466" xr:uid="{00000000-0005-0000-0000-00005C0F0000}"/>
    <cellStyle name="Normal 2 4 2 4 2 7 2" xfId="6749" xr:uid="{00000000-0005-0000-0000-00005D0F0000}"/>
    <cellStyle name="Normal 2 4 2 4 2 7 2 2" xfId="15199" xr:uid="{64D1715E-2FB8-45BD-BFA6-132BB1D434AF}"/>
    <cellStyle name="Normal 2 4 2 4 2 7 3" xfId="10981" xr:uid="{BAEF187B-CDFE-4EF6-A778-61C8CBEEEF19}"/>
    <cellStyle name="Normal 2 4 2 4 2 8" xfId="4683" xr:uid="{00000000-0005-0000-0000-00005E0F0000}"/>
    <cellStyle name="Normal 2 4 2 4 2 8 2" xfId="13133" xr:uid="{50B00F17-CA48-4466-9855-B9917E98021E}"/>
    <cellStyle name="Normal 2 4 2 4 2 9" xfId="8915" xr:uid="{D2D021A1-8FE9-4ED9-8305-2AD8A42CB3D2}"/>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15694" xr:uid="{719DF861-BC79-4AA4-B332-134E94D34301}"/>
    <cellStyle name="Normal 2 4 2 4 3 2 2 3" xfId="11476" xr:uid="{C4804A34-6DD9-48DE-ADB7-EC76FB790E14}"/>
    <cellStyle name="Normal 2 4 2 4 3 2 3" xfId="5099" xr:uid="{00000000-0005-0000-0000-0000630F0000}"/>
    <cellStyle name="Normal 2 4 2 4 3 2 3 2" xfId="13549" xr:uid="{C0C2897A-23AF-411B-A471-2320386DE360}"/>
    <cellStyle name="Normal 2 4 2 4 3 2 4" xfId="9331" xr:uid="{C2962279-23C2-4CAA-B56D-44076BD6E835}"/>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16107" xr:uid="{A8FC2090-DEA0-4A32-A555-9E78936CE960}"/>
    <cellStyle name="Normal 2 4 2 4 3 3 2 3" xfId="11889" xr:uid="{DF1025D3-95F5-4928-90D3-D2E8C80D7AF6}"/>
    <cellStyle name="Normal 2 4 2 4 3 3 3" xfId="5512" xr:uid="{00000000-0005-0000-0000-0000670F0000}"/>
    <cellStyle name="Normal 2 4 2 4 3 3 3 2" xfId="13962" xr:uid="{F0D0579B-2A22-48F7-BE32-15F13B357EE1}"/>
    <cellStyle name="Normal 2 4 2 4 3 3 4" xfId="9744" xr:uid="{08E6641A-0896-4D41-8D11-061949966609}"/>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16520" xr:uid="{13300C78-7AE2-4B73-8A33-D17A2FA9410E}"/>
    <cellStyle name="Normal 2 4 2 4 3 4 2 3" xfId="12302" xr:uid="{9B06C3C6-619F-436F-B80E-B8FF3314E8FD}"/>
    <cellStyle name="Normal 2 4 2 4 3 4 3" xfId="5925" xr:uid="{00000000-0005-0000-0000-00006B0F0000}"/>
    <cellStyle name="Normal 2 4 2 4 3 4 3 2" xfId="14375" xr:uid="{FF966FF7-05C5-4C00-9E27-810CCAE13CE0}"/>
    <cellStyle name="Normal 2 4 2 4 3 4 4" xfId="10157" xr:uid="{9E750E9F-3E51-4150-9990-4BA7E78119AD}"/>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16933" xr:uid="{F7ED9960-9633-4A79-A370-BE6D87BF9178}"/>
    <cellStyle name="Normal 2 4 2 4 3 5 2 3" xfId="12715" xr:uid="{928618AC-E7AE-4441-9C49-D88472F7E617}"/>
    <cellStyle name="Normal 2 4 2 4 3 5 3" xfId="6338" xr:uid="{00000000-0005-0000-0000-00006F0F0000}"/>
    <cellStyle name="Normal 2 4 2 4 3 5 3 2" xfId="14788" xr:uid="{DAAFDA70-8A96-4709-BBAD-599FEC0B0B87}"/>
    <cellStyle name="Normal 2 4 2 4 3 5 4" xfId="10570" xr:uid="{C7DD8658-E848-4694-9940-4315CD28A634}"/>
    <cellStyle name="Normal 2 4 2 4 3 6" xfId="2468" xr:uid="{00000000-0005-0000-0000-0000700F0000}"/>
    <cellStyle name="Normal 2 4 2 4 3 6 2" xfId="6751" xr:uid="{00000000-0005-0000-0000-0000710F0000}"/>
    <cellStyle name="Normal 2 4 2 4 3 6 2 2" xfId="15201" xr:uid="{6E845FD5-4D68-49C6-A9CA-82C912BF5971}"/>
    <cellStyle name="Normal 2 4 2 4 3 6 3" xfId="10983" xr:uid="{35F9B0D2-B473-4580-B3D2-3917C0FE9AC5}"/>
    <cellStyle name="Normal 2 4 2 4 3 7" xfId="4685" xr:uid="{00000000-0005-0000-0000-0000720F0000}"/>
    <cellStyle name="Normal 2 4 2 4 3 7 2" xfId="13135" xr:uid="{2C418301-9E13-410A-81F9-D37BB1DDDFC6}"/>
    <cellStyle name="Normal 2 4 2 4 3 8" xfId="8917" xr:uid="{48E9EDB8-C865-492F-A29C-40BC200F69C1}"/>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15691" xr:uid="{4178A067-300F-4151-AF09-25F82EAF5363}"/>
    <cellStyle name="Normal 2 4 2 4 4 2 3" xfId="11473" xr:uid="{1492EC37-830E-46A5-BBF3-51DF4A75B3C1}"/>
    <cellStyle name="Normal 2 4 2 4 4 3" xfId="5096" xr:uid="{00000000-0005-0000-0000-0000760F0000}"/>
    <cellStyle name="Normal 2 4 2 4 4 3 2" xfId="13546" xr:uid="{F91356A0-0347-4CBB-AD0A-B84E70C78A2B}"/>
    <cellStyle name="Normal 2 4 2 4 4 4" xfId="9328" xr:uid="{8903F5C5-0128-4D76-8D7E-36185143B61C}"/>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16104" xr:uid="{5C715A0F-70E2-4559-9FB2-4F47852E4568}"/>
    <cellStyle name="Normal 2 4 2 4 5 2 3" xfId="11886" xr:uid="{835CA502-E229-40E6-BBEB-914D61ED1BF8}"/>
    <cellStyle name="Normal 2 4 2 4 5 3" xfId="5509" xr:uid="{00000000-0005-0000-0000-00007A0F0000}"/>
    <cellStyle name="Normal 2 4 2 4 5 3 2" xfId="13959" xr:uid="{FE4B2D64-CF94-460D-9899-4F7236CE4FDB}"/>
    <cellStyle name="Normal 2 4 2 4 5 4" xfId="9741" xr:uid="{781B3EF3-0EE0-4A68-8419-74C1ECCEBBF8}"/>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16517" xr:uid="{82A0F789-B866-4E10-A7C1-80C1A855001C}"/>
    <cellStyle name="Normal 2 4 2 4 6 2 3" xfId="12299" xr:uid="{9EC53D76-6729-48D0-AAF1-E2AE752DEC2D}"/>
    <cellStyle name="Normal 2 4 2 4 6 3" xfId="5922" xr:uid="{00000000-0005-0000-0000-00007E0F0000}"/>
    <cellStyle name="Normal 2 4 2 4 6 3 2" xfId="14372" xr:uid="{AB82BD87-1FF6-4BFC-B8AF-DCD570E9C194}"/>
    <cellStyle name="Normal 2 4 2 4 6 4" xfId="10154" xr:uid="{722791AA-DA73-43CD-B073-D0EFBEDE9711}"/>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16930" xr:uid="{B20ED4B9-1FA8-4F82-B32B-D9A1B9320C27}"/>
    <cellStyle name="Normal 2 4 2 4 7 2 3" xfId="12712" xr:uid="{1194211F-8F3F-42D9-AE68-B3B5E8DC4A82}"/>
    <cellStyle name="Normal 2 4 2 4 7 3" xfId="6335" xr:uid="{00000000-0005-0000-0000-0000820F0000}"/>
    <cellStyle name="Normal 2 4 2 4 7 3 2" xfId="14785" xr:uid="{6826E1FA-A736-4F13-AF58-6F6BEFDE94E5}"/>
    <cellStyle name="Normal 2 4 2 4 7 4" xfId="10567" xr:uid="{7AEC9C0A-57A3-4FB5-9CB9-239A460B99DB}"/>
    <cellStyle name="Normal 2 4 2 4 8" xfId="2465" xr:uid="{00000000-0005-0000-0000-0000830F0000}"/>
    <cellStyle name="Normal 2 4 2 4 8 2" xfId="6748" xr:uid="{00000000-0005-0000-0000-0000840F0000}"/>
    <cellStyle name="Normal 2 4 2 4 8 2 2" xfId="15198" xr:uid="{120611C8-D37A-45EC-B791-84259E813920}"/>
    <cellStyle name="Normal 2 4 2 4 8 3" xfId="10980" xr:uid="{9750FE95-AB2D-43BD-B24D-803A7FCA6B5D}"/>
    <cellStyle name="Normal 2 4 2 4 9" xfId="4682" xr:uid="{00000000-0005-0000-0000-0000850F0000}"/>
    <cellStyle name="Normal 2 4 2 4 9 2" xfId="13132" xr:uid="{A5EFCC19-CEDB-44A7-9B17-103FE47BBA9C}"/>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15696" xr:uid="{8BFE8FDD-2640-48F2-BF07-8C85202F30B0}"/>
    <cellStyle name="Normal 2 4 2 5 2 2 2 3" xfId="11478" xr:uid="{2C5F29F6-C6D0-4BF7-8798-C11843D7D2C8}"/>
    <cellStyle name="Normal 2 4 2 5 2 2 3" xfId="5101" xr:uid="{00000000-0005-0000-0000-00008B0F0000}"/>
    <cellStyle name="Normal 2 4 2 5 2 2 3 2" xfId="13551" xr:uid="{A922ACF0-ED5D-4FD2-858B-24C631BEDD1B}"/>
    <cellStyle name="Normal 2 4 2 5 2 2 4" xfId="9333" xr:uid="{D2400DD3-C4BD-43EB-BD7B-59E779394725}"/>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16109" xr:uid="{E85D3A45-7CB5-44A3-BF5E-E7889BA4070B}"/>
    <cellStyle name="Normal 2 4 2 5 2 3 2 3" xfId="11891" xr:uid="{4F255A50-BE9F-430B-A485-12DDE704CA1A}"/>
    <cellStyle name="Normal 2 4 2 5 2 3 3" xfId="5514" xr:uid="{00000000-0005-0000-0000-00008F0F0000}"/>
    <cellStyle name="Normal 2 4 2 5 2 3 3 2" xfId="13964" xr:uid="{54EF65F0-DCE0-4684-AA0A-DF9268E9A1F5}"/>
    <cellStyle name="Normal 2 4 2 5 2 3 4" xfId="9746" xr:uid="{3C376ED6-EF9A-4492-AD29-8A04BB936CCA}"/>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16522" xr:uid="{F029DFA2-323E-4B6A-B5AD-43335A53B238}"/>
    <cellStyle name="Normal 2 4 2 5 2 4 2 3" xfId="12304" xr:uid="{D6EF4D0D-8DB7-4DF9-BF3C-9385706EB3D9}"/>
    <cellStyle name="Normal 2 4 2 5 2 4 3" xfId="5927" xr:uid="{00000000-0005-0000-0000-0000930F0000}"/>
    <cellStyle name="Normal 2 4 2 5 2 4 3 2" xfId="14377" xr:uid="{7FD6FE5C-8C70-4922-8A8D-33E51788FD9D}"/>
    <cellStyle name="Normal 2 4 2 5 2 4 4" xfId="10159" xr:uid="{FF635DD0-E8B4-4475-A53E-4169F5BC4043}"/>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16935" xr:uid="{0758FA61-FFDF-4A89-A763-9990796B0F86}"/>
    <cellStyle name="Normal 2 4 2 5 2 5 2 3" xfId="12717" xr:uid="{765F3419-85A8-4DFB-97D0-D2ED17D5FB14}"/>
    <cellStyle name="Normal 2 4 2 5 2 5 3" xfId="6340" xr:uid="{00000000-0005-0000-0000-0000970F0000}"/>
    <cellStyle name="Normal 2 4 2 5 2 5 3 2" xfId="14790" xr:uid="{E0B5D8EC-58A3-41B9-B812-46A945230BC7}"/>
    <cellStyle name="Normal 2 4 2 5 2 5 4" xfId="10572" xr:uid="{14C7E9BB-BB10-4F79-9552-4C8D0005F1A1}"/>
    <cellStyle name="Normal 2 4 2 5 2 6" xfId="2470" xr:uid="{00000000-0005-0000-0000-0000980F0000}"/>
    <cellStyle name="Normal 2 4 2 5 2 6 2" xfId="6753" xr:uid="{00000000-0005-0000-0000-0000990F0000}"/>
    <cellStyle name="Normal 2 4 2 5 2 6 2 2" xfId="15203" xr:uid="{0D703597-438B-4C7E-8CC4-5E999808655E}"/>
    <cellStyle name="Normal 2 4 2 5 2 6 3" xfId="10985" xr:uid="{E2E315A4-2C09-41EA-9996-9B3CAF73C683}"/>
    <cellStyle name="Normal 2 4 2 5 2 7" xfId="4687" xr:uid="{00000000-0005-0000-0000-00009A0F0000}"/>
    <cellStyle name="Normal 2 4 2 5 2 7 2" xfId="13137" xr:uid="{E3EE2A39-EB25-4CC3-8547-DD4206E2F698}"/>
    <cellStyle name="Normal 2 4 2 5 2 8" xfId="8919" xr:uid="{3D67B724-531F-4C6E-96DD-20300F1B5A68}"/>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15695" xr:uid="{7EDEC77F-C734-422F-9212-E263B91294C1}"/>
    <cellStyle name="Normal 2 4 2 5 3 2 3" xfId="11477" xr:uid="{993695D7-BC87-49E5-BF22-887569DEEE86}"/>
    <cellStyle name="Normal 2 4 2 5 3 3" xfId="5100" xr:uid="{00000000-0005-0000-0000-00009E0F0000}"/>
    <cellStyle name="Normal 2 4 2 5 3 3 2" xfId="13550" xr:uid="{F08B3F85-FC48-465C-9B64-775D30B2A6CD}"/>
    <cellStyle name="Normal 2 4 2 5 3 4" xfId="9332" xr:uid="{20ACCE29-A9CB-4DAD-BAAD-9A613CDDDA5C}"/>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16108" xr:uid="{10B3137F-B9BC-47BF-9D02-C1BD39ABD8CE}"/>
    <cellStyle name="Normal 2 4 2 5 4 2 3" xfId="11890" xr:uid="{37439565-67E3-4907-8858-8782233DD509}"/>
    <cellStyle name="Normal 2 4 2 5 4 3" xfId="5513" xr:uid="{00000000-0005-0000-0000-0000A20F0000}"/>
    <cellStyle name="Normal 2 4 2 5 4 3 2" xfId="13963" xr:uid="{2800A4FD-2AB2-40B1-A633-A9B83F1EF1FC}"/>
    <cellStyle name="Normal 2 4 2 5 4 4" xfId="9745" xr:uid="{B8C32094-281A-4CCD-9697-FA904F4F69FC}"/>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16521" xr:uid="{F8C0DEE2-ED2E-440E-9ED3-B353C154AF36}"/>
    <cellStyle name="Normal 2 4 2 5 5 2 3" xfId="12303" xr:uid="{93104066-C087-473F-BB04-65C627D1C9F0}"/>
    <cellStyle name="Normal 2 4 2 5 5 3" xfId="5926" xr:uid="{00000000-0005-0000-0000-0000A60F0000}"/>
    <cellStyle name="Normal 2 4 2 5 5 3 2" xfId="14376" xr:uid="{1C3446B8-0A9E-4864-A84A-D0E86704B9E1}"/>
    <cellStyle name="Normal 2 4 2 5 5 4" xfId="10158" xr:uid="{AB93AF0C-3812-4EDF-9EF9-9EC23C670196}"/>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16934" xr:uid="{8B967A77-850B-4D44-8B83-4482EE3AEE82}"/>
    <cellStyle name="Normal 2 4 2 5 6 2 3" xfId="12716" xr:uid="{FAA9B841-B680-45C6-8BE9-AC2DF3A479D3}"/>
    <cellStyle name="Normal 2 4 2 5 6 3" xfId="6339" xr:uid="{00000000-0005-0000-0000-0000AA0F0000}"/>
    <cellStyle name="Normal 2 4 2 5 6 3 2" xfId="14789" xr:uid="{09A78846-65DE-4BD0-9C2B-01D534A2CF73}"/>
    <cellStyle name="Normal 2 4 2 5 6 4" xfId="10571" xr:uid="{AEBB7826-971E-4D8F-8382-09DE7654412B}"/>
    <cellStyle name="Normal 2 4 2 5 7" xfId="2469" xr:uid="{00000000-0005-0000-0000-0000AB0F0000}"/>
    <cellStyle name="Normal 2 4 2 5 7 2" xfId="6752" xr:uid="{00000000-0005-0000-0000-0000AC0F0000}"/>
    <cellStyle name="Normal 2 4 2 5 7 2 2" xfId="15202" xr:uid="{E056C7D6-F3C0-44C8-A802-2077EDB333D5}"/>
    <cellStyle name="Normal 2 4 2 5 7 3" xfId="10984" xr:uid="{53881FC6-5ADF-428E-8418-4AB2DEFEB650}"/>
    <cellStyle name="Normal 2 4 2 5 8" xfId="4686" xr:uid="{00000000-0005-0000-0000-0000AD0F0000}"/>
    <cellStyle name="Normal 2 4 2 5 8 2" xfId="13136" xr:uid="{5BAA6753-76DC-4893-83D6-4188B45F1F7D}"/>
    <cellStyle name="Normal 2 4 2 5 9" xfId="8918" xr:uid="{DBC8A60E-80A4-4A36-B58A-CF5777FF4277}"/>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15697" xr:uid="{9E49FDD7-6D5E-44FF-BD2A-E50A178B58C2}"/>
    <cellStyle name="Normal 2 4 2 6 2 2 3" xfId="11479" xr:uid="{8E1958AA-47CD-4A3E-8FFA-6222CC0CB86C}"/>
    <cellStyle name="Normal 2 4 2 6 2 3" xfId="5102" xr:uid="{00000000-0005-0000-0000-0000B20F0000}"/>
    <cellStyle name="Normal 2 4 2 6 2 3 2" xfId="13552" xr:uid="{DC2A0784-D72B-4231-8F71-1BBE2F0D7208}"/>
    <cellStyle name="Normal 2 4 2 6 2 4" xfId="9334" xr:uid="{0AAE8EE5-A651-46C3-8F32-AB11CB27B536}"/>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16110" xr:uid="{D08F3C0C-4BD5-447A-BA3F-848E135E693A}"/>
    <cellStyle name="Normal 2 4 2 6 3 2 3" xfId="11892" xr:uid="{39CF54A8-AF7D-4DBB-BEFD-E2C42307BBA7}"/>
    <cellStyle name="Normal 2 4 2 6 3 3" xfId="5515" xr:uid="{00000000-0005-0000-0000-0000B60F0000}"/>
    <cellStyle name="Normal 2 4 2 6 3 3 2" xfId="13965" xr:uid="{87C43A38-5757-4D9C-94D6-0E86FD6CB9B7}"/>
    <cellStyle name="Normal 2 4 2 6 3 4" xfId="9747" xr:uid="{0A509FBE-7264-428F-9C05-BCDFD95E2CCD}"/>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16523" xr:uid="{45FEFD14-EB03-4ACA-A229-7EC67370C5C3}"/>
    <cellStyle name="Normal 2 4 2 6 4 2 3" xfId="12305" xr:uid="{A3150DEC-17DA-48E3-A0FA-07E711917276}"/>
    <cellStyle name="Normal 2 4 2 6 4 3" xfId="5928" xr:uid="{00000000-0005-0000-0000-0000BA0F0000}"/>
    <cellStyle name="Normal 2 4 2 6 4 3 2" xfId="14378" xr:uid="{FC56E0E8-BD30-4359-83B4-C55F8532C0A9}"/>
    <cellStyle name="Normal 2 4 2 6 4 4" xfId="10160" xr:uid="{D9FABC3A-D4E4-4007-962F-9F1148F25A7E}"/>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16936" xr:uid="{9BBC9B04-64B2-4EF7-A07C-F757F29678C2}"/>
    <cellStyle name="Normal 2 4 2 6 5 2 3" xfId="12718" xr:uid="{EB7D00E5-7171-4BAA-8EAE-E8AD5E01E3B5}"/>
    <cellStyle name="Normal 2 4 2 6 5 3" xfId="6341" xr:uid="{00000000-0005-0000-0000-0000BE0F0000}"/>
    <cellStyle name="Normal 2 4 2 6 5 3 2" xfId="14791" xr:uid="{A1EDB428-A9DB-4A09-AAC6-019939F7A974}"/>
    <cellStyle name="Normal 2 4 2 6 5 4" xfId="10573" xr:uid="{6B3CD117-1D00-408E-AB2F-802A9FF92B1C}"/>
    <cellStyle name="Normal 2 4 2 6 6" xfId="2471" xr:uid="{00000000-0005-0000-0000-0000BF0F0000}"/>
    <cellStyle name="Normal 2 4 2 6 6 2" xfId="6754" xr:uid="{00000000-0005-0000-0000-0000C00F0000}"/>
    <cellStyle name="Normal 2 4 2 6 6 2 2" xfId="15204" xr:uid="{C0F86913-E195-45F9-9726-7238879D695A}"/>
    <cellStyle name="Normal 2 4 2 6 6 3" xfId="10986" xr:uid="{39F5CC08-9D43-4F6F-B2B4-A5B5ECE7A9BA}"/>
    <cellStyle name="Normal 2 4 2 6 7" xfId="4688" xr:uid="{00000000-0005-0000-0000-0000C10F0000}"/>
    <cellStyle name="Normal 2 4 2 6 7 2" xfId="13138" xr:uid="{4505D6C7-7358-48B8-81F1-DDD533D84A17}"/>
    <cellStyle name="Normal 2 4 2 6 8" xfId="8920" xr:uid="{4DC75165-B74C-404F-A33F-5D8497445B15}"/>
    <cellStyle name="Normal 2 4 2 7" xfId="771" xr:uid="{00000000-0005-0000-0000-0000C20F0000}"/>
    <cellStyle name="Normal 2 4 2 7 2" xfId="3010" xr:uid="{00000000-0005-0000-0000-0000C30F0000}"/>
    <cellStyle name="Normal 2 4 2 7 2 2" xfId="7232" xr:uid="{00000000-0005-0000-0000-0000C40F0000}"/>
    <cellStyle name="Normal 2 4 2 7 2 2 2" xfId="15682" xr:uid="{4105D09E-A651-40B4-B241-145C9F1E95B4}"/>
    <cellStyle name="Normal 2 4 2 7 2 3" xfId="11464" xr:uid="{044EF517-6BC6-4C96-8E3E-2149D4B800EE}"/>
    <cellStyle name="Normal 2 4 2 7 3" xfId="5087" xr:uid="{00000000-0005-0000-0000-0000C50F0000}"/>
    <cellStyle name="Normal 2 4 2 7 3 2" xfId="13537" xr:uid="{F9C8B017-5BB1-497F-912A-0250443F4612}"/>
    <cellStyle name="Normal 2 4 2 7 4" xfId="9319" xr:uid="{96E14604-EFE8-4785-BBDA-056C39BC4F17}"/>
    <cellStyle name="Normal 2 4 2 8" xfId="1193" xr:uid="{00000000-0005-0000-0000-0000C60F0000}"/>
    <cellStyle name="Normal 2 4 2 8 2" xfId="3423" xr:uid="{00000000-0005-0000-0000-0000C70F0000}"/>
    <cellStyle name="Normal 2 4 2 8 2 2" xfId="7645" xr:uid="{00000000-0005-0000-0000-0000C80F0000}"/>
    <cellStyle name="Normal 2 4 2 8 2 2 2" xfId="16095" xr:uid="{4219CEB4-F57F-4803-99A3-4BD2FE0F888F}"/>
    <cellStyle name="Normal 2 4 2 8 2 3" xfId="11877" xr:uid="{33B28EBC-CB8F-433C-9933-384DDB422A86}"/>
    <cellStyle name="Normal 2 4 2 8 3" xfId="5500" xr:uid="{00000000-0005-0000-0000-0000C90F0000}"/>
    <cellStyle name="Normal 2 4 2 8 3 2" xfId="13950" xr:uid="{B3568787-DE96-4F2C-A3F0-C715232C7A95}"/>
    <cellStyle name="Normal 2 4 2 8 4" xfId="9732" xr:uid="{1AD07F30-6037-461A-9547-DF56BC06EAF7}"/>
    <cellStyle name="Normal 2 4 2 9" xfId="1606" xr:uid="{00000000-0005-0000-0000-0000CA0F0000}"/>
    <cellStyle name="Normal 2 4 2 9 2" xfId="3836" xr:uid="{00000000-0005-0000-0000-0000CB0F0000}"/>
    <cellStyle name="Normal 2 4 2 9 2 2" xfId="8058" xr:uid="{00000000-0005-0000-0000-0000CC0F0000}"/>
    <cellStyle name="Normal 2 4 2 9 2 2 2" xfId="16508" xr:uid="{432022D5-0CF7-4C8C-AF00-695B8E80647A}"/>
    <cellStyle name="Normal 2 4 2 9 2 3" xfId="12290" xr:uid="{0EC327DF-3F57-4106-A316-1F395C8D1969}"/>
    <cellStyle name="Normal 2 4 2 9 3" xfId="5913" xr:uid="{00000000-0005-0000-0000-0000CD0F0000}"/>
    <cellStyle name="Normal 2 4 2 9 3 2" xfId="14363" xr:uid="{43DAB9C2-EE8E-4EEB-A197-9A98BEB82B15}"/>
    <cellStyle name="Normal 2 4 2 9 4" xfId="10145" xr:uid="{C18B5183-55CB-452C-A331-B6660BFCF4BF}"/>
    <cellStyle name="Normal 2 4 3" xfId="296" xr:uid="{00000000-0005-0000-0000-0000CE0F0000}"/>
    <cellStyle name="Normal 2 4 3 10" xfId="8921" xr:uid="{B08482C0-D7B3-44F1-AA07-EBD399B81F13}"/>
    <cellStyle name="Normal 2 4 3 2" xfId="297" xr:uid="{00000000-0005-0000-0000-0000CF0F0000}"/>
    <cellStyle name="Normal 2 4 3 3" xfId="298" xr:uid="{00000000-0005-0000-0000-0000D00F0000}"/>
    <cellStyle name="Normal 2 4 3 3 10" xfId="8922" xr:uid="{7E4AEB45-5A94-4F71-AB45-18BEE792E7AD}"/>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15701" xr:uid="{3755F48C-A420-4863-AC22-7C73A5D44C98}"/>
    <cellStyle name="Normal 2 4 3 3 2 2 2 2 3" xfId="11483" xr:uid="{337BFF0F-7005-4F04-B660-43459BE19927}"/>
    <cellStyle name="Normal 2 4 3 3 2 2 2 3" xfId="5106" xr:uid="{00000000-0005-0000-0000-0000D60F0000}"/>
    <cellStyle name="Normal 2 4 3 3 2 2 2 3 2" xfId="13556" xr:uid="{CB89AC14-A35B-46D1-9D8A-D1F2AFDF6D28}"/>
    <cellStyle name="Normal 2 4 3 3 2 2 2 4" xfId="9338" xr:uid="{894A9726-4653-438A-9506-19495286D56D}"/>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16114" xr:uid="{20FCAC21-65ED-45B4-BDF9-14A3C5FD2CC1}"/>
    <cellStyle name="Normal 2 4 3 3 2 2 3 2 3" xfId="11896" xr:uid="{2462A77A-EB96-49EB-B7AB-ADF5EB684A8F}"/>
    <cellStyle name="Normal 2 4 3 3 2 2 3 3" xfId="5519" xr:uid="{00000000-0005-0000-0000-0000DA0F0000}"/>
    <cellStyle name="Normal 2 4 3 3 2 2 3 3 2" xfId="13969" xr:uid="{8EFD3868-F8F9-4A45-AF8D-07E5A920770A}"/>
    <cellStyle name="Normal 2 4 3 3 2 2 3 4" xfId="9751" xr:uid="{BE9C97B6-7AB8-4FE3-AF0F-8F3CFDCC52F2}"/>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16527" xr:uid="{22665636-4384-451E-BBD0-8016242B10B1}"/>
    <cellStyle name="Normal 2 4 3 3 2 2 4 2 3" xfId="12309" xr:uid="{AF29A710-8A7D-4437-84CF-6968E7C12460}"/>
    <cellStyle name="Normal 2 4 3 3 2 2 4 3" xfId="5932" xr:uid="{00000000-0005-0000-0000-0000DE0F0000}"/>
    <cellStyle name="Normal 2 4 3 3 2 2 4 3 2" xfId="14382" xr:uid="{EE30728E-2B73-44ED-BD6F-93D423F0D9DE}"/>
    <cellStyle name="Normal 2 4 3 3 2 2 4 4" xfId="10164" xr:uid="{02C662BF-CA8C-4643-AD9E-B2FBD03B984A}"/>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16940" xr:uid="{419038C5-3368-4A42-BA12-0134107FF6DA}"/>
    <cellStyle name="Normal 2 4 3 3 2 2 5 2 3" xfId="12722" xr:uid="{607C951A-BE65-4816-9EBB-4FD5E9F0C5E3}"/>
    <cellStyle name="Normal 2 4 3 3 2 2 5 3" xfId="6345" xr:uid="{00000000-0005-0000-0000-0000E20F0000}"/>
    <cellStyle name="Normal 2 4 3 3 2 2 5 3 2" xfId="14795" xr:uid="{985A4570-12E8-4BF9-A177-36E8F81D2AA0}"/>
    <cellStyle name="Normal 2 4 3 3 2 2 5 4" xfId="10577" xr:uid="{00035A04-ED62-46F3-9F72-E1E8CEFC6E83}"/>
    <cellStyle name="Normal 2 4 3 3 2 2 6" xfId="2475" xr:uid="{00000000-0005-0000-0000-0000E30F0000}"/>
    <cellStyle name="Normal 2 4 3 3 2 2 6 2" xfId="6758" xr:uid="{00000000-0005-0000-0000-0000E40F0000}"/>
    <cellStyle name="Normal 2 4 3 3 2 2 6 2 2" xfId="15208" xr:uid="{FE516538-1C3B-4027-B21B-8E343069F847}"/>
    <cellStyle name="Normal 2 4 3 3 2 2 6 3" xfId="10990" xr:uid="{F2593E76-37D8-4D0B-B9CA-43EBBAB23DCD}"/>
    <cellStyle name="Normal 2 4 3 3 2 2 7" xfId="4692" xr:uid="{00000000-0005-0000-0000-0000E50F0000}"/>
    <cellStyle name="Normal 2 4 3 3 2 2 7 2" xfId="13142" xr:uid="{3944959E-0F98-4FDE-82A1-9F92B5D460C2}"/>
    <cellStyle name="Normal 2 4 3 3 2 2 8" xfId="8924" xr:uid="{6155E6DE-1399-4AF2-B7D7-6CA62DF549A5}"/>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15700" xr:uid="{93A8472A-EDF7-4F32-8A7B-2669513189FC}"/>
    <cellStyle name="Normal 2 4 3 3 2 3 2 3" xfId="11482" xr:uid="{F3DDC6C1-7803-4718-96F8-3938FE41FBDE}"/>
    <cellStyle name="Normal 2 4 3 3 2 3 3" xfId="5105" xr:uid="{00000000-0005-0000-0000-0000E90F0000}"/>
    <cellStyle name="Normal 2 4 3 3 2 3 3 2" xfId="13555" xr:uid="{C3694654-8F98-49BE-9A2D-359DB8EBC4DF}"/>
    <cellStyle name="Normal 2 4 3 3 2 3 4" xfId="9337" xr:uid="{6BCF1F05-3B25-40D3-807B-5C095411FC3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16113" xr:uid="{51FCF949-D7B4-4391-AC0A-A033B9E23F05}"/>
    <cellStyle name="Normal 2 4 3 3 2 4 2 3" xfId="11895" xr:uid="{25DE9E73-A650-445A-AC70-FF794B934640}"/>
    <cellStyle name="Normal 2 4 3 3 2 4 3" xfId="5518" xr:uid="{00000000-0005-0000-0000-0000ED0F0000}"/>
    <cellStyle name="Normal 2 4 3 3 2 4 3 2" xfId="13968" xr:uid="{9E375A9E-3FE3-493E-8636-80F83328D0AB}"/>
    <cellStyle name="Normal 2 4 3 3 2 4 4" xfId="9750" xr:uid="{A483C9C8-90C1-4AD1-A673-A7E4C632390E}"/>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16526" xr:uid="{6ADC232A-5853-4E86-87B5-EA9D161CFE22}"/>
    <cellStyle name="Normal 2 4 3 3 2 5 2 3" xfId="12308" xr:uid="{96D28453-527C-45B4-AE75-6018DBF6B289}"/>
    <cellStyle name="Normal 2 4 3 3 2 5 3" xfId="5931" xr:uid="{00000000-0005-0000-0000-0000F10F0000}"/>
    <cellStyle name="Normal 2 4 3 3 2 5 3 2" xfId="14381" xr:uid="{9AD3ED52-47AD-4BF3-8798-060E4761920E}"/>
    <cellStyle name="Normal 2 4 3 3 2 5 4" xfId="10163" xr:uid="{1FC0EF83-1381-4025-805C-7362A05738F2}"/>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16939" xr:uid="{3577DC34-B621-4C1F-BCEC-EB5CE20194AE}"/>
    <cellStyle name="Normal 2 4 3 3 2 6 2 3" xfId="12721" xr:uid="{9B4364B7-2C01-4A5D-B996-9A218F4DB293}"/>
    <cellStyle name="Normal 2 4 3 3 2 6 3" xfId="6344" xr:uid="{00000000-0005-0000-0000-0000F50F0000}"/>
    <cellStyle name="Normal 2 4 3 3 2 6 3 2" xfId="14794" xr:uid="{9110ADB8-FF72-4102-905F-2AFB0DAF612A}"/>
    <cellStyle name="Normal 2 4 3 3 2 6 4" xfId="10576" xr:uid="{2C19F3EB-790D-4013-ADE0-7BA7861F7860}"/>
    <cellStyle name="Normal 2 4 3 3 2 7" xfId="2474" xr:uid="{00000000-0005-0000-0000-0000F60F0000}"/>
    <cellStyle name="Normal 2 4 3 3 2 7 2" xfId="6757" xr:uid="{00000000-0005-0000-0000-0000F70F0000}"/>
    <cellStyle name="Normal 2 4 3 3 2 7 2 2" xfId="15207" xr:uid="{FB2C27DD-0E47-4287-9E99-3E0F32FBE27D}"/>
    <cellStyle name="Normal 2 4 3 3 2 7 3" xfId="10989" xr:uid="{ADACEC46-7C17-4FA7-B68E-828472C3F02F}"/>
    <cellStyle name="Normal 2 4 3 3 2 8" xfId="4691" xr:uid="{00000000-0005-0000-0000-0000F80F0000}"/>
    <cellStyle name="Normal 2 4 3 3 2 8 2" xfId="13141" xr:uid="{D8A96DBD-C56A-4E43-BA7B-327659A6CF66}"/>
    <cellStyle name="Normal 2 4 3 3 2 9" xfId="8923" xr:uid="{2E304C2E-2AF7-4444-9491-E60FDC65A02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15702" xr:uid="{1E396CAE-9B3A-456B-9653-FA121A66E8A8}"/>
    <cellStyle name="Normal 2 4 3 3 3 2 2 3" xfId="11484" xr:uid="{65B9347C-2D6F-4A68-9769-3706FAD8D5D7}"/>
    <cellStyle name="Normal 2 4 3 3 3 2 3" xfId="5107" xr:uid="{00000000-0005-0000-0000-0000FD0F0000}"/>
    <cellStyle name="Normal 2 4 3 3 3 2 3 2" xfId="13557" xr:uid="{EF689A15-9D47-4372-9258-9622636FF463}"/>
    <cellStyle name="Normal 2 4 3 3 3 2 4" xfId="9339" xr:uid="{22063CB3-4F25-45F8-89CB-39F487E7DD52}"/>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16115" xr:uid="{218168AB-4EC6-40C5-AF6C-46152F4499B0}"/>
    <cellStyle name="Normal 2 4 3 3 3 3 2 3" xfId="11897" xr:uid="{2D1B6CFA-86E7-45FC-BC80-F8F8F1F1C76F}"/>
    <cellStyle name="Normal 2 4 3 3 3 3 3" xfId="5520" xr:uid="{00000000-0005-0000-0000-000001100000}"/>
    <cellStyle name="Normal 2 4 3 3 3 3 3 2" xfId="13970" xr:uid="{3EDC7239-0A3B-4B38-AFF1-5C8DFA6AB522}"/>
    <cellStyle name="Normal 2 4 3 3 3 3 4" xfId="9752" xr:uid="{2AB5697C-DB86-4209-BC45-A25BBF306096}"/>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16528" xr:uid="{C4B7E2E9-FAC8-451A-9EB2-C528854662D3}"/>
    <cellStyle name="Normal 2 4 3 3 3 4 2 3" xfId="12310" xr:uid="{0A76A152-EACF-44CC-A9E9-44E5A03149ED}"/>
    <cellStyle name="Normal 2 4 3 3 3 4 3" xfId="5933" xr:uid="{00000000-0005-0000-0000-000005100000}"/>
    <cellStyle name="Normal 2 4 3 3 3 4 3 2" xfId="14383" xr:uid="{58C7B588-E899-4997-92E6-A5D32A174393}"/>
    <cellStyle name="Normal 2 4 3 3 3 4 4" xfId="10165" xr:uid="{D94C638D-4D2B-4513-9126-4D6D853C56C4}"/>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16941" xr:uid="{630A837D-E235-464E-B0F4-03004EBB10A4}"/>
    <cellStyle name="Normal 2 4 3 3 3 5 2 3" xfId="12723" xr:uid="{8C96FD83-D12F-45FA-92F6-8397E974B481}"/>
    <cellStyle name="Normal 2 4 3 3 3 5 3" xfId="6346" xr:uid="{00000000-0005-0000-0000-000009100000}"/>
    <cellStyle name="Normal 2 4 3 3 3 5 3 2" xfId="14796" xr:uid="{4D64F6FC-B5C3-493D-8BD4-A353739DBBB1}"/>
    <cellStyle name="Normal 2 4 3 3 3 5 4" xfId="10578" xr:uid="{376B9167-7169-456A-B41F-72FABDA586DD}"/>
    <cellStyle name="Normal 2 4 3 3 3 6" xfId="2476" xr:uid="{00000000-0005-0000-0000-00000A100000}"/>
    <cellStyle name="Normal 2 4 3 3 3 6 2" xfId="6759" xr:uid="{00000000-0005-0000-0000-00000B100000}"/>
    <cellStyle name="Normal 2 4 3 3 3 6 2 2" xfId="15209" xr:uid="{E64CFBCB-D50D-4A2C-8FD7-31560EC9BF95}"/>
    <cellStyle name="Normal 2 4 3 3 3 6 3" xfId="10991" xr:uid="{4FBD445A-7198-42F0-BD93-BE231CFB6C1A}"/>
    <cellStyle name="Normal 2 4 3 3 3 7" xfId="4693" xr:uid="{00000000-0005-0000-0000-00000C100000}"/>
    <cellStyle name="Normal 2 4 3 3 3 7 2" xfId="13143" xr:uid="{4E2BFA98-0AA9-483A-9B32-6B9D9F052EBC}"/>
    <cellStyle name="Normal 2 4 3 3 3 8" xfId="8925" xr:uid="{07F6E6A2-4D9F-4E9F-80E6-77ED9FE86005}"/>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15699" xr:uid="{268AA562-1D12-42EE-98D3-E18BE24AF0EE}"/>
    <cellStyle name="Normal 2 4 3 3 4 2 3" xfId="11481" xr:uid="{AA09460A-1CBD-4BA6-B50E-BC1C7AB9FA84}"/>
    <cellStyle name="Normal 2 4 3 3 4 3" xfId="5104" xr:uid="{00000000-0005-0000-0000-000010100000}"/>
    <cellStyle name="Normal 2 4 3 3 4 3 2" xfId="13554" xr:uid="{3B8ADFF0-0557-407A-AC38-915AF208FD5C}"/>
    <cellStyle name="Normal 2 4 3 3 4 4" xfId="9336" xr:uid="{D062ADE2-44D1-4651-863E-4F9BC8F868C3}"/>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16112" xr:uid="{5604C208-0AFB-4F7D-8E8A-6BE651A1939D}"/>
    <cellStyle name="Normal 2 4 3 3 5 2 3" xfId="11894" xr:uid="{634CAD87-1E9D-43C1-8343-CEA89FD74A49}"/>
    <cellStyle name="Normal 2 4 3 3 5 3" xfId="5517" xr:uid="{00000000-0005-0000-0000-000014100000}"/>
    <cellStyle name="Normal 2 4 3 3 5 3 2" xfId="13967" xr:uid="{49D214A9-4464-43EF-AA77-78D2CA6FD1CD}"/>
    <cellStyle name="Normal 2 4 3 3 5 4" xfId="9749" xr:uid="{42149D15-62DE-42E9-86A5-8FC8D95CD469}"/>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16525" xr:uid="{7B331304-F5DB-4368-9EA8-27C5F4977445}"/>
    <cellStyle name="Normal 2 4 3 3 6 2 3" xfId="12307" xr:uid="{D08884B8-53B2-4E2F-99C0-7823229FD4E2}"/>
    <cellStyle name="Normal 2 4 3 3 6 3" xfId="5930" xr:uid="{00000000-0005-0000-0000-000018100000}"/>
    <cellStyle name="Normal 2 4 3 3 6 3 2" xfId="14380" xr:uid="{AD352E61-BA6D-4991-8F5D-B21107F7AE85}"/>
    <cellStyle name="Normal 2 4 3 3 6 4" xfId="10162" xr:uid="{D495E705-7547-4B58-92AC-1C042D06F4E0}"/>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16938" xr:uid="{035AFD6E-D2E5-4F5C-9C62-FAAB9BB6755E}"/>
    <cellStyle name="Normal 2 4 3 3 7 2 3" xfId="12720" xr:uid="{99FA222D-26F0-480D-8A8F-B143FDBD6AB6}"/>
    <cellStyle name="Normal 2 4 3 3 7 3" xfId="6343" xr:uid="{00000000-0005-0000-0000-00001C100000}"/>
    <cellStyle name="Normal 2 4 3 3 7 3 2" xfId="14793" xr:uid="{863B9F85-38DE-4CBC-9737-0F7AD7EDE8F1}"/>
    <cellStyle name="Normal 2 4 3 3 7 4" xfId="10575" xr:uid="{2EF3B9BE-AD3C-4A3C-9FE8-633376F29D27}"/>
    <cellStyle name="Normal 2 4 3 3 8" xfId="2473" xr:uid="{00000000-0005-0000-0000-00001D100000}"/>
    <cellStyle name="Normal 2 4 3 3 8 2" xfId="6756" xr:uid="{00000000-0005-0000-0000-00001E100000}"/>
    <cellStyle name="Normal 2 4 3 3 8 2 2" xfId="15206" xr:uid="{091E6E67-FF20-42EF-95A3-3FDFF62F7D31}"/>
    <cellStyle name="Normal 2 4 3 3 8 3" xfId="10988" xr:uid="{D9446E54-E259-42A0-A552-16AC33E2CE86}"/>
    <cellStyle name="Normal 2 4 3 3 9" xfId="4690" xr:uid="{00000000-0005-0000-0000-00001F100000}"/>
    <cellStyle name="Normal 2 4 3 3 9 2" xfId="13140" xr:uid="{A2FA6DC3-5135-44DB-8F7D-B72A5075FD92}"/>
    <cellStyle name="Normal 2 4 3 4" xfId="787" xr:uid="{00000000-0005-0000-0000-000020100000}"/>
    <cellStyle name="Normal 2 4 3 4 2" xfId="3026" xr:uid="{00000000-0005-0000-0000-000021100000}"/>
    <cellStyle name="Normal 2 4 3 4 2 2" xfId="7248" xr:uid="{00000000-0005-0000-0000-000022100000}"/>
    <cellStyle name="Normal 2 4 3 4 2 2 2" xfId="15698" xr:uid="{CA05A04B-3B17-4635-9BA8-7F453852C9D7}"/>
    <cellStyle name="Normal 2 4 3 4 2 3" xfId="11480" xr:uid="{1A29819B-2E87-47F1-A0A7-2A4AFB88293D}"/>
    <cellStyle name="Normal 2 4 3 4 3" xfId="5103" xr:uid="{00000000-0005-0000-0000-000023100000}"/>
    <cellStyle name="Normal 2 4 3 4 3 2" xfId="13553" xr:uid="{BE4140D2-48F2-4E96-8EDC-1A157A7D2956}"/>
    <cellStyle name="Normal 2 4 3 4 4" xfId="9335" xr:uid="{406DFA31-5146-476B-8BE7-BD4E9F23D21E}"/>
    <cellStyle name="Normal 2 4 3 5" xfId="1209" xr:uid="{00000000-0005-0000-0000-000024100000}"/>
    <cellStyle name="Normal 2 4 3 5 2" xfId="3439" xr:uid="{00000000-0005-0000-0000-000025100000}"/>
    <cellStyle name="Normal 2 4 3 5 2 2" xfId="7661" xr:uid="{00000000-0005-0000-0000-000026100000}"/>
    <cellStyle name="Normal 2 4 3 5 2 2 2" xfId="16111" xr:uid="{8E1497C0-A647-4FC1-B18E-66861D65A686}"/>
    <cellStyle name="Normal 2 4 3 5 2 3" xfId="11893" xr:uid="{993AF512-13EC-49B5-B45C-3917E313EC61}"/>
    <cellStyle name="Normal 2 4 3 5 3" xfId="5516" xr:uid="{00000000-0005-0000-0000-000027100000}"/>
    <cellStyle name="Normal 2 4 3 5 3 2" xfId="13966" xr:uid="{14609FE5-42F0-4DFA-8D82-B83EA27C7140}"/>
    <cellStyle name="Normal 2 4 3 5 4" xfId="9748" xr:uid="{E8911DAE-42CB-4539-9F69-17584B607E8A}"/>
    <cellStyle name="Normal 2 4 3 6" xfId="1622" xr:uid="{00000000-0005-0000-0000-000028100000}"/>
    <cellStyle name="Normal 2 4 3 6 2" xfId="3852" xr:uid="{00000000-0005-0000-0000-000029100000}"/>
    <cellStyle name="Normal 2 4 3 6 2 2" xfId="8074" xr:uid="{00000000-0005-0000-0000-00002A100000}"/>
    <cellStyle name="Normal 2 4 3 6 2 2 2" xfId="16524" xr:uid="{CC802372-3B47-43D9-8428-8BCDF9D26CF2}"/>
    <cellStyle name="Normal 2 4 3 6 2 3" xfId="12306" xr:uid="{06523EC1-7ED4-40B8-8E36-14B7A819FF66}"/>
    <cellStyle name="Normal 2 4 3 6 3" xfId="5929" xr:uid="{00000000-0005-0000-0000-00002B100000}"/>
    <cellStyle name="Normal 2 4 3 6 3 2" xfId="14379" xr:uid="{0779B0E1-F6B8-4F8B-821B-6376EB1FC1BC}"/>
    <cellStyle name="Normal 2 4 3 6 4" xfId="10161" xr:uid="{B4566E54-7490-4DF6-A712-278BAB31DF05}"/>
    <cellStyle name="Normal 2 4 3 7" xfId="2036" xr:uid="{00000000-0005-0000-0000-00002C100000}"/>
    <cellStyle name="Normal 2 4 3 7 2" xfId="4265" xr:uid="{00000000-0005-0000-0000-00002D100000}"/>
    <cellStyle name="Normal 2 4 3 7 2 2" xfId="8487" xr:uid="{00000000-0005-0000-0000-00002E100000}"/>
    <cellStyle name="Normal 2 4 3 7 2 2 2" xfId="16937" xr:uid="{0FB70786-BC36-420B-9C6F-09BCBA811722}"/>
    <cellStyle name="Normal 2 4 3 7 2 3" xfId="12719" xr:uid="{0C1F7DE5-0A97-4116-BFF2-9209BC9B47AD}"/>
    <cellStyle name="Normal 2 4 3 7 3" xfId="6342" xr:uid="{00000000-0005-0000-0000-00002F100000}"/>
    <cellStyle name="Normal 2 4 3 7 3 2" xfId="14792" xr:uid="{39F0CB33-235F-42CF-82EE-537AFA8FC33C}"/>
    <cellStyle name="Normal 2 4 3 7 4" xfId="10574" xr:uid="{F93DD0BD-6203-43A6-93DA-CB7231757BE6}"/>
    <cellStyle name="Normal 2 4 3 8" xfId="2472" xr:uid="{00000000-0005-0000-0000-000030100000}"/>
    <cellStyle name="Normal 2 4 3 8 2" xfId="6755" xr:uid="{00000000-0005-0000-0000-000031100000}"/>
    <cellStyle name="Normal 2 4 3 8 2 2" xfId="15205" xr:uid="{36126A56-3DD8-4D93-9544-C4EDB9CEB29B}"/>
    <cellStyle name="Normal 2 4 3 8 3" xfId="10987" xr:uid="{5D805A97-E61C-47A5-9D1F-568F72A402D4}"/>
    <cellStyle name="Normal 2 4 3 9" xfId="4689" xr:uid="{00000000-0005-0000-0000-000032100000}"/>
    <cellStyle name="Normal 2 4 3 9 2" xfId="13139" xr:uid="{0FC3FA17-0BB7-403D-8EAD-ADE48226FC38}"/>
    <cellStyle name="Normal 2 4 4" xfId="302" xr:uid="{00000000-0005-0000-0000-000033100000}"/>
    <cellStyle name="Normal 2 4 5" xfId="303" xr:uid="{00000000-0005-0000-0000-000034100000}"/>
    <cellStyle name="Normal 2 4 5 10" xfId="4694" xr:uid="{00000000-0005-0000-0000-000035100000}"/>
    <cellStyle name="Normal 2 4 5 10 2" xfId="13144" xr:uid="{CEBB06CE-C87F-4F2D-9A97-D63B8874CAE3}"/>
    <cellStyle name="Normal 2 4 5 11" xfId="8926" xr:uid="{10563712-8AE0-4F34-B906-35C0AD392910}"/>
    <cellStyle name="Normal 2 4 5 2" xfId="304" xr:uid="{00000000-0005-0000-0000-000036100000}"/>
    <cellStyle name="Normal 2 4 5 2 10" xfId="8927" xr:uid="{BEDB1F4C-8462-4C9A-883D-5658EA3D229A}"/>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15706" xr:uid="{C939B8FE-E478-4077-B368-D20226253485}"/>
    <cellStyle name="Normal 2 4 5 2 2 2 2 2 3" xfId="11488" xr:uid="{3398754A-2C5C-4734-A277-B4891F6CC471}"/>
    <cellStyle name="Normal 2 4 5 2 2 2 2 3" xfId="5111" xr:uid="{00000000-0005-0000-0000-00003C100000}"/>
    <cellStyle name="Normal 2 4 5 2 2 2 2 3 2" xfId="13561" xr:uid="{3D6F6C08-124A-4DC1-B989-ACD987DB3E35}"/>
    <cellStyle name="Normal 2 4 5 2 2 2 2 4" xfId="9343" xr:uid="{FAEF536F-BDEF-4578-864E-095F5336C05B}"/>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16119" xr:uid="{C9952F98-748C-4AE4-B70E-D18535820793}"/>
    <cellStyle name="Normal 2 4 5 2 2 2 3 2 3" xfId="11901" xr:uid="{1C8B5BAA-D472-4CE5-820C-B3A9FAD52424}"/>
    <cellStyle name="Normal 2 4 5 2 2 2 3 3" xfId="5524" xr:uid="{00000000-0005-0000-0000-000040100000}"/>
    <cellStyle name="Normal 2 4 5 2 2 2 3 3 2" xfId="13974" xr:uid="{4FEAFF2B-C25A-479F-8935-515EF83F01F6}"/>
    <cellStyle name="Normal 2 4 5 2 2 2 3 4" xfId="9756" xr:uid="{1113B4F7-A5AA-4AE9-AB0E-A15167ECA084}"/>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16532" xr:uid="{5D46AA19-6C34-4727-8C1B-AF369D757A49}"/>
    <cellStyle name="Normal 2 4 5 2 2 2 4 2 3" xfId="12314" xr:uid="{B55EEE5B-C661-42FB-B2E5-04822CE020D7}"/>
    <cellStyle name="Normal 2 4 5 2 2 2 4 3" xfId="5937" xr:uid="{00000000-0005-0000-0000-000044100000}"/>
    <cellStyle name="Normal 2 4 5 2 2 2 4 3 2" xfId="14387" xr:uid="{827ADEFC-8474-4552-9A22-BB261CDD04D5}"/>
    <cellStyle name="Normal 2 4 5 2 2 2 4 4" xfId="10169" xr:uid="{A553F24E-C2C3-4649-9DA8-CAF760139C12}"/>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16945" xr:uid="{3B3E6085-8149-4F5F-8ED5-AC7D1C853996}"/>
    <cellStyle name="Normal 2 4 5 2 2 2 5 2 3" xfId="12727" xr:uid="{B0DC5EE0-E164-472F-8EAF-CC966DFB4665}"/>
    <cellStyle name="Normal 2 4 5 2 2 2 5 3" xfId="6350" xr:uid="{00000000-0005-0000-0000-000048100000}"/>
    <cellStyle name="Normal 2 4 5 2 2 2 5 3 2" xfId="14800" xr:uid="{6CC6919D-AA84-4C65-A7E2-C0D76771D123}"/>
    <cellStyle name="Normal 2 4 5 2 2 2 5 4" xfId="10582" xr:uid="{25C410A6-7D08-48CA-9003-E818DA00860D}"/>
    <cellStyle name="Normal 2 4 5 2 2 2 6" xfId="2480" xr:uid="{00000000-0005-0000-0000-000049100000}"/>
    <cellStyle name="Normal 2 4 5 2 2 2 6 2" xfId="6763" xr:uid="{00000000-0005-0000-0000-00004A100000}"/>
    <cellStyle name="Normal 2 4 5 2 2 2 6 2 2" xfId="15213" xr:uid="{7DD62F49-7FD1-4930-8DF2-9A9A0731AEA6}"/>
    <cellStyle name="Normal 2 4 5 2 2 2 6 3" xfId="10995" xr:uid="{0F31B275-F0B5-444E-93CD-C824319819A7}"/>
    <cellStyle name="Normal 2 4 5 2 2 2 7" xfId="4697" xr:uid="{00000000-0005-0000-0000-00004B100000}"/>
    <cellStyle name="Normal 2 4 5 2 2 2 7 2" xfId="13147" xr:uid="{87F15C2D-02A6-4813-B7CB-5CCEA1897C62}"/>
    <cellStyle name="Normal 2 4 5 2 2 2 8" xfId="8929" xr:uid="{98AF7D7C-61B8-465C-BF32-A2460CE434D9}"/>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15705" xr:uid="{3C29C954-20F8-4937-AA57-FF9409A1EE23}"/>
    <cellStyle name="Normal 2 4 5 2 2 3 2 3" xfId="11487" xr:uid="{A434DA7E-3F25-4324-938E-4C62BF7099D6}"/>
    <cellStyle name="Normal 2 4 5 2 2 3 3" xfId="5110" xr:uid="{00000000-0005-0000-0000-00004F100000}"/>
    <cellStyle name="Normal 2 4 5 2 2 3 3 2" xfId="13560" xr:uid="{451C7523-5011-4F68-AA8D-67442700B511}"/>
    <cellStyle name="Normal 2 4 5 2 2 3 4" xfId="9342" xr:uid="{847552F0-8E5C-4C3B-9F61-417425D48834}"/>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16118" xr:uid="{39934990-2DA8-4443-81D4-2FBF8B4C8A27}"/>
    <cellStyle name="Normal 2 4 5 2 2 4 2 3" xfId="11900" xr:uid="{38EFAB5A-A973-46B7-AA0C-A15C8B82AF70}"/>
    <cellStyle name="Normal 2 4 5 2 2 4 3" xfId="5523" xr:uid="{00000000-0005-0000-0000-000053100000}"/>
    <cellStyle name="Normal 2 4 5 2 2 4 3 2" xfId="13973" xr:uid="{6011FAF3-04F7-478F-BFEF-1D674B656F0C}"/>
    <cellStyle name="Normal 2 4 5 2 2 4 4" xfId="9755" xr:uid="{98E99492-11A8-49B9-B928-101701C909E1}"/>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16531" xr:uid="{47A4542A-DCB5-463B-A892-F86239D3287D}"/>
    <cellStyle name="Normal 2 4 5 2 2 5 2 3" xfId="12313" xr:uid="{8FD82DCE-CA30-4520-9B1D-0CDB7721736B}"/>
    <cellStyle name="Normal 2 4 5 2 2 5 3" xfId="5936" xr:uid="{00000000-0005-0000-0000-000057100000}"/>
    <cellStyle name="Normal 2 4 5 2 2 5 3 2" xfId="14386" xr:uid="{F072D8DC-56FA-4013-84EA-E2DE32F27B3F}"/>
    <cellStyle name="Normal 2 4 5 2 2 5 4" xfId="10168" xr:uid="{DB606D2B-D0A0-4ADB-9D6F-D28C19A8A5DB}"/>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16944" xr:uid="{EBD8039C-6AE2-420B-A013-4D01477CA778}"/>
    <cellStyle name="Normal 2 4 5 2 2 6 2 3" xfId="12726" xr:uid="{CB0F7903-1AC1-4247-A106-370656D4332B}"/>
    <cellStyle name="Normal 2 4 5 2 2 6 3" xfId="6349" xr:uid="{00000000-0005-0000-0000-00005B100000}"/>
    <cellStyle name="Normal 2 4 5 2 2 6 3 2" xfId="14799" xr:uid="{4C49B264-0B92-4B0D-AACB-8B604C5A9C78}"/>
    <cellStyle name="Normal 2 4 5 2 2 6 4" xfId="10581" xr:uid="{FC37913A-0B1D-4F83-AC92-0B071E308576}"/>
    <cellStyle name="Normal 2 4 5 2 2 7" xfId="2479" xr:uid="{00000000-0005-0000-0000-00005C100000}"/>
    <cellStyle name="Normal 2 4 5 2 2 7 2" xfId="6762" xr:uid="{00000000-0005-0000-0000-00005D100000}"/>
    <cellStyle name="Normal 2 4 5 2 2 7 2 2" xfId="15212" xr:uid="{C638B212-CF92-41DF-8EB6-B629BDE1FBDE}"/>
    <cellStyle name="Normal 2 4 5 2 2 7 3" xfId="10994" xr:uid="{2B9F2158-B919-4890-8E6C-D73F569E20E7}"/>
    <cellStyle name="Normal 2 4 5 2 2 8" xfId="4696" xr:uid="{00000000-0005-0000-0000-00005E100000}"/>
    <cellStyle name="Normal 2 4 5 2 2 8 2" xfId="13146" xr:uid="{94953132-0B94-443E-B975-11A50459C5B0}"/>
    <cellStyle name="Normal 2 4 5 2 2 9" xfId="8928" xr:uid="{9B1F0C03-0C2A-40C8-84F3-8FB458814778}"/>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15707" xr:uid="{3AAE4988-A366-4E7C-A28A-3AAA3826BA9B}"/>
    <cellStyle name="Normal 2 4 5 2 3 2 2 3" xfId="11489" xr:uid="{B8FC2BB2-2D4C-4093-8E3C-8239CC7866F7}"/>
    <cellStyle name="Normal 2 4 5 2 3 2 3" xfId="5112" xr:uid="{00000000-0005-0000-0000-000063100000}"/>
    <cellStyle name="Normal 2 4 5 2 3 2 3 2" xfId="13562" xr:uid="{CB6C04D9-960F-4DBB-8FF1-6FC612D9D4D5}"/>
    <cellStyle name="Normal 2 4 5 2 3 2 4" xfId="9344" xr:uid="{DCD67967-5081-4E04-BD1F-C1091290DE1D}"/>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16120" xr:uid="{B952992E-1A5F-454C-A062-5DAE807C36E3}"/>
    <cellStyle name="Normal 2 4 5 2 3 3 2 3" xfId="11902" xr:uid="{4F1C8743-362B-4B46-9283-51C449900638}"/>
    <cellStyle name="Normal 2 4 5 2 3 3 3" xfId="5525" xr:uid="{00000000-0005-0000-0000-000067100000}"/>
    <cellStyle name="Normal 2 4 5 2 3 3 3 2" xfId="13975" xr:uid="{BE278993-DA86-4B27-BBA7-01B2BE6A0BC4}"/>
    <cellStyle name="Normal 2 4 5 2 3 3 4" xfId="9757" xr:uid="{0C36B0C1-1628-4846-9311-6FB282DD6E68}"/>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16533" xr:uid="{AB6AC481-EF76-4D87-915C-38C6AC19A6C1}"/>
    <cellStyle name="Normal 2 4 5 2 3 4 2 3" xfId="12315" xr:uid="{B8A0C63F-900C-4A68-996F-BAAED8F709DE}"/>
    <cellStyle name="Normal 2 4 5 2 3 4 3" xfId="5938" xr:uid="{00000000-0005-0000-0000-00006B100000}"/>
    <cellStyle name="Normal 2 4 5 2 3 4 3 2" xfId="14388" xr:uid="{0DD983EE-4533-435E-B89A-B17DBFC01368}"/>
    <cellStyle name="Normal 2 4 5 2 3 4 4" xfId="10170" xr:uid="{7566C0EF-DEB6-4725-B682-30F8DD74097B}"/>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16946" xr:uid="{7C87F20D-9405-4DE5-93BF-C2BCD12480D7}"/>
    <cellStyle name="Normal 2 4 5 2 3 5 2 3" xfId="12728" xr:uid="{47DC0802-AFA2-4E25-B0B3-9B0CEE0F3BF1}"/>
    <cellStyle name="Normal 2 4 5 2 3 5 3" xfId="6351" xr:uid="{00000000-0005-0000-0000-00006F100000}"/>
    <cellStyle name="Normal 2 4 5 2 3 5 3 2" xfId="14801" xr:uid="{57911F28-BDB5-42A1-9070-93C234E0F17E}"/>
    <cellStyle name="Normal 2 4 5 2 3 5 4" xfId="10583" xr:uid="{00DDE698-DAF0-4338-8D73-EF91742CEAA3}"/>
    <cellStyle name="Normal 2 4 5 2 3 6" xfId="2481" xr:uid="{00000000-0005-0000-0000-000070100000}"/>
    <cellStyle name="Normal 2 4 5 2 3 6 2" xfId="6764" xr:uid="{00000000-0005-0000-0000-000071100000}"/>
    <cellStyle name="Normal 2 4 5 2 3 6 2 2" xfId="15214" xr:uid="{6CAD29A2-77FF-4D88-8F1D-511BA334C842}"/>
    <cellStyle name="Normal 2 4 5 2 3 6 3" xfId="10996" xr:uid="{6C8D3B51-557F-4C22-86C0-30BB012AE6A9}"/>
    <cellStyle name="Normal 2 4 5 2 3 7" xfId="4698" xr:uid="{00000000-0005-0000-0000-000072100000}"/>
    <cellStyle name="Normal 2 4 5 2 3 7 2" xfId="13148" xr:uid="{A4D8BBCD-A2D9-480E-912E-62F30EAD9AF8}"/>
    <cellStyle name="Normal 2 4 5 2 3 8" xfId="8930" xr:uid="{85E944A0-197F-4C41-99AB-FB40B5ED14F7}"/>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15704" xr:uid="{B97C7AB6-DEF5-418E-AAF3-AA344B790E51}"/>
    <cellStyle name="Normal 2 4 5 2 4 2 3" xfId="11486" xr:uid="{E8BD2E6E-2220-4AB6-8F63-6A19CFB74337}"/>
    <cellStyle name="Normal 2 4 5 2 4 3" xfId="5109" xr:uid="{00000000-0005-0000-0000-000076100000}"/>
    <cellStyle name="Normal 2 4 5 2 4 3 2" xfId="13559" xr:uid="{4B90121F-F2E1-48AD-ADA5-BE837B56524A}"/>
    <cellStyle name="Normal 2 4 5 2 4 4" xfId="9341" xr:uid="{54A38479-BD92-4918-B804-91B043A4FAAF}"/>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16117" xr:uid="{AE253049-98E6-489A-9187-6D37DD2581AF}"/>
    <cellStyle name="Normal 2 4 5 2 5 2 3" xfId="11899" xr:uid="{7DFAF86E-59E2-49CC-9CBC-7F15BE109321}"/>
    <cellStyle name="Normal 2 4 5 2 5 3" xfId="5522" xr:uid="{00000000-0005-0000-0000-00007A100000}"/>
    <cellStyle name="Normal 2 4 5 2 5 3 2" xfId="13972" xr:uid="{B7ACDAD3-E4B5-4A61-BD92-E8446197CD82}"/>
    <cellStyle name="Normal 2 4 5 2 5 4" xfId="9754" xr:uid="{7911C882-5C9B-4CD2-8DBC-C0EC16E5ABF4}"/>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16530" xr:uid="{8AF12728-44D1-4911-B04E-7EE4DCA7D701}"/>
    <cellStyle name="Normal 2 4 5 2 6 2 3" xfId="12312" xr:uid="{88B5B767-AA24-406F-8836-27F18C87E249}"/>
    <cellStyle name="Normal 2 4 5 2 6 3" xfId="5935" xr:uid="{00000000-0005-0000-0000-00007E100000}"/>
    <cellStyle name="Normal 2 4 5 2 6 3 2" xfId="14385" xr:uid="{AFD433C0-DDC9-4898-8345-20C5391A02F3}"/>
    <cellStyle name="Normal 2 4 5 2 6 4" xfId="10167" xr:uid="{6D9A7110-63EA-4D49-92D7-01B55ACB4C7D}"/>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16943" xr:uid="{3E29D2B1-B497-4C4F-9BBD-E517D3E9999E}"/>
    <cellStyle name="Normal 2 4 5 2 7 2 3" xfId="12725" xr:uid="{9D6FE6AC-E2E9-4F1F-B593-05A6DC4E33BC}"/>
    <cellStyle name="Normal 2 4 5 2 7 3" xfId="6348" xr:uid="{00000000-0005-0000-0000-000082100000}"/>
    <cellStyle name="Normal 2 4 5 2 7 3 2" xfId="14798" xr:uid="{1F8456CF-6858-4CD1-AD57-93ED072B8E50}"/>
    <cellStyle name="Normal 2 4 5 2 7 4" xfId="10580" xr:uid="{2FA9417D-82AD-427F-A26E-B52BECA94B14}"/>
    <cellStyle name="Normal 2 4 5 2 8" xfId="2478" xr:uid="{00000000-0005-0000-0000-000083100000}"/>
    <cellStyle name="Normal 2 4 5 2 8 2" xfId="6761" xr:uid="{00000000-0005-0000-0000-000084100000}"/>
    <cellStyle name="Normal 2 4 5 2 8 2 2" xfId="15211" xr:uid="{1944569E-4548-45DB-9F04-9AF1F5356FA0}"/>
    <cellStyle name="Normal 2 4 5 2 8 3" xfId="10993" xr:uid="{1A20A928-170D-4DC6-9E09-937FDB0D81EA}"/>
    <cellStyle name="Normal 2 4 5 2 9" xfId="4695" xr:uid="{00000000-0005-0000-0000-000085100000}"/>
    <cellStyle name="Normal 2 4 5 2 9 2" xfId="13145" xr:uid="{2D9F05C9-9517-4D47-8150-832C1BBF058B}"/>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15709" xr:uid="{17A72EBE-4CB5-469D-91C5-C8A47524E548}"/>
    <cellStyle name="Normal 2 4 5 3 2 2 2 3" xfId="11491" xr:uid="{5BF7A684-8EEB-4B48-A404-B89BB39DB209}"/>
    <cellStyle name="Normal 2 4 5 3 2 2 3" xfId="5114" xr:uid="{00000000-0005-0000-0000-00008B100000}"/>
    <cellStyle name="Normal 2 4 5 3 2 2 3 2" xfId="13564" xr:uid="{7AC9D3D9-5224-47CA-B1C7-8F6DA26B30D8}"/>
    <cellStyle name="Normal 2 4 5 3 2 2 4" xfId="9346" xr:uid="{2F760EBF-2CFB-45C4-855A-5DBC9BB3FDB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16122" xr:uid="{241F421D-9B93-4AF6-A0F5-F9BA138894EF}"/>
    <cellStyle name="Normal 2 4 5 3 2 3 2 3" xfId="11904" xr:uid="{11F63D30-B80E-4471-BB8C-8A43ED0DE133}"/>
    <cellStyle name="Normal 2 4 5 3 2 3 3" xfId="5527" xr:uid="{00000000-0005-0000-0000-00008F100000}"/>
    <cellStyle name="Normal 2 4 5 3 2 3 3 2" xfId="13977" xr:uid="{57C47A01-55D2-4F11-A43C-94B7225DCD63}"/>
    <cellStyle name="Normal 2 4 5 3 2 3 4" xfId="9759" xr:uid="{D723D385-4B66-43AD-9904-10DFD338864E}"/>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16535" xr:uid="{017917E3-06BC-4B68-96A4-E685987AE29E}"/>
    <cellStyle name="Normal 2 4 5 3 2 4 2 3" xfId="12317" xr:uid="{37281F65-E90E-4F30-97D0-C8E75C38EE57}"/>
    <cellStyle name="Normal 2 4 5 3 2 4 3" xfId="5940" xr:uid="{00000000-0005-0000-0000-000093100000}"/>
    <cellStyle name="Normal 2 4 5 3 2 4 3 2" xfId="14390" xr:uid="{2D544431-126E-4194-8D93-497FEA360021}"/>
    <cellStyle name="Normal 2 4 5 3 2 4 4" xfId="10172" xr:uid="{8366D0B5-F419-4D8F-BE91-C4BAB1365A83}"/>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16948" xr:uid="{505BEF71-D9A9-4E7B-ADD5-AE9327D345B2}"/>
    <cellStyle name="Normal 2 4 5 3 2 5 2 3" xfId="12730" xr:uid="{BC41D5A7-33FD-415A-805C-A3A431E8D22E}"/>
    <cellStyle name="Normal 2 4 5 3 2 5 3" xfId="6353" xr:uid="{00000000-0005-0000-0000-000097100000}"/>
    <cellStyle name="Normal 2 4 5 3 2 5 3 2" xfId="14803" xr:uid="{B12580E0-CFF1-4D32-9B63-13DE62861762}"/>
    <cellStyle name="Normal 2 4 5 3 2 5 4" xfId="10585" xr:uid="{2FA0F64A-5FBB-4A17-9010-E286248FEC38}"/>
    <cellStyle name="Normal 2 4 5 3 2 6" xfId="2483" xr:uid="{00000000-0005-0000-0000-000098100000}"/>
    <cellStyle name="Normal 2 4 5 3 2 6 2" xfId="6766" xr:uid="{00000000-0005-0000-0000-000099100000}"/>
    <cellStyle name="Normal 2 4 5 3 2 6 2 2" xfId="15216" xr:uid="{8B85BD57-991F-4DC8-91C3-881EECEDC6BE}"/>
    <cellStyle name="Normal 2 4 5 3 2 6 3" xfId="10998" xr:uid="{4FAEC413-FE50-4B11-BB43-81C094BD52F1}"/>
    <cellStyle name="Normal 2 4 5 3 2 7" xfId="4700" xr:uid="{00000000-0005-0000-0000-00009A100000}"/>
    <cellStyle name="Normal 2 4 5 3 2 7 2" xfId="13150" xr:uid="{B15381B8-C08A-49A2-9218-4664740FEC82}"/>
    <cellStyle name="Normal 2 4 5 3 2 8" xfId="8932" xr:uid="{8B83787A-2C5A-4C8D-911F-B69AB85AD0FA}"/>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15708" xr:uid="{4A648A90-34CB-40C8-8222-94A304CA90DF}"/>
    <cellStyle name="Normal 2 4 5 3 3 2 3" xfId="11490" xr:uid="{2A283C22-4597-4973-B45A-C9DA68C38F3D}"/>
    <cellStyle name="Normal 2 4 5 3 3 3" xfId="5113" xr:uid="{00000000-0005-0000-0000-00009E100000}"/>
    <cellStyle name="Normal 2 4 5 3 3 3 2" xfId="13563" xr:uid="{0EEC70B7-B733-4104-B7A1-884C77791711}"/>
    <cellStyle name="Normal 2 4 5 3 3 4" xfId="9345" xr:uid="{4E96992F-B36F-4E7B-AEFB-46918E858BDA}"/>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16121" xr:uid="{E3D565F0-EDD0-4E68-BDBE-242C4AB1735A}"/>
    <cellStyle name="Normal 2 4 5 3 4 2 3" xfId="11903" xr:uid="{8276FB3A-327F-4545-8248-AFD82B0C39AE}"/>
    <cellStyle name="Normal 2 4 5 3 4 3" xfId="5526" xr:uid="{00000000-0005-0000-0000-0000A2100000}"/>
    <cellStyle name="Normal 2 4 5 3 4 3 2" xfId="13976" xr:uid="{8DCE5228-745E-48DF-AAA9-95A133199E7E}"/>
    <cellStyle name="Normal 2 4 5 3 4 4" xfId="9758" xr:uid="{E544DE2B-FB96-437C-903C-460AAF621000}"/>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16534" xr:uid="{84E232E2-AE94-40C2-87F5-5EFAE4C463A1}"/>
    <cellStyle name="Normal 2 4 5 3 5 2 3" xfId="12316" xr:uid="{5A75230B-0271-4031-A9F2-2EB817900FF2}"/>
    <cellStyle name="Normal 2 4 5 3 5 3" xfId="5939" xr:uid="{00000000-0005-0000-0000-0000A6100000}"/>
    <cellStyle name="Normal 2 4 5 3 5 3 2" xfId="14389" xr:uid="{1A51A8FA-2A73-4717-BDA2-F5EFFA499119}"/>
    <cellStyle name="Normal 2 4 5 3 5 4" xfId="10171" xr:uid="{81F761FB-6FA4-4A06-90DE-99664107201C}"/>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16947" xr:uid="{BF6C1A4F-F329-4160-A6B5-05AF4B54F434}"/>
    <cellStyle name="Normal 2 4 5 3 6 2 3" xfId="12729" xr:uid="{DB02D250-F3BF-4AE6-A486-FE3E97F6AAE3}"/>
    <cellStyle name="Normal 2 4 5 3 6 3" xfId="6352" xr:uid="{00000000-0005-0000-0000-0000AA100000}"/>
    <cellStyle name="Normal 2 4 5 3 6 3 2" xfId="14802" xr:uid="{27755DC2-169A-4C4E-9A53-7278934D531A}"/>
    <cellStyle name="Normal 2 4 5 3 6 4" xfId="10584" xr:uid="{18CD859F-C5F0-487B-B387-23B022ED563F}"/>
    <cellStyle name="Normal 2 4 5 3 7" xfId="2482" xr:uid="{00000000-0005-0000-0000-0000AB100000}"/>
    <cellStyle name="Normal 2 4 5 3 7 2" xfId="6765" xr:uid="{00000000-0005-0000-0000-0000AC100000}"/>
    <cellStyle name="Normal 2 4 5 3 7 2 2" xfId="15215" xr:uid="{C2A83618-B240-460C-B631-74F60D78876E}"/>
    <cellStyle name="Normal 2 4 5 3 7 3" xfId="10997" xr:uid="{94AD3163-721C-4F12-8FE3-43CD519737B3}"/>
    <cellStyle name="Normal 2 4 5 3 8" xfId="4699" xr:uid="{00000000-0005-0000-0000-0000AD100000}"/>
    <cellStyle name="Normal 2 4 5 3 8 2" xfId="13149" xr:uid="{47FE0809-662A-468E-8D18-AF2EADE4F811}"/>
    <cellStyle name="Normal 2 4 5 3 9" xfId="8931" xr:uid="{11860658-37CA-4CE8-971D-8ED5E7FE2129}"/>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15710" xr:uid="{EB56CEC3-02B8-42F1-BB0F-FDEA6D4C1962}"/>
    <cellStyle name="Normal 2 4 5 4 2 2 3" xfId="11492" xr:uid="{E71F2F7A-7305-4070-BD20-8693DB0F0D73}"/>
    <cellStyle name="Normal 2 4 5 4 2 3" xfId="5115" xr:uid="{00000000-0005-0000-0000-0000B2100000}"/>
    <cellStyle name="Normal 2 4 5 4 2 3 2" xfId="13565" xr:uid="{F00CFADC-D942-4452-9D0C-6288AF706C3F}"/>
    <cellStyle name="Normal 2 4 5 4 2 4" xfId="9347" xr:uid="{804683FA-0C97-4DDD-9C61-CAFD59DF3735}"/>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16123" xr:uid="{57B41300-B621-41EE-9211-EC9C9EB16030}"/>
    <cellStyle name="Normal 2 4 5 4 3 2 3" xfId="11905" xr:uid="{EC7943B4-109A-4197-B9AB-740A5136CC75}"/>
    <cellStyle name="Normal 2 4 5 4 3 3" xfId="5528" xr:uid="{00000000-0005-0000-0000-0000B6100000}"/>
    <cellStyle name="Normal 2 4 5 4 3 3 2" xfId="13978" xr:uid="{E31FC4F8-56A0-4D08-96C9-FC9650DA7676}"/>
    <cellStyle name="Normal 2 4 5 4 3 4" xfId="9760" xr:uid="{F9EB984F-C88C-479F-AA64-24874D2900DE}"/>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16536" xr:uid="{39BC7B33-7EC6-4001-91E9-3CE3B1E2AF49}"/>
    <cellStyle name="Normal 2 4 5 4 4 2 3" xfId="12318" xr:uid="{F9C9A6BB-AA9B-41F9-94E7-0A3B6E7DEFC0}"/>
    <cellStyle name="Normal 2 4 5 4 4 3" xfId="5941" xr:uid="{00000000-0005-0000-0000-0000BA100000}"/>
    <cellStyle name="Normal 2 4 5 4 4 3 2" xfId="14391" xr:uid="{B09E596E-85ED-4509-8C05-8E383845D13D}"/>
    <cellStyle name="Normal 2 4 5 4 4 4" xfId="10173" xr:uid="{460A6C84-F765-43DF-89D2-59E82EF9857B}"/>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16949" xr:uid="{B8C60FFA-8A60-471D-A783-ED3A5671D48E}"/>
    <cellStyle name="Normal 2 4 5 4 5 2 3" xfId="12731" xr:uid="{E25578CD-1D92-4637-B6AB-DE0B058C8719}"/>
    <cellStyle name="Normal 2 4 5 4 5 3" xfId="6354" xr:uid="{00000000-0005-0000-0000-0000BE100000}"/>
    <cellStyle name="Normal 2 4 5 4 5 3 2" xfId="14804" xr:uid="{A33FE59C-FADE-4E7E-B1BD-D9CA27C32612}"/>
    <cellStyle name="Normal 2 4 5 4 5 4" xfId="10586" xr:uid="{76293A1A-A3FB-409B-A7BC-94BF3047C8FC}"/>
    <cellStyle name="Normal 2 4 5 4 6" xfId="2484" xr:uid="{00000000-0005-0000-0000-0000BF100000}"/>
    <cellStyle name="Normal 2 4 5 4 6 2" xfId="6767" xr:uid="{00000000-0005-0000-0000-0000C0100000}"/>
    <cellStyle name="Normal 2 4 5 4 6 2 2" xfId="15217" xr:uid="{D86E2B72-C864-40A7-A947-E21A1D5ED038}"/>
    <cellStyle name="Normal 2 4 5 4 6 3" xfId="10999" xr:uid="{31A22067-6F57-49E2-9CD7-7036B0B9851F}"/>
    <cellStyle name="Normal 2 4 5 4 7" xfId="4701" xr:uid="{00000000-0005-0000-0000-0000C1100000}"/>
    <cellStyle name="Normal 2 4 5 4 7 2" xfId="13151" xr:uid="{2A74FE9A-8676-462D-A0E0-71A206FCB035}"/>
    <cellStyle name="Normal 2 4 5 4 8" xfId="8933" xr:uid="{6A760338-0A2F-4A49-825E-67D180022DE2}"/>
    <cellStyle name="Normal 2 4 5 5" xfId="792" xr:uid="{00000000-0005-0000-0000-0000C2100000}"/>
    <cellStyle name="Normal 2 4 5 5 2" xfId="3031" xr:uid="{00000000-0005-0000-0000-0000C3100000}"/>
    <cellStyle name="Normal 2 4 5 5 2 2" xfId="7253" xr:uid="{00000000-0005-0000-0000-0000C4100000}"/>
    <cellStyle name="Normal 2 4 5 5 2 2 2" xfId="15703" xr:uid="{2090BA45-F9D2-459D-94A5-698ACD5848AB}"/>
    <cellStyle name="Normal 2 4 5 5 2 3" xfId="11485" xr:uid="{CC6E1E68-FE32-4833-98D9-630EE4DB9524}"/>
    <cellStyle name="Normal 2 4 5 5 3" xfId="5108" xr:uid="{00000000-0005-0000-0000-0000C5100000}"/>
    <cellStyle name="Normal 2 4 5 5 3 2" xfId="13558" xr:uid="{D8022E75-B7F5-4464-A105-F39B28FB727F}"/>
    <cellStyle name="Normal 2 4 5 5 4" xfId="9340" xr:uid="{1A8C1412-C96D-4D15-A9FC-DB0B66B683B2}"/>
    <cellStyle name="Normal 2 4 5 6" xfId="1214" xr:uid="{00000000-0005-0000-0000-0000C6100000}"/>
    <cellStyle name="Normal 2 4 5 6 2" xfId="3444" xr:uid="{00000000-0005-0000-0000-0000C7100000}"/>
    <cellStyle name="Normal 2 4 5 6 2 2" xfId="7666" xr:uid="{00000000-0005-0000-0000-0000C8100000}"/>
    <cellStyle name="Normal 2 4 5 6 2 2 2" xfId="16116" xr:uid="{FEF978C4-ECF5-4D1D-96B9-0012033F549D}"/>
    <cellStyle name="Normal 2 4 5 6 2 3" xfId="11898" xr:uid="{6F529DBE-3E0C-4EB0-A571-B08E7E81AEE8}"/>
    <cellStyle name="Normal 2 4 5 6 3" xfId="5521" xr:uid="{00000000-0005-0000-0000-0000C9100000}"/>
    <cellStyle name="Normal 2 4 5 6 3 2" xfId="13971" xr:uid="{F7010E32-BDD5-4A38-94BA-F950D32A555F}"/>
    <cellStyle name="Normal 2 4 5 6 4" xfId="9753" xr:uid="{7AD9EDF1-B7A6-454B-B8A5-8939BC6BFF62}"/>
    <cellStyle name="Normal 2 4 5 7" xfId="1627" xr:uid="{00000000-0005-0000-0000-0000CA100000}"/>
    <cellStyle name="Normal 2 4 5 7 2" xfId="3857" xr:uid="{00000000-0005-0000-0000-0000CB100000}"/>
    <cellStyle name="Normal 2 4 5 7 2 2" xfId="8079" xr:uid="{00000000-0005-0000-0000-0000CC100000}"/>
    <cellStyle name="Normal 2 4 5 7 2 2 2" xfId="16529" xr:uid="{1E62FE53-E0DC-4C77-B142-F05C95EE326F}"/>
    <cellStyle name="Normal 2 4 5 7 2 3" xfId="12311" xr:uid="{708A6511-3DA7-4ACE-82F9-45A9DF91B311}"/>
    <cellStyle name="Normal 2 4 5 7 3" xfId="5934" xr:uid="{00000000-0005-0000-0000-0000CD100000}"/>
    <cellStyle name="Normal 2 4 5 7 3 2" xfId="14384" xr:uid="{432314E3-0914-4F6A-81AF-9DD4E093C79C}"/>
    <cellStyle name="Normal 2 4 5 7 4" xfId="10166" xr:uid="{4AA22780-ABC2-4F42-9460-D30447D7D90D}"/>
    <cellStyle name="Normal 2 4 5 8" xfId="2041" xr:uid="{00000000-0005-0000-0000-0000CE100000}"/>
    <cellStyle name="Normal 2 4 5 8 2" xfId="4270" xr:uid="{00000000-0005-0000-0000-0000CF100000}"/>
    <cellStyle name="Normal 2 4 5 8 2 2" xfId="8492" xr:uid="{00000000-0005-0000-0000-0000D0100000}"/>
    <cellStyle name="Normal 2 4 5 8 2 2 2" xfId="16942" xr:uid="{E5F19705-46C8-4CED-AD18-17A0DE545F05}"/>
    <cellStyle name="Normal 2 4 5 8 2 3" xfId="12724" xr:uid="{C4D43657-F74E-4614-9D25-4EACB690B153}"/>
    <cellStyle name="Normal 2 4 5 8 3" xfId="6347" xr:uid="{00000000-0005-0000-0000-0000D1100000}"/>
    <cellStyle name="Normal 2 4 5 8 3 2" xfId="14797" xr:uid="{926D8820-6B0F-4748-856A-7FB538D6CA5F}"/>
    <cellStyle name="Normal 2 4 5 8 4" xfId="10579" xr:uid="{3083199B-72A0-498D-8026-0084DBDF8407}"/>
    <cellStyle name="Normal 2 4 5 9" xfId="2477" xr:uid="{00000000-0005-0000-0000-0000D2100000}"/>
    <cellStyle name="Normal 2 4 5 9 2" xfId="6760" xr:uid="{00000000-0005-0000-0000-0000D3100000}"/>
    <cellStyle name="Normal 2 4 5 9 2 2" xfId="15210" xr:uid="{21E6FCCB-75D1-45AA-857E-7D67130CD354}"/>
    <cellStyle name="Normal 2 4 5 9 3" xfId="10992" xr:uid="{F89E75C6-9471-4B6F-AA7F-00EF943EE351}"/>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15712" xr:uid="{B0940FE3-B209-4479-950B-7EFAA2ABB505}"/>
    <cellStyle name="Normal 2 4 7 2 2 2 3" xfId="11494" xr:uid="{0EAC59CB-3654-48B4-A0AE-33D510742019}"/>
    <cellStyle name="Normal 2 4 7 2 2 3" xfId="5117" xr:uid="{00000000-0005-0000-0000-0000DA100000}"/>
    <cellStyle name="Normal 2 4 7 2 2 3 2" xfId="13567" xr:uid="{5B538445-5824-4044-8FF7-80F8CB86E50E}"/>
    <cellStyle name="Normal 2 4 7 2 2 4" xfId="9349" xr:uid="{22E8FF70-A0A2-4B6B-816B-8378427FD2E3}"/>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16125" xr:uid="{D7C8D64B-6C67-4DE2-8371-D4FF5633666F}"/>
    <cellStyle name="Normal 2 4 7 2 3 2 3" xfId="11907" xr:uid="{34CC7C07-515B-40CB-B9E7-6D5C4112491B}"/>
    <cellStyle name="Normal 2 4 7 2 3 3" xfId="5530" xr:uid="{00000000-0005-0000-0000-0000DE100000}"/>
    <cellStyle name="Normal 2 4 7 2 3 3 2" xfId="13980" xr:uid="{E45A219D-1D29-4CD3-864A-6FAD2E023325}"/>
    <cellStyle name="Normal 2 4 7 2 3 4" xfId="9762" xr:uid="{8D1A3ED9-17BC-47F9-8752-2873C98FECFF}"/>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16538" xr:uid="{397C26D0-1079-4AC4-8382-C3BF31E65D6A}"/>
    <cellStyle name="Normal 2 4 7 2 4 2 3" xfId="12320" xr:uid="{B40FAE07-8E6D-4788-80C9-386C390F7255}"/>
    <cellStyle name="Normal 2 4 7 2 4 3" xfId="5943" xr:uid="{00000000-0005-0000-0000-0000E2100000}"/>
    <cellStyle name="Normal 2 4 7 2 4 3 2" xfId="14393" xr:uid="{45F2CA0A-DE2B-449C-913D-7F0523954ABD}"/>
    <cellStyle name="Normal 2 4 7 2 4 4" xfId="10175" xr:uid="{CB477E1B-F80B-4D01-8C27-8F404CD03CDC}"/>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16951" xr:uid="{B0D3F19A-3484-4432-99CF-CB528137F9A5}"/>
    <cellStyle name="Normal 2 4 7 2 5 2 3" xfId="12733" xr:uid="{0D0AD444-2563-45CD-8D92-231AB56A3E3B}"/>
    <cellStyle name="Normal 2 4 7 2 5 3" xfId="6356" xr:uid="{00000000-0005-0000-0000-0000E6100000}"/>
    <cellStyle name="Normal 2 4 7 2 5 3 2" xfId="14806" xr:uid="{2A120166-DEFD-49FB-9EE0-764204B0755F}"/>
    <cellStyle name="Normal 2 4 7 2 5 4" xfId="10588" xr:uid="{7265FA69-E1A3-4C6F-B235-DA5D1B22BAD6}"/>
    <cellStyle name="Normal 2 4 7 2 6" xfId="2486" xr:uid="{00000000-0005-0000-0000-0000E7100000}"/>
    <cellStyle name="Normal 2 4 7 2 6 2" xfId="6769" xr:uid="{00000000-0005-0000-0000-0000E8100000}"/>
    <cellStyle name="Normal 2 4 7 2 6 2 2" xfId="15219" xr:uid="{A015F922-AFE4-4D95-9496-1D8C80CBD478}"/>
    <cellStyle name="Normal 2 4 7 2 6 3" xfId="11001" xr:uid="{8276A456-2E3A-4AE6-A288-D4FD31EEDDA8}"/>
    <cellStyle name="Normal 2 4 7 2 7" xfId="4703" xr:uid="{00000000-0005-0000-0000-0000E9100000}"/>
    <cellStyle name="Normal 2 4 7 2 7 2" xfId="13153" xr:uid="{A4867448-ABA9-4A2C-889A-FC6BEB7D72D7}"/>
    <cellStyle name="Normal 2 4 7 2 8" xfId="8935" xr:uid="{0A9CB4D2-32F1-49D3-89A5-83BD84D5326F}"/>
    <cellStyle name="Normal 2 4 7 3" xfId="800" xr:uid="{00000000-0005-0000-0000-0000EA100000}"/>
    <cellStyle name="Normal 2 4 7 3 2" xfId="3039" xr:uid="{00000000-0005-0000-0000-0000EB100000}"/>
    <cellStyle name="Normal 2 4 7 3 2 2" xfId="7261" xr:uid="{00000000-0005-0000-0000-0000EC100000}"/>
    <cellStyle name="Normal 2 4 7 3 2 2 2" xfId="15711" xr:uid="{DCE8C571-666C-4E4D-B182-2307D93D22B4}"/>
    <cellStyle name="Normal 2 4 7 3 2 3" xfId="11493" xr:uid="{3927813D-2841-4DB7-AFD9-37E8F3B69511}"/>
    <cellStyle name="Normal 2 4 7 3 3" xfId="5116" xr:uid="{00000000-0005-0000-0000-0000ED100000}"/>
    <cellStyle name="Normal 2 4 7 3 3 2" xfId="13566" xr:uid="{1CC4D91F-D60C-4D3B-A651-767718097EF5}"/>
    <cellStyle name="Normal 2 4 7 3 4" xfId="9348" xr:uid="{6979F9DA-9281-4A6B-AC02-8E9601EE3E9F}"/>
    <cellStyle name="Normal 2 4 7 4" xfId="1222" xr:uid="{00000000-0005-0000-0000-0000EE100000}"/>
    <cellStyle name="Normal 2 4 7 4 2" xfId="3452" xr:uid="{00000000-0005-0000-0000-0000EF100000}"/>
    <cellStyle name="Normal 2 4 7 4 2 2" xfId="7674" xr:uid="{00000000-0005-0000-0000-0000F0100000}"/>
    <cellStyle name="Normal 2 4 7 4 2 2 2" xfId="16124" xr:uid="{0A8A1909-C047-489B-9029-21EC3F4BBD0D}"/>
    <cellStyle name="Normal 2 4 7 4 2 3" xfId="11906" xr:uid="{ECE8D374-FE80-4190-836D-E414F9E3CFCC}"/>
    <cellStyle name="Normal 2 4 7 4 3" xfId="5529" xr:uid="{00000000-0005-0000-0000-0000F1100000}"/>
    <cellStyle name="Normal 2 4 7 4 3 2" xfId="13979" xr:uid="{B3D42645-2273-40F9-8E28-8D5031D285B2}"/>
    <cellStyle name="Normal 2 4 7 4 4" xfId="9761" xr:uid="{56A3744F-857A-45F5-B5A5-A443E9F668D0}"/>
    <cellStyle name="Normal 2 4 7 5" xfId="1635" xr:uid="{00000000-0005-0000-0000-0000F2100000}"/>
    <cellStyle name="Normal 2 4 7 5 2" xfId="3865" xr:uid="{00000000-0005-0000-0000-0000F3100000}"/>
    <cellStyle name="Normal 2 4 7 5 2 2" xfId="8087" xr:uid="{00000000-0005-0000-0000-0000F4100000}"/>
    <cellStyle name="Normal 2 4 7 5 2 2 2" xfId="16537" xr:uid="{49079ACF-0357-4045-BC36-516570FCB633}"/>
    <cellStyle name="Normal 2 4 7 5 2 3" xfId="12319" xr:uid="{A43187A1-7F74-4110-AD7F-19AA184B3620}"/>
    <cellStyle name="Normal 2 4 7 5 3" xfId="5942" xr:uid="{00000000-0005-0000-0000-0000F5100000}"/>
    <cellStyle name="Normal 2 4 7 5 3 2" xfId="14392" xr:uid="{FAED0A9A-C75B-4496-BF07-2419FD01B1AE}"/>
    <cellStyle name="Normal 2 4 7 5 4" xfId="10174" xr:uid="{5AB9461A-E1B2-4C28-B6E1-2AEABADA2A16}"/>
    <cellStyle name="Normal 2 4 7 6" xfId="2049" xr:uid="{00000000-0005-0000-0000-0000F6100000}"/>
    <cellStyle name="Normal 2 4 7 6 2" xfId="4278" xr:uid="{00000000-0005-0000-0000-0000F7100000}"/>
    <cellStyle name="Normal 2 4 7 6 2 2" xfId="8500" xr:uid="{00000000-0005-0000-0000-0000F8100000}"/>
    <cellStyle name="Normal 2 4 7 6 2 2 2" xfId="16950" xr:uid="{BEAF8AEF-EA45-4EEA-BBDE-2EC4E31C7660}"/>
    <cellStyle name="Normal 2 4 7 6 2 3" xfId="12732" xr:uid="{516E51DF-D0AE-467D-8326-A32E8281D49A}"/>
    <cellStyle name="Normal 2 4 7 6 3" xfId="6355" xr:uid="{00000000-0005-0000-0000-0000F9100000}"/>
    <cellStyle name="Normal 2 4 7 6 3 2" xfId="14805" xr:uid="{C9E504AF-AC28-4D3C-BA8B-865632DD2C35}"/>
    <cellStyle name="Normal 2 4 7 6 4" xfId="10587" xr:uid="{8DE42EBA-8971-41B0-B66F-C9A13E78E1B5}"/>
    <cellStyle name="Normal 2 4 7 7" xfId="2485" xr:uid="{00000000-0005-0000-0000-0000FA100000}"/>
    <cellStyle name="Normal 2 4 7 7 2" xfId="6768" xr:uid="{00000000-0005-0000-0000-0000FB100000}"/>
    <cellStyle name="Normal 2 4 7 7 2 2" xfId="15218" xr:uid="{C83500B9-3D31-4891-BFCF-9AE65F67A9DF}"/>
    <cellStyle name="Normal 2 4 7 7 3" xfId="11000" xr:uid="{5D560A41-531C-43F6-9DBE-E607BBA105FC}"/>
    <cellStyle name="Normal 2 4 7 8" xfId="4702" xr:uid="{00000000-0005-0000-0000-0000FC100000}"/>
    <cellStyle name="Normal 2 4 7 8 2" xfId="13152" xr:uid="{B60B5DC9-3B57-4825-B2F3-AC4FA0553A6B}"/>
    <cellStyle name="Normal 2 4 7 9" xfId="8934" xr:uid="{591DE938-1AFE-4D7D-9653-B4FAC4D15DDF}"/>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2 2 2" xfId="15713" xr:uid="{9BB763B1-CB68-4C24-8144-179C3161BEC5}"/>
    <cellStyle name="Normal 2 4 8 2 2 3" xfId="11495" xr:uid="{689F70EB-D7B3-4E58-A05C-D354CE29FD11}"/>
    <cellStyle name="Normal 2 4 8 2 3" xfId="5118" xr:uid="{00000000-0005-0000-0000-000001110000}"/>
    <cellStyle name="Normal 2 4 8 2 3 2" xfId="13568" xr:uid="{7E6EC8E1-CB73-4F69-AE23-0A6856E508B2}"/>
    <cellStyle name="Normal 2 4 8 2 4" xfId="9350" xr:uid="{446DCFEB-93D7-4E42-A448-7E1CF6BF16F0}"/>
    <cellStyle name="Normal 2 4 8 3" xfId="1224" xr:uid="{00000000-0005-0000-0000-000002110000}"/>
    <cellStyle name="Normal 2 4 8 3 2" xfId="3454" xr:uid="{00000000-0005-0000-0000-000003110000}"/>
    <cellStyle name="Normal 2 4 8 3 2 2" xfId="7676" xr:uid="{00000000-0005-0000-0000-000004110000}"/>
    <cellStyle name="Normal 2 4 8 3 2 2 2" xfId="16126" xr:uid="{598348D3-8CC4-4872-B13F-9A5F33B5AD22}"/>
    <cellStyle name="Normal 2 4 8 3 2 3" xfId="11908" xr:uid="{A1572476-9C8F-41A9-8380-A3A39C13C8E1}"/>
    <cellStyle name="Normal 2 4 8 3 3" xfId="5531" xr:uid="{00000000-0005-0000-0000-000005110000}"/>
    <cellStyle name="Normal 2 4 8 3 3 2" xfId="13981" xr:uid="{66CFA117-B6A1-4493-A50E-2A81F1050343}"/>
    <cellStyle name="Normal 2 4 8 3 4" xfId="9763" xr:uid="{41306365-D230-4DEE-94B3-50CD93E95C4F}"/>
    <cellStyle name="Normal 2 4 8 4" xfId="1637" xr:uid="{00000000-0005-0000-0000-000006110000}"/>
    <cellStyle name="Normal 2 4 8 4 2" xfId="3867" xr:uid="{00000000-0005-0000-0000-000007110000}"/>
    <cellStyle name="Normal 2 4 8 4 2 2" xfId="8089" xr:uid="{00000000-0005-0000-0000-000008110000}"/>
    <cellStyle name="Normal 2 4 8 4 2 2 2" xfId="16539" xr:uid="{8BC9D44B-397F-4012-A9D7-919F9D827331}"/>
    <cellStyle name="Normal 2 4 8 4 2 3" xfId="12321" xr:uid="{4CE1ACA8-C39F-411B-B0D9-05283E05848F}"/>
    <cellStyle name="Normal 2 4 8 4 3" xfId="5944" xr:uid="{00000000-0005-0000-0000-000009110000}"/>
    <cellStyle name="Normal 2 4 8 4 3 2" xfId="14394" xr:uid="{47BBC8EA-96B6-4BC8-9C48-AE02E4140144}"/>
    <cellStyle name="Normal 2 4 8 4 4" xfId="10176" xr:uid="{77E2A29F-0CB4-45FA-B7D1-B1C153663527}"/>
    <cellStyle name="Normal 2 4 8 5" xfId="2051" xr:uid="{00000000-0005-0000-0000-00000A110000}"/>
    <cellStyle name="Normal 2 4 8 5 2" xfId="4280" xr:uid="{00000000-0005-0000-0000-00000B110000}"/>
    <cellStyle name="Normal 2 4 8 5 2 2" xfId="8502" xr:uid="{00000000-0005-0000-0000-00000C110000}"/>
    <cellStyle name="Normal 2 4 8 5 2 2 2" xfId="16952" xr:uid="{D8F4654D-D95E-4F70-AA56-A291DA3CA951}"/>
    <cellStyle name="Normal 2 4 8 5 2 3" xfId="12734" xr:uid="{42B7499A-27A2-4A15-A7F6-EA83B7ED55DB}"/>
    <cellStyle name="Normal 2 4 8 5 3" xfId="6357" xr:uid="{00000000-0005-0000-0000-00000D110000}"/>
    <cellStyle name="Normal 2 4 8 5 3 2" xfId="14807" xr:uid="{0D3F0E83-9FA0-4071-B4E4-4D544F3D8369}"/>
    <cellStyle name="Normal 2 4 8 5 4" xfId="10589" xr:uid="{08D6C48A-B55B-42AA-BC7A-BA9D4CAD6A0C}"/>
    <cellStyle name="Normal 2 4 8 6" xfId="2487" xr:uid="{00000000-0005-0000-0000-00000E110000}"/>
    <cellStyle name="Normal 2 4 8 6 2" xfId="6770" xr:uid="{00000000-0005-0000-0000-00000F110000}"/>
    <cellStyle name="Normal 2 4 8 6 2 2" xfId="15220" xr:uid="{02967911-EA21-4837-99F0-D6F033522E63}"/>
    <cellStyle name="Normal 2 4 8 6 3" xfId="11002" xr:uid="{6FCCD752-8534-4147-9118-9E4D68EE0034}"/>
    <cellStyle name="Normal 2 4 8 7" xfId="4704" xr:uid="{00000000-0005-0000-0000-000010110000}"/>
    <cellStyle name="Normal 2 4 8 7 2" xfId="13154" xr:uid="{8CBD030B-130D-49A0-8414-BCA16F375B69}"/>
    <cellStyle name="Normal 2 4 8 8" xfId="8936" xr:uid="{999CE937-6349-40FB-9C93-9D5A1865076E}"/>
    <cellStyle name="Normal 2 5" xfId="315" xr:uid="{00000000-0005-0000-0000-000011110000}"/>
    <cellStyle name="Normal 2 5 10" xfId="4705" xr:uid="{00000000-0005-0000-0000-000012110000}"/>
    <cellStyle name="Normal 2 5 10 2" xfId="13155" xr:uid="{A6469E93-B90C-42B3-8EC1-7897D3A0ED57}"/>
    <cellStyle name="Normal 2 5 11" xfId="8937" xr:uid="{68DB2E33-3A36-4719-AC9D-EF2503F319BA}"/>
    <cellStyle name="Normal 2 5 2" xfId="316" xr:uid="{00000000-0005-0000-0000-000013110000}"/>
    <cellStyle name="Normal 2 5 3" xfId="317" xr:uid="{00000000-0005-0000-0000-000014110000}"/>
    <cellStyle name="Normal 2 5 4" xfId="318" xr:uid="{00000000-0005-0000-0000-000015110000}"/>
    <cellStyle name="Normal 2 5 4 10" xfId="8938" xr:uid="{258D2478-81FE-4452-9266-1B720ED19D96}"/>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15717" xr:uid="{495472C3-E759-4440-B7B7-865B4776F5ED}"/>
    <cellStyle name="Normal 2 5 4 2 2 2 2 3" xfId="11499" xr:uid="{61475FEA-DA88-4000-A459-5E9AC4CD5E1E}"/>
    <cellStyle name="Normal 2 5 4 2 2 2 3" xfId="5122" xr:uid="{00000000-0005-0000-0000-00001B110000}"/>
    <cellStyle name="Normal 2 5 4 2 2 2 3 2" xfId="13572" xr:uid="{03DFF4FC-9A16-4A8A-A9AA-D4F352629F02}"/>
    <cellStyle name="Normal 2 5 4 2 2 2 4" xfId="9354" xr:uid="{9B449B7B-D14B-4983-8500-0CD9E941BBE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16130" xr:uid="{232A5256-F3AB-4B73-BBF7-5937A5C89C3A}"/>
    <cellStyle name="Normal 2 5 4 2 2 3 2 3" xfId="11912" xr:uid="{23CF038B-18D3-4149-924C-FC123CE61E7A}"/>
    <cellStyle name="Normal 2 5 4 2 2 3 3" xfId="5535" xr:uid="{00000000-0005-0000-0000-00001F110000}"/>
    <cellStyle name="Normal 2 5 4 2 2 3 3 2" xfId="13985" xr:uid="{77D2963D-02F7-4D69-B534-073F279A2BD5}"/>
    <cellStyle name="Normal 2 5 4 2 2 3 4" xfId="9767" xr:uid="{CA3FAC70-FEC3-45AF-833B-36294400EB68}"/>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16543" xr:uid="{8706A2A0-9735-483F-8A81-BEFE261B5E46}"/>
    <cellStyle name="Normal 2 5 4 2 2 4 2 3" xfId="12325" xr:uid="{49865D3B-4227-452F-8E93-5B856677882E}"/>
    <cellStyle name="Normal 2 5 4 2 2 4 3" xfId="5948" xr:uid="{00000000-0005-0000-0000-000023110000}"/>
    <cellStyle name="Normal 2 5 4 2 2 4 3 2" xfId="14398" xr:uid="{9581F131-6780-4EB0-B473-AF6F990AF2AD}"/>
    <cellStyle name="Normal 2 5 4 2 2 4 4" xfId="10180" xr:uid="{3F9E2F47-D5D9-4499-880F-A5E9B8C2C3F5}"/>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16956" xr:uid="{27427BE2-45AC-4F0A-9365-8E8C421CECE7}"/>
    <cellStyle name="Normal 2 5 4 2 2 5 2 3" xfId="12738" xr:uid="{B35266D6-B97E-4EC4-8BE7-E74D5B735828}"/>
    <cellStyle name="Normal 2 5 4 2 2 5 3" xfId="6361" xr:uid="{00000000-0005-0000-0000-000027110000}"/>
    <cellStyle name="Normal 2 5 4 2 2 5 3 2" xfId="14811" xr:uid="{20C8B4E0-6037-4548-A3E3-68C7B4948129}"/>
    <cellStyle name="Normal 2 5 4 2 2 5 4" xfId="10593" xr:uid="{0B6E2CDE-E3E9-483D-A231-5093F1D881D7}"/>
    <cellStyle name="Normal 2 5 4 2 2 6" xfId="2491" xr:uid="{00000000-0005-0000-0000-000028110000}"/>
    <cellStyle name="Normal 2 5 4 2 2 6 2" xfId="6774" xr:uid="{00000000-0005-0000-0000-000029110000}"/>
    <cellStyle name="Normal 2 5 4 2 2 6 2 2" xfId="15224" xr:uid="{6F8E2D8F-B50D-42B2-899A-6355FD186785}"/>
    <cellStyle name="Normal 2 5 4 2 2 6 3" xfId="11006" xr:uid="{7A27183D-0393-47B6-961F-3E2DDDEFBDD7}"/>
    <cellStyle name="Normal 2 5 4 2 2 7" xfId="4708" xr:uid="{00000000-0005-0000-0000-00002A110000}"/>
    <cellStyle name="Normal 2 5 4 2 2 7 2" xfId="13158" xr:uid="{93FD615B-61A2-4702-BFAC-8ADA62D39B7E}"/>
    <cellStyle name="Normal 2 5 4 2 2 8" xfId="8940" xr:uid="{482E09A5-4133-458F-9AB1-AD6050E42A8C}"/>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15716" xr:uid="{20F6E772-E906-46BB-AB21-4EE0F4A355A8}"/>
    <cellStyle name="Normal 2 5 4 2 3 2 3" xfId="11498" xr:uid="{2E57F657-745B-41DB-AA2B-C170D35E6075}"/>
    <cellStyle name="Normal 2 5 4 2 3 3" xfId="5121" xr:uid="{00000000-0005-0000-0000-00002E110000}"/>
    <cellStyle name="Normal 2 5 4 2 3 3 2" xfId="13571" xr:uid="{8E4DE940-FD46-482F-95DD-D5F066BC19D2}"/>
    <cellStyle name="Normal 2 5 4 2 3 4" xfId="9353" xr:uid="{3759E3CD-3D6C-45DF-ADBB-CE97434B506D}"/>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16129" xr:uid="{1FBBF6C0-732D-46B3-ADB5-714BA6CFF62F}"/>
    <cellStyle name="Normal 2 5 4 2 4 2 3" xfId="11911" xr:uid="{FBF75BD2-70C0-460D-B971-CBECEE44AA65}"/>
    <cellStyle name="Normal 2 5 4 2 4 3" xfId="5534" xr:uid="{00000000-0005-0000-0000-000032110000}"/>
    <cellStyle name="Normal 2 5 4 2 4 3 2" xfId="13984" xr:uid="{215C3100-1B33-4C2C-845B-C94BD929AA36}"/>
    <cellStyle name="Normal 2 5 4 2 4 4" xfId="9766" xr:uid="{257D1192-BE7B-4BCE-9B07-A9E7F525DE50}"/>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16542" xr:uid="{DB49AE92-FAF5-4E82-B061-4F2537C3DCE2}"/>
    <cellStyle name="Normal 2 5 4 2 5 2 3" xfId="12324" xr:uid="{BDCA5A39-6F51-4AAA-BE0E-F282897BA08C}"/>
    <cellStyle name="Normal 2 5 4 2 5 3" xfId="5947" xr:uid="{00000000-0005-0000-0000-000036110000}"/>
    <cellStyle name="Normal 2 5 4 2 5 3 2" xfId="14397" xr:uid="{4EDEAF23-82D3-4263-8622-DA7A69CE653B}"/>
    <cellStyle name="Normal 2 5 4 2 5 4" xfId="10179" xr:uid="{DC6AF7B7-E576-4751-8835-CB7586DA0D52}"/>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16955" xr:uid="{9C8C1BAC-94DD-4010-9870-238EF27F8339}"/>
    <cellStyle name="Normal 2 5 4 2 6 2 3" xfId="12737" xr:uid="{AA11D238-892C-4830-BF11-B31CB6A6A059}"/>
    <cellStyle name="Normal 2 5 4 2 6 3" xfId="6360" xr:uid="{00000000-0005-0000-0000-00003A110000}"/>
    <cellStyle name="Normal 2 5 4 2 6 3 2" xfId="14810" xr:uid="{C3E98530-6CE3-4083-B87D-6FEEFE6F81A9}"/>
    <cellStyle name="Normal 2 5 4 2 6 4" xfId="10592" xr:uid="{5752D88B-844D-4440-91B3-CCE6C39E3782}"/>
    <cellStyle name="Normal 2 5 4 2 7" xfId="2490" xr:uid="{00000000-0005-0000-0000-00003B110000}"/>
    <cellStyle name="Normal 2 5 4 2 7 2" xfId="6773" xr:uid="{00000000-0005-0000-0000-00003C110000}"/>
    <cellStyle name="Normal 2 5 4 2 7 2 2" xfId="15223" xr:uid="{D492116F-6AE3-4BC1-B277-65DD98302F43}"/>
    <cellStyle name="Normal 2 5 4 2 7 3" xfId="11005" xr:uid="{832A5FCF-AE74-4357-AFC7-17AE9FE28EEF}"/>
    <cellStyle name="Normal 2 5 4 2 8" xfId="4707" xr:uid="{00000000-0005-0000-0000-00003D110000}"/>
    <cellStyle name="Normal 2 5 4 2 8 2" xfId="13157" xr:uid="{A37E4115-DC93-4903-AB80-46C345AA5AEB}"/>
    <cellStyle name="Normal 2 5 4 2 9" xfId="8939" xr:uid="{9F9F4FFD-E69B-4EA1-8612-47B8387A74A8}"/>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15718" xr:uid="{5DDA9930-B87F-453C-ABAA-DC60C673F28F}"/>
    <cellStyle name="Normal 2 5 4 3 2 2 3" xfId="11500" xr:uid="{7FCABD94-A8E7-4EC0-B7A4-467F31220A11}"/>
    <cellStyle name="Normal 2 5 4 3 2 3" xfId="5123" xr:uid="{00000000-0005-0000-0000-000042110000}"/>
    <cellStyle name="Normal 2 5 4 3 2 3 2" xfId="13573" xr:uid="{F17B4824-CA09-4344-82F7-D6C42D270C09}"/>
    <cellStyle name="Normal 2 5 4 3 2 4" xfId="9355" xr:uid="{20654950-4E54-48B0-BAEE-7125A08E28DD}"/>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16131" xr:uid="{F963BB94-AB75-4D2C-85F6-350DCAC06F6E}"/>
    <cellStyle name="Normal 2 5 4 3 3 2 3" xfId="11913" xr:uid="{899400C5-7565-40A9-8657-F23273EC0B97}"/>
    <cellStyle name="Normal 2 5 4 3 3 3" xfId="5536" xr:uid="{00000000-0005-0000-0000-000046110000}"/>
    <cellStyle name="Normal 2 5 4 3 3 3 2" xfId="13986" xr:uid="{744BE7CD-27C1-4FD4-9309-21E3CF615BB5}"/>
    <cellStyle name="Normal 2 5 4 3 3 4" xfId="9768" xr:uid="{EA11DE2F-DA44-4629-84F4-2401DE3D273C}"/>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16544" xr:uid="{5D2FA76C-8325-4DA3-B561-EBBF39753E8E}"/>
    <cellStyle name="Normal 2 5 4 3 4 2 3" xfId="12326" xr:uid="{FC95AA14-8072-4843-B16C-CCD1F10F915D}"/>
    <cellStyle name="Normal 2 5 4 3 4 3" xfId="5949" xr:uid="{00000000-0005-0000-0000-00004A110000}"/>
    <cellStyle name="Normal 2 5 4 3 4 3 2" xfId="14399" xr:uid="{0BCBCE9B-1CE1-40DD-9542-7365982F9EB6}"/>
    <cellStyle name="Normal 2 5 4 3 4 4" xfId="10181" xr:uid="{C1644205-A042-405A-9408-6EF5DE4D8C41}"/>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16957" xr:uid="{342170B2-C19C-4357-9235-73D424BED2BA}"/>
    <cellStyle name="Normal 2 5 4 3 5 2 3" xfId="12739" xr:uid="{37A5A3F4-2B09-4E39-9DC5-EA5B11594F3F}"/>
    <cellStyle name="Normal 2 5 4 3 5 3" xfId="6362" xr:uid="{00000000-0005-0000-0000-00004E110000}"/>
    <cellStyle name="Normal 2 5 4 3 5 3 2" xfId="14812" xr:uid="{5BFCF44B-A78F-490D-A6BB-113F16167AAA}"/>
    <cellStyle name="Normal 2 5 4 3 5 4" xfId="10594" xr:uid="{96C3BA44-C455-4935-8434-603F0AF50749}"/>
    <cellStyle name="Normal 2 5 4 3 6" xfId="2492" xr:uid="{00000000-0005-0000-0000-00004F110000}"/>
    <cellStyle name="Normal 2 5 4 3 6 2" xfId="6775" xr:uid="{00000000-0005-0000-0000-000050110000}"/>
    <cellStyle name="Normal 2 5 4 3 6 2 2" xfId="15225" xr:uid="{944E71DA-7893-4A8B-A108-4D2EF54D15CC}"/>
    <cellStyle name="Normal 2 5 4 3 6 3" xfId="11007" xr:uid="{0E41D271-53EC-42FD-9C67-791E1D455AD2}"/>
    <cellStyle name="Normal 2 5 4 3 7" xfId="4709" xr:uid="{00000000-0005-0000-0000-000051110000}"/>
    <cellStyle name="Normal 2 5 4 3 7 2" xfId="13159" xr:uid="{7C9DE759-B496-490B-98D8-37D2C1C7BA42}"/>
    <cellStyle name="Normal 2 5 4 3 8" xfId="8941" xr:uid="{13200745-6382-46B9-B02E-235DE4402AD9}"/>
    <cellStyle name="Normal 2 5 4 4" xfId="804" xr:uid="{00000000-0005-0000-0000-000052110000}"/>
    <cellStyle name="Normal 2 5 4 4 2" xfId="3043" xr:uid="{00000000-0005-0000-0000-000053110000}"/>
    <cellStyle name="Normal 2 5 4 4 2 2" xfId="7265" xr:uid="{00000000-0005-0000-0000-000054110000}"/>
    <cellStyle name="Normal 2 5 4 4 2 2 2" xfId="15715" xr:uid="{71AD465B-E155-4345-A6F9-2AFD7C0AC5C1}"/>
    <cellStyle name="Normal 2 5 4 4 2 3" xfId="11497" xr:uid="{5B12C565-E4F8-438C-ABD5-526E162C9A80}"/>
    <cellStyle name="Normal 2 5 4 4 3" xfId="5120" xr:uid="{00000000-0005-0000-0000-000055110000}"/>
    <cellStyle name="Normal 2 5 4 4 3 2" xfId="13570" xr:uid="{A567574F-5F5E-436C-9DBB-C71CB4E0EBAD}"/>
    <cellStyle name="Normal 2 5 4 4 4" xfId="9352" xr:uid="{9920A8D2-6979-4CA8-9207-94EA835F75C4}"/>
    <cellStyle name="Normal 2 5 4 5" xfId="1226" xr:uid="{00000000-0005-0000-0000-000056110000}"/>
    <cellStyle name="Normal 2 5 4 5 2" xfId="3456" xr:uid="{00000000-0005-0000-0000-000057110000}"/>
    <cellStyle name="Normal 2 5 4 5 2 2" xfId="7678" xr:uid="{00000000-0005-0000-0000-000058110000}"/>
    <cellStyle name="Normal 2 5 4 5 2 2 2" xfId="16128" xr:uid="{82B43114-36CE-4082-853E-8E3566747785}"/>
    <cellStyle name="Normal 2 5 4 5 2 3" xfId="11910" xr:uid="{9C2B92E1-0286-4472-9F63-2B27CC1C6620}"/>
    <cellStyle name="Normal 2 5 4 5 3" xfId="5533" xr:uid="{00000000-0005-0000-0000-000059110000}"/>
    <cellStyle name="Normal 2 5 4 5 3 2" xfId="13983" xr:uid="{4F82C40A-5881-48AB-A768-40C8792A2FAC}"/>
    <cellStyle name="Normal 2 5 4 5 4" xfId="9765" xr:uid="{5DC61F6C-1BF8-4705-8DCC-EF95A5C0C55B}"/>
    <cellStyle name="Normal 2 5 4 6" xfId="1639" xr:uid="{00000000-0005-0000-0000-00005A110000}"/>
    <cellStyle name="Normal 2 5 4 6 2" xfId="3869" xr:uid="{00000000-0005-0000-0000-00005B110000}"/>
    <cellStyle name="Normal 2 5 4 6 2 2" xfId="8091" xr:uid="{00000000-0005-0000-0000-00005C110000}"/>
    <cellStyle name="Normal 2 5 4 6 2 2 2" xfId="16541" xr:uid="{A5F7173D-F975-4A11-BB8B-0DB3F27ED6D3}"/>
    <cellStyle name="Normal 2 5 4 6 2 3" xfId="12323" xr:uid="{2E1004EF-D235-4591-881D-5C1D9152132F}"/>
    <cellStyle name="Normal 2 5 4 6 3" xfId="5946" xr:uid="{00000000-0005-0000-0000-00005D110000}"/>
    <cellStyle name="Normal 2 5 4 6 3 2" xfId="14396" xr:uid="{B61539B0-0993-4EC7-9E9D-B90D3EE76088}"/>
    <cellStyle name="Normal 2 5 4 6 4" xfId="10178" xr:uid="{E8AA103C-EB53-451E-B65C-9E2D6343B1EB}"/>
    <cellStyle name="Normal 2 5 4 7" xfId="2053" xr:uid="{00000000-0005-0000-0000-00005E110000}"/>
    <cellStyle name="Normal 2 5 4 7 2" xfId="4282" xr:uid="{00000000-0005-0000-0000-00005F110000}"/>
    <cellStyle name="Normal 2 5 4 7 2 2" xfId="8504" xr:uid="{00000000-0005-0000-0000-000060110000}"/>
    <cellStyle name="Normal 2 5 4 7 2 2 2" xfId="16954" xr:uid="{250F1ABE-2CDC-467E-A071-462BF575E468}"/>
    <cellStyle name="Normal 2 5 4 7 2 3" xfId="12736" xr:uid="{6A2E27EF-1015-4ACE-ACB3-ACCC4FAAE101}"/>
    <cellStyle name="Normal 2 5 4 7 3" xfId="6359" xr:uid="{00000000-0005-0000-0000-000061110000}"/>
    <cellStyle name="Normal 2 5 4 7 3 2" xfId="14809" xr:uid="{320388FD-B972-4F53-A779-1AAD81C63345}"/>
    <cellStyle name="Normal 2 5 4 7 4" xfId="10591" xr:uid="{A4BDF94E-D35D-428D-BC6F-3B28F542FF32}"/>
    <cellStyle name="Normal 2 5 4 8" xfId="2489" xr:uid="{00000000-0005-0000-0000-000062110000}"/>
    <cellStyle name="Normal 2 5 4 8 2" xfId="6772" xr:uid="{00000000-0005-0000-0000-000063110000}"/>
    <cellStyle name="Normal 2 5 4 8 2 2" xfId="15222" xr:uid="{9566DB43-5E38-4121-B0E5-5F7D3DE0FFA0}"/>
    <cellStyle name="Normal 2 5 4 8 3" xfId="11004" xr:uid="{253ABE67-3168-4361-A756-80185FB6CE46}"/>
    <cellStyle name="Normal 2 5 4 9" xfId="4706" xr:uid="{00000000-0005-0000-0000-000064110000}"/>
    <cellStyle name="Normal 2 5 4 9 2" xfId="13156" xr:uid="{E61FA0DE-BA3F-490A-B424-037DC5DD24B9}"/>
    <cellStyle name="Normal 2 5 5" xfId="803" xr:uid="{00000000-0005-0000-0000-000065110000}"/>
    <cellStyle name="Normal 2 5 5 2" xfId="3042" xr:uid="{00000000-0005-0000-0000-000066110000}"/>
    <cellStyle name="Normal 2 5 5 2 2" xfId="7264" xr:uid="{00000000-0005-0000-0000-000067110000}"/>
    <cellStyle name="Normal 2 5 5 2 2 2" xfId="15714" xr:uid="{32A8180A-3215-4AB7-8FD2-6803748DD687}"/>
    <cellStyle name="Normal 2 5 5 2 3" xfId="11496" xr:uid="{9FDCDC2E-F6A5-4BE4-8995-9E9324D945F3}"/>
    <cellStyle name="Normal 2 5 5 3" xfId="5119" xr:uid="{00000000-0005-0000-0000-000068110000}"/>
    <cellStyle name="Normal 2 5 5 3 2" xfId="13569" xr:uid="{851C0B76-21B1-4788-AD5E-CADFD5C4C0AE}"/>
    <cellStyle name="Normal 2 5 5 4" xfId="9351" xr:uid="{8458838F-940E-481E-B76C-92CE05DCF8F4}"/>
    <cellStyle name="Normal 2 5 6" xfId="1225" xr:uid="{00000000-0005-0000-0000-000069110000}"/>
    <cellStyle name="Normal 2 5 6 2" xfId="3455" xr:uid="{00000000-0005-0000-0000-00006A110000}"/>
    <cellStyle name="Normal 2 5 6 2 2" xfId="7677" xr:uid="{00000000-0005-0000-0000-00006B110000}"/>
    <cellStyle name="Normal 2 5 6 2 2 2" xfId="16127" xr:uid="{B8DC6E72-C1D1-4CC2-BB57-1E645883D2AA}"/>
    <cellStyle name="Normal 2 5 6 2 3" xfId="11909" xr:uid="{1A5E4FCD-9106-4A41-8C46-96E9C766C198}"/>
    <cellStyle name="Normal 2 5 6 3" xfId="5532" xr:uid="{00000000-0005-0000-0000-00006C110000}"/>
    <cellStyle name="Normal 2 5 6 3 2" xfId="13982" xr:uid="{6BA37979-A993-4D8D-AB06-47E4C26A2099}"/>
    <cellStyle name="Normal 2 5 6 4" xfId="9764" xr:uid="{DD553B7F-B543-4EFE-9EE3-84019FA7F048}"/>
    <cellStyle name="Normal 2 5 7" xfId="1638" xr:uid="{00000000-0005-0000-0000-00006D110000}"/>
    <cellStyle name="Normal 2 5 7 2" xfId="3868" xr:uid="{00000000-0005-0000-0000-00006E110000}"/>
    <cellStyle name="Normal 2 5 7 2 2" xfId="8090" xr:uid="{00000000-0005-0000-0000-00006F110000}"/>
    <cellStyle name="Normal 2 5 7 2 2 2" xfId="16540" xr:uid="{FDFA7E0E-7B7A-4284-9794-B0992C636F56}"/>
    <cellStyle name="Normal 2 5 7 2 3" xfId="12322" xr:uid="{823A4567-01B5-4D89-93AB-AD5109E7B476}"/>
    <cellStyle name="Normal 2 5 7 3" xfId="5945" xr:uid="{00000000-0005-0000-0000-000070110000}"/>
    <cellStyle name="Normal 2 5 7 3 2" xfId="14395" xr:uid="{E9C929A7-A00F-46B7-AA69-9F5B18917B24}"/>
    <cellStyle name="Normal 2 5 7 4" xfId="10177" xr:uid="{A697FACF-318E-4A52-B1BF-758F6BE10C9C}"/>
    <cellStyle name="Normal 2 5 8" xfId="2052" xr:uid="{00000000-0005-0000-0000-000071110000}"/>
    <cellStyle name="Normal 2 5 8 2" xfId="4281" xr:uid="{00000000-0005-0000-0000-000072110000}"/>
    <cellStyle name="Normal 2 5 8 2 2" xfId="8503" xr:uid="{00000000-0005-0000-0000-000073110000}"/>
    <cellStyle name="Normal 2 5 8 2 2 2" xfId="16953" xr:uid="{466EBCC4-370C-4606-ABEA-CDC2E10CFC24}"/>
    <cellStyle name="Normal 2 5 8 2 3" xfId="12735" xr:uid="{D589B496-EFEA-4CDB-B980-285ED345BB8F}"/>
    <cellStyle name="Normal 2 5 8 3" xfId="6358" xr:uid="{00000000-0005-0000-0000-000074110000}"/>
    <cellStyle name="Normal 2 5 8 3 2" xfId="14808" xr:uid="{77B39711-6124-418C-BD64-D0CD620F8BB9}"/>
    <cellStyle name="Normal 2 5 8 4" xfId="10590" xr:uid="{6AD4883B-F46D-4E50-AE37-E9B2AA46B804}"/>
    <cellStyle name="Normal 2 5 9" xfId="2488" xr:uid="{00000000-0005-0000-0000-000075110000}"/>
    <cellStyle name="Normal 2 5 9 2" xfId="6771" xr:uid="{00000000-0005-0000-0000-000076110000}"/>
    <cellStyle name="Normal 2 5 9 2 2" xfId="15221" xr:uid="{F82E4826-6D91-435B-B1A8-D14A641E2E7C}"/>
    <cellStyle name="Normal 2 5 9 3" xfId="11003" xr:uid="{4AAE7F71-D032-418A-9B59-414AA1FE05B7}"/>
    <cellStyle name="Normal 2 6" xfId="322" xr:uid="{00000000-0005-0000-0000-000077110000}"/>
    <cellStyle name="Normal 2 7" xfId="769" xr:uid="{00000000-0005-0000-0000-000078110000}"/>
    <cellStyle name="Normal 2 8" xfId="4495" xr:uid="{00000000-0005-0000-0000-000079110000}"/>
    <cellStyle name="Normal 2 8 2" xfId="12947" xr:uid="{065EAB1F-1DDD-4A69-9577-D6B19067C26E}"/>
    <cellStyle name="Normal 3" xfId="323" xr:uid="{00000000-0005-0000-0000-00007A110000}"/>
    <cellStyle name="Normal 3 2" xfId="324" xr:uid="{00000000-0005-0000-0000-00007B110000}"/>
    <cellStyle name="Normal 3 2 10" xfId="8942" xr:uid="{3C368063-0C78-4467-98CF-10CC2F85E79B}"/>
    <cellStyle name="Normal 3 2 2" xfId="325" xr:uid="{00000000-0005-0000-0000-00007C110000}"/>
    <cellStyle name="Normal 3 2 2 2" xfId="810" xr:uid="{00000000-0005-0000-0000-00007D110000}"/>
    <cellStyle name="Normal 3 2 3" xfId="326" xr:uid="{00000000-0005-0000-0000-00007E110000}"/>
    <cellStyle name="Normal 3 2 3 10" xfId="8943" xr:uid="{EA3F2B68-E518-4D96-87A0-7DFBA3BEDB48}"/>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15722" xr:uid="{9DEB4B65-06CA-4548-9FE3-8AC7E1B8EC2C}"/>
    <cellStyle name="Normal 3 2 3 2 2 2 2 3" xfId="11504" xr:uid="{56D96FCC-2AC0-445B-9808-455B0BE0755E}"/>
    <cellStyle name="Normal 3 2 3 2 2 2 3" xfId="5127" xr:uid="{00000000-0005-0000-0000-000084110000}"/>
    <cellStyle name="Normal 3 2 3 2 2 2 3 2" xfId="13577" xr:uid="{E5949383-852E-48BE-9521-AF11B7755B95}"/>
    <cellStyle name="Normal 3 2 3 2 2 2 4" xfId="9359" xr:uid="{1AF77D48-47A8-40B5-B32B-5AFA668E49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16135" xr:uid="{F083CA66-5B03-492B-9E81-8F6787AE923A}"/>
    <cellStyle name="Normal 3 2 3 2 2 3 2 3" xfId="11917" xr:uid="{8DAEDC3C-39CE-499F-A4D6-9A39B2231824}"/>
    <cellStyle name="Normal 3 2 3 2 2 3 3" xfId="5540" xr:uid="{00000000-0005-0000-0000-000088110000}"/>
    <cellStyle name="Normal 3 2 3 2 2 3 3 2" xfId="13990" xr:uid="{44A106F0-8828-4AC3-A857-902D9FD64D4A}"/>
    <cellStyle name="Normal 3 2 3 2 2 3 4" xfId="9772" xr:uid="{8C94976D-D1FE-47E4-9225-D58B5CDE076A}"/>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16548" xr:uid="{1894BDC0-7DCE-471A-8BE3-1A9FA013735B}"/>
    <cellStyle name="Normal 3 2 3 2 2 4 2 3" xfId="12330" xr:uid="{79567F0D-2C67-4AA4-BB8C-6274BEACB7DE}"/>
    <cellStyle name="Normal 3 2 3 2 2 4 3" xfId="5953" xr:uid="{00000000-0005-0000-0000-00008C110000}"/>
    <cellStyle name="Normal 3 2 3 2 2 4 3 2" xfId="14403" xr:uid="{9DADBCA7-396E-490C-A305-6AC07FD4F6FD}"/>
    <cellStyle name="Normal 3 2 3 2 2 4 4" xfId="10185" xr:uid="{0E9E94F9-96D8-4DD6-9777-D9E5B5400D91}"/>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16961" xr:uid="{5ABF08BE-8C36-4E23-9C33-6128A4CE95C1}"/>
    <cellStyle name="Normal 3 2 3 2 2 5 2 3" xfId="12743" xr:uid="{593AAD23-0AF6-484C-BBB3-2382931620DA}"/>
    <cellStyle name="Normal 3 2 3 2 2 5 3" xfId="6366" xr:uid="{00000000-0005-0000-0000-000090110000}"/>
    <cellStyle name="Normal 3 2 3 2 2 5 3 2" xfId="14816" xr:uid="{23B676D2-C82B-4E22-9F6E-A7F1C23A1E52}"/>
    <cellStyle name="Normal 3 2 3 2 2 5 4" xfId="10598" xr:uid="{BBB73BE2-92FD-4235-83AB-81FB8917A423}"/>
    <cellStyle name="Normal 3 2 3 2 2 6" xfId="2496" xr:uid="{00000000-0005-0000-0000-000091110000}"/>
    <cellStyle name="Normal 3 2 3 2 2 6 2" xfId="6779" xr:uid="{00000000-0005-0000-0000-000092110000}"/>
    <cellStyle name="Normal 3 2 3 2 2 6 2 2" xfId="15229" xr:uid="{38D0F2FD-E3C3-4EC8-A8E9-F06E875968B8}"/>
    <cellStyle name="Normal 3 2 3 2 2 6 3" xfId="11011" xr:uid="{E41CFA1A-32C5-4924-82F6-12AA2D6E7C77}"/>
    <cellStyle name="Normal 3 2 3 2 2 7" xfId="4713" xr:uid="{00000000-0005-0000-0000-000093110000}"/>
    <cellStyle name="Normal 3 2 3 2 2 7 2" xfId="13163" xr:uid="{A92037AA-B718-4453-A915-BB94A727FDEC}"/>
    <cellStyle name="Normal 3 2 3 2 2 8" xfId="8945" xr:uid="{C4B94BD3-293D-4FA0-8150-A7BB3BDD5EB6}"/>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15721" xr:uid="{797FC8B5-DD1A-4E9F-9453-C933B01BE7F0}"/>
    <cellStyle name="Normal 3 2 3 2 3 2 3" xfId="11503" xr:uid="{1B636B72-DB43-435D-9CF2-201CB17AF256}"/>
    <cellStyle name="Normal 3 2 3 2 3 3" xfId="5126" xr:uid="{00000000-0005-0000-0000-000097110000}"/>
    <cellStyle name="Normal 3 2 3 2 3 3 2" xfId="13576" xr:uid="{B9D7863E-609E-450E-8352-31CF5ADED5AC}"/>
    <cellStyle name="Normal 3 2 3 2 3 4" xfId="9358" xr:uid="{6F980081-A8C6-4265-9981-DDE8E781A7D7}"/>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16134" xr:uid="{176D84EC-19A2-4282-82E8-084CBC34DCC6}"/>
    <cellStyle name="Normal 3 2 3 2 4 2 3" xfId="11916" xr:uid="{7D278018-7CD1-47E2-A7EE-0AE2307DFB08}"/>
    <cellStyle name="Normal 3 2 3 2 4 3" xfId="5539" xr:uid="{00000000-0005-0000-0000-00009B110000}"/>
    <cellStyle name="Normal 3 2 3 2 4 3 2" xfId="13989" xr:uid="{50D5DD13-A33A-483C-A1FE-83384B183AC6}"/>
    <cellStyle name="Normal 3 2 3 2 4 4" xfId="9771" xr:uid="{889E8D2A-124C-4F38-92A2-02F62D3A694A}"/>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16547" xr:uid="{7A3FF85F-70A9-44DC-B342-0A49953DB89D}"/>
    <cellStyle name="Normal 3 2 3 2 5 2 3" xfId="12329" xr:uid="{00CC6294-6AF3-46CB-BD59-D32DDBF874D2}"/>
    <cellStyle name="Normal 3 2 3 2 5 3" xfId="5952" xr:uid="{00000000-0005-0000-0000-00009F110000}"/>
    <cellStyle name="Normal 3 2 3 2 5 3 2" xfId="14402" xr:uid="{A995EA3B-B6AA-44E3-9E1B-0B1C7FA76481}"/>
    <cellStyle name="Normal 3 2 3 2 5 4" xfId="10184" xr:uid="{AC896390-97A0-4EFF-9BC6-CDC8EF004160}"/>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16960" xr:uid="{35DAE41A-267C-463A-8190-819F718B20D9}"/>
    <cellStyle name="Normal 3 2 3 2 6 2 3" xfId="12742" xr:uid="{D295D6F9-3477-4D5B-925B-64489DCB99CA}"/>
    <cellStyle name="Normal 3 2 3 2 6 3" xfId="6365" xr:uid="{00000000-0005-0000-0000-0000A3110000}"/>
    <cellStyle name="Normal 3 2 3 2 6 3 2" xfId="14815" xr:uid="{7030EC50-AFC8-46D0-9A9C-39EFE0279A91}"/>
    <cellStyle name="Normal 3 2 3 2 6 4" xfId="10597" xr:uid="{82C57CFC-571D-435C-92B1-4282343CB0B5}"/>
    <cellStyle name="Normal 3 2 3 2 7" xfId="2495" xr:uid="{00000000-0005-0000-0000-0000A4110000}"/>
    <cellStyle name="Normal 3 2 3 2 7 2" xfId="6778" xr:uid="{00000000-0005-0000-0000-0000A5110000}"/>
    <cellStyle name="Normal 3 2 3 2 7 2 2" xfId="15228" xr:uid="{9B18F29C-7AAE-46B2-83BB-D3EC1A9FF69D}"/>
    <cellStyle name="Normal 3 2 3 2 7 3" xfId="11010" xr:uid="{24CFD1CF-1562-470B-AE5B-B678588B52D6}"/>
    <cellStyle name="Normal 3 2 3 2 8" xfId="4712" xr:uid="{00000000-0005-0000-0000-0000A6110000}"/>
    <cellStyle name="Normal 3 2 3 2 8 2" xfId="13162" xr:uid="{19DC9826-082E-4AC4-9F93-CD6752EFE535}"/>
    <cellStyle name="Normal 3 2 3 2 9" xfId="8944" xr:uid="{C54E5AD0-732A-4FC8-A976-5C62FACB600A}"/>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15723" xr:uid="{855A46F5-8583-4374-803D-808A75F45C98}"/>
    <cellStyle name="Normal 3 2 3 3 2 2 3" xfId="11505" xr:uid="{2A0E25A8-32A1-4744-BD6B-37B2376F093B}"/>
    <cellStyle name="Normal 3 2 3 3 2 3" xfId="5128" xr:uid="{00000000-0005-0000-0000-0000AB110000}"/>
    <cellStyle name="Normal 3 2 3 3 2 3 2" xfId="13578" xr:uid="{DD92E3D7-60E9-4712-9FA0-D36546D67634}"/>
    <cellStyle name="Normal 3 2 3 3 2 4" xfId="9360" xr:uid="{0347E580-EB4C-4011-86F3-8EECF4E51BD6}"/>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16136" xr:uid="{4870D4CB-13DC-481C-9FFF-38ECB8C3875B}"/>
    <cellStyle name="Normal 3 2 3 3 3 2 3" xfId="11918" xr:uid="{DAE03449-1AD3-428B-AE10-B4144FDBBF52}"/>
    <cellStyle name="Normal 3 2 3 3 3 3" xfId="5541" xr:uid="{00000000-0005-0000-0000-0000AF110000}"/>
    <cellStyle name="Normal 3 2 3 3 3 3 2" xfId="13991" xr:uid="{DA6BCEEF-1F2F-4CF0-9287-51B1297E5683}"/>
    <cellStyle name="Normal 3 2 3 3 3 4" xfId="9773" xr:uid="{BB3FD16A-DBFB-4517-A189-30E701884D73}"/>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16549" xr:uid="{5499A2F9-4399-47FE-A0B4-EA43E9EC96B0}"/>
    <cellStyle name="Normal 3 2 3 3 4 2 3" xfId="12331" xr:uid="{44DD5E08-766A-4F03-A026-CA69A8E10900}"/>
    <cellStyle name="Normal 3 2 3 3 4 3" xfId="5954" xr:uid="{00000000-0005-0000-0000-0000B3110000}"/>
    <cellStyle name="Normal 3 2 3 3 4 3 2" xfId="14404" xr:uid="{BF10B10B-08F4-432F-8ED1-D59787D6D65F}"/>
    <cellStyle name="Normal 3 2 3 3 4 4" xfId="10186" xr:uid="{FBDCD53A-8F74-4788-977E-0CA7EFC3DA1F}"/>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16962" xr:uid="{D8E70B78-0068-43FB-95EF-42C7569D4634}"/>
    <cellStyle name="Normal 3 2 3 3 5 2 3" xfId="12744" xr:uid="{A93A8B64-5F34-4D17-8CA9-7E332FB7CF53}"/>
    <cellStyle name="Normal 3 2 3 3 5 3" xfId="6367" xr:uid="{00000000-0005-0000-0000-0000B7110000}"/>
    <cellStyle name="Normal 3 2 3 3 5 3 2" xfId="14817" xr:uid="{52B9010C-1738-444D-A63A-6FFBC3585BF2}"/>
    <cellStyle name="Normal 3 2 3 3 5 4" xfId="10599" xr:uid="{2E7E7EA0-E249-46D2-8541-8ACBE82E4828}"/>
    <cellStyle name="Normal 3 2 3 3 6" xfId="2497" xr:uid="{00000000-0005-0000-0000-0000B8110000}"/>
    <cellStyle name="Normal 3 2 3 3 6 2" xfId="6780" xr:uid="{00000000-0005-0000-0000-0000B9110000}"/>
    <cellStyle name="Normal 3 2 3 3 6 2 2" xfId="15230" xr:uid="{F6A4AE58-CADD-486B-A7A5-AB054767290A}"/>
    <cellStyle name="Normal 3 2 3 3 6 3" xfId="11012" xr:uid="{823AE748-67BD-47F5-9FB0-FA6D0DC299AD}"/>
    <cellStyle name="Normal 3 2 3 3 7" xfId="4714" xr:uid="{00000000-0005-0000-0000-0000BA110000}"/>
    <cellStyle name="Normal 3 2 3 3 7 2" xfId="13164" xr:uid="{C8B3F8C9-21BC-4029-AD34-7A1BFBD512F2}"/>
    <cellStyle name="Normal 3 2 3 3 8" xfId="8946" xr:uid="{7E796270-7319-4FD5-AD6F-48C6DF5D1037}"/>
    <cellStyle name="Normal 3 2 3 4" xfId="811" xr:uid="{00000000-0005-0000-0000-0000BB110000}"/>
    <cellStyle name="Normal 3 2 3 4 2" xfId="3048" xr:uid="{00000000-0005-0000-0000-0000BC110000}"/>
    <cellStyle name="Normal 3 2 3 4 2 2" xfId="7270" xr:uid="{00000000-0005-0000-0000-0000BD110000}"/>
    <cellStyle name="Normal 3 2 3 4 2 2 2" xfId="15720" xr:uid="{84C8296C-C4AF-413E-BD7F-E6F6EDAD28A3}"/>
    <cellStyle name="Normal 3 2 3 4 2 3" xfId="11502" xr:uid="{81512F4A-1480-4B88-8C1E-98856E34ED17}"/>
    <cellStyle name="Normal 3 2 3 4 3" xfId="5125" xr:uid="{00000000-0005-0000-0000-0000BE110000}"/>
    <cellStyle name="Normal 3 2 3 4 3 2" xfId="13575" xr:uid="{6D661A73-732B-41B2-8124-1FFDD4377EED}"/>
    <cellStyle name="Normal 3 2 3 4 4" xfId="9357" xr:uid="{659D3F89-E4AE-4CA3-8CF4-D030C8D44321}"/>
    <cellStyle name="Normal 3 2 3 5" xfId="1231" xr:uid="{00000000-0005-0000-0000-0000BF110000}"/>
    <cellStyle name="Normal 3 2 3 5 2" xfId="3461" xr:uid="{00000000-0005-0000-0000-0000C0110000}"/>
    <cellStyle name="Normal 3 2 3 5 2 2" xfId="7683" xr:uid="{00000000-0005-0000-0000-0000C1110000}"/>
    <cellStyle name="Normal 3 2 3 5 2 2 2" xfId="16133" xr:uid="{C8F192CE-1AC1-4DCF-8061-9EA0807D941F}"/>
    <cellStyle name="Normal 3 2 3 5 2 3" xfId="11915" xr:uid="{B4A08F96-FFAC-43A4-AE10-8A8B8435C2E5}"/>
    <cellStyle name="Normal 3 2 3 5 3" xfId="5538" xr:uid="{00000000-0005-0000-0000-0000C2110000}"/>
    <cellStyle name="Normal 3 2 3 5 3 2" xfId="13988" xr:uid="{18058AD6-0F46-4FAE-8EC6-D6FDA643A758}"/>
    <cellStyle name="Normal 3 2 3 5 4" xfId="9770" xr:uid="{2C61C3D5-287B-45CC-82BB-D8B39C1FA4FA}"/>
    <cellStyle name="Normal 3 2 3 6" xfId="1644" xr:uid="{00000000-0005-0000-0000-0000C3110000}"/>
    <cellStyle name="Normal 3 2 3 6 2" xfId="3874" xr:uid="{00000000-0005-0000-0000-0000C4110000}"/>
    <cellStyle name="Normal 3 2 3 6 2 2" xfId="8096" xr:uid="{00000000-0005-0000-0000-0000C5110000}"/>
    <cellStyle name="Normal 3 2 3 6 2 2 2" xfId="16546" xr:uid="{E7400834-9F1E-492F-9715-C00549722AD3}"/>
    <cellStyle name="Normal 3 2 3 6 2 3" xfId="12328" xr:uid="{2DD654B6-4D54-4A74-9A66-908D885A0422}"/>
    <cellStyle name="Normal 3 2 3 6 3" xfId="5951" xr:uid="{00000000-0005-0000-0000-0000C6110000}"/>
    <cellStyle name="Normal 3 2 3 6 3 2" xfId="14401" xr:uid="{FF9C5872-6887-4280-BB5C-3825798125B3}"/>
    <cellStyle name="Normal 3 2 3 6 4" xfId="10183" xr:uid="{B3BFB980-C2EC-425E-851A-4E10A682C37E}"/>
    <cellStyle name="Normal 3 2 3 7" xfId="2058" xr:uid="{00000000-0005-0000-0000-0000C7110000}"/>
    <cellStyle name="Normal 3 2 3 7 2" xfId="4287" xr:uid="{00000000-0005-0000-0000-0000C8110000}"/>
    <cellStyle name="Normal 3 2 3 7 2 2" xfId="8509" xr:uid="{00000000-0005-0000-0000-0000C9110000}"/>
    <cellStyle name="Normal 3 2 3 7 2 2 2" xfId="16959" xr:uid="{5E898018-C80D-4C0C-A3C5-736842EBB8BD}"/>
    <cellStyle name="Normal 3 2 3 7 2 3" xfId="12741" xr:uid="{B40DC777-C7A0-4F14-A475-2C4271CC1E38}"/>
    <cellStyle name="Normal 3 2 3 7 3" xfId="6364" xr:uid="{00000000-0005-0000-0000-0000CA110000}"/>
    <cellStyle name="Normal 3 2 3 7 3 2" xfId="14814" xr:uid="{000C41C6-72D4-4615-9E30-DFFFD3677BEB}"/>
    <cellStyle name="Normal 3 2 3 7 4" xfId="10596" xr:uid="{82F5FB7E-5C35-4BB6-869E-2B374800291A}"/>
    <cellStyle name="Normal 3 2 3 8" xfId="2494" xr:uid="{00000000-0005-0000-0000-0000CB110000}"/>
    <cellStyle name="Normal 3 2 3 8 2" xfId="6777" xr:uid="{00000000-0005-0000-0000-0000CC110000}"/>
    <cellStyle name="Normal 3 2 3 8 2 2" xfId="15227" xr:uid="{1A1F1060-80AE-49EA-A0B2-B1C9C6AE2149}"/>
    <cellStyle name="Normal 3 2 3 8 3" xfId="11009" xr:uid="{482C3975-E797-4288-B8F8-4F0BC9E4882B}"/>
    <cellStyle name="Normal 3 2 3 9" xfId="4711" xr:uid="{00000000-0005-0000-0000-0000CD110000}"/>
    <cellStyle name="Normal 3 2 3 9 2" xfId="13161" xr:uid="{08CBFCFE-7CD5-40BE-B33C-E70758311DCE}"/>
    <cellStyle name="Normal 3 2 4" xfId="809" xr:uid="{00000000-0005-0000-0000-0000CE110000}"/>
    <cellStyle name="Normal 3 2 4 2" xfId="3047" xr:uid="{00000000-0005-0000-0000-0000CF110000}"/>
    <cellStyle name="Normal 3 2 4 2 2" xfId="7269" xr:uid="{00000000-0005-0000-0000-0000D0110000}"/>
    <cellStyle name="Normal 3 2 4 2 2 2" xfId="15719" xr:uid="{1E962311-CB18-4BA5-892D-055728EC858B}"/>
    <cellStyle name="Normal 3 2 4 2 3" xfId="11501" xr:uid="{2CF854D3-858C-4626-893D-3AA18D04BC0D}"/>
    <cellStyle name="Normal 3 2 4 3" xfId="5124" xr:uid="{00000000-0005-0000-0000-0000D1110000}"/>
    <cellStyle name="Normal 3 2 4 3 2" xfId="13574" xr:uid="{487ACE19-EA88-452B-BC69-ED0FEF3CACA1}"/>
    <cellStyle name="Normal 3 2 4 4" xfId="9356" xr:uid="{AEC7610D-DEBF-42B7-9065-899739EB2871}"/>
    <cellStyle name="Normal 3 2 5" xfId="1230" xr:uid="{00000000-0005-0000-0000-0000D2110000}"/>
    <cellStyle name="Normal 3 2 5 2" xfId="3460" xr:uid="{00000000-0005-0000-0000-0000D3110000}"/>
    <cellStyle name="Normal 3 2 5 2 2" xfId="7682" xr:uid="{00000000-0005-0000-0000-0000D4110000}"/>
    <cellStyle name="Normal 3 2 5 2 2 2" xfId="16132" xr:uid="{F4508178-F881-48CD-81FD-663C67FB31B9}"/>
    <cellStyle name="Normal 3 2 5 2 3" xfId="11914" xr:uid="{921C4DAA-49C0-4E4F-80D3-1EC67D36B21E}"/>
    <cellStyle name="Normal 3 2 5 3" xfId="5537" xr:uid="{00000000-0005-0000-0000-0000D5110000}"/>
    <cellStyle name="Normal 3 2 5 3 2" xfId="13987" xr:uid="{68721A36-01FD-4E1B-B767-BCCD16E22451}"/>
    <cellStyle name="Normal 3 2 5 4" xfId="9769" xr:uid="{B3193362-9573-4F5F-A76A-C89BA394A046}"/>
    <cellStyle name="Normal 3 2 6" xfId="1643" xr:uid="{00000000-0005-0000-0000-0000D6110000}"/>
    <cellStyle name="Normal 3 2 6 2" xfId="3873" xr:uid="{00000000-0005-0000-0000-0000D7110000}"/>
    <cellStyle name="Normal 3 2 6 2 2" xfId="8095" xr:uid="{00000000-0005-0000-0000-0000D8110000}"/>
    <cellStyle name="Normal 3 2 6 2 2 2" xfId="16545" xr:uid="{3F678196-11DE-43D7-8D58-6BBFE5825FAF}"/>
    <cellStyle name="Normal 3 2 6 2 3" xfId="12327" xr:uid="{19389406-03FE-445F-9C15-CB84A5BEB238}"/>
    <cellStyle name="Normal 3 2 6 3" xfId="5950" xr:uid="{00000000-0005-0000-0000-0000D9110000}"/>
    <cellStyle name="Normal 3 2 6 3 2" xfId="14400" xr:uid="{592FBBC4-4520-477E-B318-4929BC64A8E2}"/>
    <cellStyle name="Normal 3 2 6 4" xfId="10182" xr:uid="{A173AA70-1D15-4F54-8AE3-6AE62901AD34}"/>
    <cellStyle name="Normal 3 2 7" xfId="2057" xr:uid="{00000000-0005-0000-0000-0000DA110000}"/>
    <cellStyle name="Normal 3 2 7 2" xfId="4286" xr:uid="{00000000-0005-0000-0000-0000DB110000}"/>
    <cellStyle name="Normal 3 2 7 2 2" xfId="8508" xr:uid="{00000000-0005-0000-0000-0000DC110000}"/>
    <cellStyle name="Normal 3 2 7 2 2 2" xfId="16958" xr:uid="{46E212A6-C9C5-437E-9738-19DE2827BD6B}"/>
    <cellStyle name="Normal 3 2 7 2 3" xfId="12740" xr:uid="{EFC47F05-EC86-4450-A185-5C895732F2DF}"/>
    <cellStyle name="Normal 3 2 7 3" xfId="6363" xr:uid="{00000000-0005-0000-0000-0000DD110000}"/>
    <cellStyle name="Normal 3 2 7 3 2" xfId="14813" xr:uid="{A38AE98E-0249-4DB3-A2AF-E561CA964D1A}"/>
    <cellStyle name="Normal 3 2 7 4" xfId="10595" xr:uid="{1CFD4C33-02EB-497E-B959-BE1077C48573}"/>
    <cellStyle name="Normal 3 2 8" xfId="2493" xr:uid="{00000000-0005-0000-0000-0000DE110000}"/>
    <cellStyle name="Normal 3 2 8 2" xfId="6776" xr:uid="{00000000-0005-0000-0000-0000DF110000}"/>
    <cellStyle name="Normal 3 2 8 2 2" xfId="15226" xr:uid="{5E8138C1-A9B1-49DD-A9CB-BBE9F50E556D}"/>
    <cellStyle name="Normal 3 2 8 3" xfId="11008" xr:uid="{8D1BDC0D-A179-4C23-909A-B87FD04B16C0}"/>
    <cellStyle name="Normal 3 2 9" xfId="4710" xr:uid="{00000000-0005-0000-0000-0000E0110000}"/>
    <cellStyle name="Normal 3 2 9 2" xfId="13160" xr:uid="{911504A3-2DCD-4964-B082-57851B5A2362}"/>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7" xr:uid="{6F6922DB-5C24-461A-BBF0-16326434A389}"/>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16963" xr:uid="{5066556C-EC67-4217-B872-2F47E64983E5}"/>
    <cellStyle name="Normal 4 2 2 10 2 3" xfId="12745" xr:uid="{67A705CB-458E-454B-AF2D-359C6CFAF297}"/>
    <cellStyle name="Normal 4 2 2 10 3" xfId="6368" xr:uid="{00000000-0005-0000-0000-0000ED110000}"/>
    <cellStyle name="Normal 4 2 2 10 3 2" xfId="14818" xr:uid="{835DD0C2-34FD-4385-9776-9237A9F64736}"/>
    <cellStyle name="Normal 4 2 2 10 4" xfId="10600" xr:uid="{F53B8DD3-2457-4FA3-B297-BA0E9C14CA4A}"/>
    <cellStyle name="Normal 4 2 2 11" xfId="2498" xr:uid="{00000000-0005-0000-0000-0000EE110000}"/>
    <cellStyle name="Normal 4 2 2 11 2" xfId="6781" xr:uid="{00000000-0005-0000-0000-0000EF110000}"/>
    <cellStyle name="Normal 4 2 2 11 2 2" xfId="15231" xr:uid="{36DD85E6-5E3C-4000-A3DD-134E7D15F12D}"/>
    <cellStyle name="Normal 4 2 2 11 3" xfId="11013" xr:uid="{915C1E43-625E-4E38-B055-B113B2779A87}"/>
    <cellStyle name="Normal 4 2 2 12" xfId="4716" xr:uid="{00000000-0005-0000-0000-0000F0110000}"/>
    <cellStyle name="Normal 4 2 2 12 2" xfId="13166" xr:uid="{F8ED2F73-BA27-4F49-8C1F-AC31CCB2438D}"/>
    <cellStyle name="Normal 4 2 2 13" xfId="8948" xr:uid="{A5043289-3004-43BD-BE9B-889E294FD77C}"/>
    <cellStyle name="Normal 4 2 2 2" xfId="338" xr:uid="{00000000-0005-0000-0000-0000F1110000}"/>
    <cellStyle name="Normal 4 2 2 3" xfId="339" xr:uid="{00000000-0005-0000-0000-0000F2110000}"/>
    <cellStyle name="Normal 4 2 2 3 10" xfId="4717" xr:uid="{00000000-0005-0000-0000-0000F3110000}"/>
    <cellStyle name="Normal 4 2 2 3 10 2" xfId="13167" xr:uid="{C06BB70C-7EFC-4B9B-99EE-544B1265D203}"/>
    <cellStyle name="Normal 4 2 2 3 11" xfId="8949" xr:uid="{DBA9E0EA-9C01-4A5B-ADCB-308527694A9D}"/>
    <cellStyle name="Normal 4 2 2 3 2" xfId="340" xr:uid="{00000000-0005-0000-0000-0000F4110000}"/>
    <cellStyle name="Normal 4 2 2 3 2 10" xfId="8950" xr:uid="{148D0A33-DCD3-40A7-8B31-A645C84E4D84}"/>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15728" xr:uid="{0D69735F-D4D1-4D35-B29D-1C7E8A12F58C}"/>
    <cellStyle name="Normal 4 2 2 3 2 2 2 2 2 3" xfId="11510" xr:uid="{19E38C74-3165-49B8-B4A5-94A0C21FB8C0}"/>
    <cellStyle name="Normal 4 2 2 3 2 2 2 2 3" xfId="5133" xr:uid="{00000000-0005-0000-0000-0000FA110000}"/>
    <cellStyle name="Normal 4 2 2 3 2 2 2 2 3 2" xfId="13583" xr:uid="{427FEA61-69BA-4350-B254-DC10E0742F61}"/>
    <cellStyle name="Normal 4 2 2 3 2 2 2 2 4" xfId="9365" xr:uid="{B9757DDB-6A84-4A3C-B468-9DECE15F6372}"/>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16141" xr:uid="{840898D0-3278-4B68-BE7B-C0AC625F425F}"/>
    <cellStyle name="Normal 4 2 2 3 2 2 2 3 2 3" xfId="11923" xr:uid="{B32B4536-4EDF-4DF5-A618-F5D411FA3E3D}"/>
    <cellStyle name="Normal 4 2 2 3 2 2 2 3 3" xfId="5546" xr:uid="{00000000-0005-0000-0000-0000FE110000}"/>
    <cellStyle name="Normal 4 2 2 3 2 2 2 3 3 2" xfId="13996" xr:uid="{0B109190-B6EF-4C96-BB3E-14D415D87E77}"/>
    <cellStyle name="Normal 4 2 2 3 2 2 2 3 4" xfId="9778" xr:uid="{B40DD3BA-2FD5-4D69-8489-6F845B045644}"/>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16554" xr:uid="{D1DBB3F1-78EA-4391-AF0E-B210FD4F9E8B}"/>
    <cellStyle name="Normal 4 2 2 3 2 2 2 4 2 3" xfId="12336" xr:uid="{01629D64-93C0-4EDA-8DFF-9A2C7D229DA0}"/>
    <cellStyle name="Normal 4 2 2 3 2 2 2 4 3" xfId="5959" xr:uid="{00000000-0005-0000-0000-000002120000}"/>
    <cellStyle name="Normal 4 2 2 3 2 2 2 4 3 2" xfId="14409" xr:uid="{31D9A435-E487-4F20-A599-DDE2C0E03DDB}"/>
    <cellStyle name="Normal 4 2 2 3 2 2 2 4 4" xfId="10191" xr:uid="{18FB7CF4-CD2E-44D5-BBD8-A820BDC84D9E}"/>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16967" xr:uid="{9898F8BF-490C-4D02-AEBB-B456C8E73A88}"/>
    <cellStyle name="Normal 4 2 2 3 2 2 2 5 2 3" xfId="12749" xr:uid="{DD5C1D40-CC09-47DC-BB70-9227928A6F71}"/>
    <cellStyle name="Normal 4 2 2 3 2 2 2 5 3" xfId="6372" xr:uid="{00000000-0005-0000-0000-000006120000}"/>
    <cellStyle name="Normal 4 2 2 3 2 2 2 5 3 2" xfId="14822" xr:uid="{4299CBBE-5F65-4746-B766-69BE56530C29}"/>
    <cellStyle name="Normal 4 2 2 3 2 2 2 5 4" xfId="10604" xr:uid="{824DDAA8-1179-4DC1-A416-C05220F9D5E0}"/>
    <cellStyle name="Normal 4 2 2 3 2 2 2 6" xfId="2502" xr:uid="{00000000-0005-0000-0000-000007120000}"/>
    <cellStyle name="Normal 4 2 2 3 2 2 2 6 2" xfId="6785" xr:uid="{00000000-0005-0000-0000-000008120000}"/>
    <cellStyle name="Normal 4 2 2 3 2 2 2 6 2 2" xfId="15235" xr:uid="{B2BEA5CF-C855-464F-8629-933AEA031A08}"/>
    <cellStyle name="Normal 4 2 2 3 2 2 2 6 3" xfId="11017" xr:uid="{2CC9A5D3-0911-4A6A-9C33-162CBDF0022F}"/>
    <cellStyle name="Normal 4 2 2 3 2 2 2 7" xfId="4720" xr:uid="{00000000-0005-0000-0000-000009120000}"/>
    <cellStyle name="Normal 4 2 2 3 2 2 2 7 2" xfId="13170" xr:uid="{8072A25B-DD69-4AE7-B65E-CE6273F3C7CD}"/>
    <cellStyle name="Normal 4 2 2 3 2 2 2 8" xfId="8952" xr:uid="{441F70D8-03D4-4CDE-9450-07D56632215B}"/>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15727" xr:uid="{F0080AF8-314B-4AEE-94AA-EC6FED3A0E75}"/>
    <cellStyle name="Normal 4 2 2 3 2 2 3 2 3" xfId="11509" xr:uid="{F9CA8A36-00A9-47FB-9F55-EACC5506EB55}"/>
    <cellStyle name="Normal 4 2 2 3 2 2 3 3" xfId="5132" xr:uid="{00000000-0005-0000-0000-00000D120000}"/>
    <cellStyle name="Normal 4 2 2 3 2 2 3 3 2" xfId="13582" xr:uid="{C47C97AF-441F-48FD-AFB8-18DAA1D5BAB0}"/>
    <cellStyle name="Normal 4 2 2 3 2 2 3 4" xfId="9364" xr:uid="{4C820831-D2AF-42ED-AB32-7F4C906C43C3}"/>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16140" xr:uid="{7452E3FD-5A3D-4B09-B120-F3C941F86BB7}"/>
    <cellStyle name="Normal 4 2 2 3 2 2 4 2 3" xfId="11922" xr:uid="{5381929B-3E2E-4A61-80B7-CB9DB40C1493}"/>
    <cellStyle name="Normal 4 2 2 3 2 2 4 3" xfId="5545" xr:uid="{00000000-0005-0000-0000-000011120000}"/>
    <cellStyle name="Normal 4 2 2 3 2 2 4 3 2" xfId="13995" xr:uid="{BA23B5E4-7894-441E-9676-CAA87904E3BA}"/>
    <cellStyle name="Normal 4 2 2 3 2 2 4 4" xfId="9777" xr:uid="{FF4D7A3B-9A87-4B7E-8F3E-79E6E151D258}"/>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16553" xr:uid="{061C41ED-AC29-4DA9-B9C5-063B796E46DB}"/>
    <cellStyle name="Normal 4 2 2 3 2 2 5 2 3" xfId="12335" xr:uid="{8FF6D80B-7C9E-4EBB-9853-CB563EB134D7}"/>
    <cellStyle name="Normal 4 2 2 3 2 2 5 3" xfId="5958" xr:uid="{00000000-0005-0000-0000-000015120000}"/>
    <cellStyle name="Normal 4 2 2 3 2 2 5 3 2" xfId="14408" xr:uid="{21912750-49E9-4893-8490-002DEED2D1AD}"/>
    <cellStyle name="Normal 4 2 2 3 2 2 5 4" xfId="10190" xr:uid="{4D7D24B9-D936-47BE-9CA1-A52A10753BC3}"/>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16966" xr:uid="{9BE3230B-39D0-418E-B0C5-F8A626ED3C09}"/>
    <cellStyle name="Normal 4 2 2 3 2 2 6 2 3" xfId="12748" xr:uid="{99F08D0B-1EA3-429A-A4AF-53331684F710}"/>
    <cellStyle name="Normal 4 2 2 3 2 2 6 3" xfId="6371" xr:uid="{00000000-0005-0000-0000-000019120000}"/>
    <cellStyle name="Normal 4 2 2 3 2 2 6 3 2" xfId="14821" xr:uid="{8B7A8E31-A186-4BF7-9420-71372C8AD4F0}"/>
    <cellStyle name="Normal 4 2 2 3 2 2 6 4" xfId="10603" xr:uid="{FED9819F-72F8-4726-9DC1-0B23AB16C3B0}"/>
    <cellStyle name="Normal 4 2 2 3 2 2 7" xfId="2501" xr:uid="{00000000-0005-0000-0000-00001A120000}"/>
    <cellStyle name="Normal 4 2 2 3 2 2 7 2" xfId="6784" xr:uid="{00000000-0005-0000-0000-00001B120000}"/>
    <cellStyle name="Normal 4 2 2 3 2 2 7 2 2" xfId="15234" xr:uid="{4D96829D-32B5-41AA-B4BC-60BD32EC4E2B}"/>
    <cellStyle name="Normal 4 2 2 3 2 2 7 3" xfId="11016" xr:uid="{007A0AA6-3838-4E32-9FC0-436BF5B22EB0}"/>
    <cellStyle name="Normal 4 2 2 3 2 2 8" xfId="4719" xr:uid="{00000000-0005-0000-0000-00001C120000}"/>
    <cellStyle name="Normal 4 2 2 3 2 2 8 2" xfId="13169" xr:uid="{17033567-5345-476B-87FB-54A3EEBFE256}"/>
    <cellStyle name="Normal 4 2 2 3 2 2 9" xfId="8951" xr:uid="{E221F73D-9DD5-4977-B7F2-7A49A30BF448}"/>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15729" xr:uid="{A41E0602-7887-41A8-919E-A3416D95B081}"/>
    <cellStyle name="Normal 4 2 2 3 2 3 2 2 3" xfId="11511" xr:uid="{A0CB683F-9DCD-4C2E-A3B7-E995C7614AC1}"/>
    <cellStyle name="Normal 4 2 2 3 2 3 2 3" xfId="5134" xr:uid="{00000000-0005-0000-0000-000021120000}"/>
    <cellStyle name="Normal 4 2 2 3 2 3 2 3 2" xfId="13584" xr:uid="{1F174EB3-7F90-4881-B9CE-E1140610CAE4}"/>
    <cellStyle name="Normal 4 2 2 3 2 3 2 4" xfId="9366" xr:uid="{7F57FADC-4F7D-409A-A95E-895F25C0679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16142" xr:uid="{0CC1177D-4D22-45C5-8351-6457C5053767}"/>
    <cellStyle name="Normal 4 2 2 3 2 3 3 2 3" xfId="11924" xr:uid="{B8957B01-D014-4BD7-BFE1-6706DED7D2EF}"/>
    <cellStyle name="Normal 4 2 2 3 2 3 3 3" xfId="5547" xr:uid="{00000000-0005-0000-0000-000025120000}"/>
    <cellStyle name="Normal 4 2 2 3 2 3 3 3 2" xfId="13997" xr:uid="{066478CE-B252-4D6F-BB4A-CD737A4D18DA}"/>
    <cellStyle name="Normal 4 2 2 3 2 3 3 4" xfId="9779" xr:uid="{260B7CF3-4A7F-419A-BDFB-7A0CB0A5EA25}"/>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16555" xr:uid="{8F14A807-7F2A-48EF-9E25-6C9FDA50B29E}"/>
    <cellStyle name="Normal 4 2 2 3 2 3 4 2 3" xfId="12337" xr:uid="{58F7BAA3-043D-4928-ABDB-D9D43F42FC60}"/>
    <cellStyle name="Normal 4 2 2 3 2 3 4 3" xfId="5960" xr:uid="{00000000-0005-0000-0000-000029120000}"/>
    <cellStyle name="Normal 4 2 2 3 2 3 4 3 2" xfId="14410" xr:uid="{323B66CF-C7EE-43BD-A5A5-DB610D1CF2F8}"/>
    <cellStyle name="Normal 4 2 2 3 2 3 4 4" xfId="10192" xr:uid="{11E9C0F6-78EC-4912-8655-035B9F0728AD}"/>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16968" xr:uid="{2DE8A04F-DFBD-4997-8413-0DF5889C1A5A}"/>
    <cellStyle name="Normal 4 2 2 3 2 3 5 2 3" xfId="12750" xr:uid="{B10DF2A5-3DE0-4A8D-B4E5-DF772827BF86}"/>
    <cellStyle name="Normal 4 2 2 3 2 3 5 3" xfId="6373" xr:uid="{00000000-0005-0000-0000-00002D120000}"/>
    <cellStyle name="Normal 4 2 2 3 2 3 5 3 2" xfId="14823" xr:uid="{48C9705A-2948-455E-AF20-0C676611D588}"/>
    <cellStyle name="Normal 4 2 2 3 2 3 5 4" xfId="10605" xr:uid="{59B7A15E-3991-43F0-A002-E0337B166332}"/>
    <cellStyle name="Normal 4 2 2 3 2 3 6" xfId="2503" xr:uid="{00000000-0005-0000-0000-00002E120000}"/>
    <cellStyle name="Normal 4 2 2 3 2 3 6 2" xfId="6786" xr:uid="{00000000-0005-0000-0000-00002F120000}"/>
    <cellStyle name="Normal 4 2 2 3 2 3 6 2 2" xfId="15236" xr:uid="{B51234C5-972B-4E14-B380-F65538631211}"/>
    <cellStyle name="Normal 4 2 2 3 2 3 6 3" xfId="11018" xr:uid="{0A4929A2-4EAB-41A3-8600-5AA3B7D19675}"/>
    <cellStyle name="Normal 4 2 2 3 2 3 7" xfId="4721" xr:uid="{00000000-0005-0000-0000-000030120000}"/>
    <cellStyle name="Normal 4 2 2 3 2 3 7 2" xfId="13171" xr:uid="{F2468FFF-08E8-4F5F-8579-660A3A925786}"/>
    <cellStyle name="Normal 4 2 2 3 2 3 8" xfId="8953" xr:uid="{E9A8D2C1-8C1D-49A6-AE4F-CF4905552864}"/>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15726" xr:uid="{18E8A2A3-DEA4-4829-92BB-0BF3D5BBF9CF}"/>
    <cellStyle name="Normal 4 2 2 3 2 4 2 3" xfId="11508" xr:uid="{7C2164D7-BBF8-42A1-9B68-4D736D85F3AD}"/>
    <cellStyle name="Normal 4 2 2 3 2 4 3" xfId="5131" xr:uid="{00000000-0005-0000-0000-000034120000}"/>
    <cellStyle name="Normal 4 2 2 3 2 4 3 2" xfId="13581" xr:uid="{E3D3F72A-30FA-4F61-B809-FD1A8893BABF}"/>
    <cellStyle name="Normal 4 2 2 3 2 4 4" xfId="9363" xr:uid="{97CFA6F6-F5AA-4A76-95A4-6C92EC198DB8}"/>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16139" xr:uid="{53CAE7EC-2BFA-4CFF-A377-D008E9431D54}"/>
    <cellStyle name="Normal 4 2 2 3 2 5 2 3" xfId="11921" xr:uid="{86E94FF6-72A7-401C-B97C-8564B9DC605B}"/>
    <cellStyle name="Normal 4 2 2 3 2 5 3" xfId="5544" xr:uid="{00000000-0005-0000-0000-000038120000}"/>
    <cellStyle name="Normal 4 2 2 3 2 5 3 2" xfId="13994" xr:uid="{4817CE66-00B9-474A-AB82-A893C420ED3D}"/>
    <cellStyle name="Normal 4 2 2 3 2 5 4" xfId="9776" xr:uid="{1A16A1A6-2B7D-498A-801F-2EE5FC8FB204}"/>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16552" xr:uid="{517BDB27-509F-499F-9E7B-28AD256F5B56}"/>
    <cellStyle name="Normal 4 2 2 3 2 6 2 3" xfId="12334" xr:uid="{BEB6A09B-E62B-42F0-A600-3ACAC9E98C1E}"/>
    <cellStyle name="Normal 4 2 2 3 2 6 3" xfId="5957" xr:uid="{00000000-0005-0000-0000-00003C120000}"/>
    <cellStyle name="Normal 4 2 2 3 2 6 3 2" xfId="14407" xr:uid="{440705B7-0833-4DD4-8A60-FD7457836EE8}"/>
    <cellStyle name="Normal 4 2 2 3 2 6 4" xfId="10189" xr:uid="{86C75959-5406-478D-A7AD-F7F2071913A4}"/>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16965" xr:uid="{E1805884-56A4-4FBE-A2F7-B84CCC1D29DF}"/>
    <cellStyle name="Normal 4 2 2 3 2 7 2 3" xfId="12747" xr:uid="{EA5F8AB6-F0D7-49A9-969E-F37245B46071}"/>
    <cellStyle name="Normal 4 2 2 3 2 7 3" xfId="6370" xr:uid="{00000000-0005-0000-0000-000040120000}"/>
    <cellStyle name="Normal 4 2 2 3 2 7 3 2" xfId="14820" xr:uid="{E9E70429-B00E-4BB0-B909-68213468D9BA}"/>
    <cellStyle name="Normal 4 2 2 3 2 7 4" xfId="10602" xr:uid="{35AA1226-979C-4860-913A-1347393F5A63}"/>
    <cellStyle name="Normal 4 2 2 3 2 8" xfId="2500" xr:uid="{00000000-0005-0000-0000-000041120000}"/>
    <cellStyle name="Normal 4 2 2 3 2 8 2" xfId="6783" xr:uid="{00000000-0005-0000-0000-000042120000}"/>
    <cellStyle name="Normal 4 2 2 3 2 8 2 2" xfId="15233" xr:uid="{CC1158F5-D9D7-43FD-B3B0-488A12DB822B}"/>
    <cellStyle name="Normal 4 2 2 3 2 8 3" xfId="11015" xr:uid="{26E246E7-BF1F-426E-B0A5-F3C9ADB34D23}"/>
    <cellStyle name="Normal 4 2 2 3 2 9" xfId="4718" xr:uid="{00000000-0005-0000-0000-000043120000}"/>
    <cellStyle name="Normal 4 2 2 3 2 9 2" xfId="13168" xr:uid="{8FD60FB5-4D04-481B-8252-317158C6AE1E}"/>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15731" xr:uid="{1B1EA04D-085B-4E4B-A6FB-3B9BA4163D71}"/>
    <cellStyle name="Normal 4 2 2 3 3 2 2 2 3" xfId="11513" xr:uid="{217BD45A-E3E3-4A9E-815D-46CE6B464597}"/>
    <cellStyle name="Normal 4 2 2 3 3 2 2 3" xfId="5136" xr:uid="{00000000-0005-0000-0000-000049120000}"/>
    <cellStyle name="Normal 4 2 2 3 3 2 2 3 2" xfId="13586" xr:uid="{F8456338-2A14-46AF-ABAA-82ABDF0FD172}"/>
    <cellStyle name="Normal 4 2 2 3 3 2 2 4" xfId="9368" xr:uid="{476D2D68-2DEF-402B-8F89-0E0E7B8BB5B1}"/>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16144" xr:uid="{3BFBA0FE-A114-4E84-AAED-BF2AB4D41E97}"/>
    <cellStyle name="Normal 4 2 2 3 3 2 3 2 3" xfId="11926" xr:uid="{EF7C6810-82C5-4AF1-B371-25CFAB2E6F13}"/>
    <cellStyle name="Normal 4 2 2 3 3 2 3 3" xfId="5549" xr:uid="{00000000-0005-0000-0000-00004D120000}"/>
    <cellStyle name="Normal 4 2 2 3 3 2 3 3 2" xfId="13999" xr:uid="{B8F67A07-8EFE-4FB6-9AA1-328CC8634AF6}"/>
    <cellStyle name="Normal 4 2 2 3 3 2 3 4" xfId="9781" xr:uid="{3E1C6683-620F-44AE-8410-304951B16172}"/>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16557" xr:uid="{86379FE7-1389-4E4E-925A-C368699E1CD1}"/>
    <cellStyle name="Normal 4 2 2 3 3 2 4 2 3" xfId="12339" xr:uid="{7FE55161-4B2A-409C-8592-88859D75C211}"/>
    <cellStyle name="Normal 4 2 2 3 3 2 4 3" xfId="5962" xr:uid="{00000000-0005-0000-0000-000051120000}"/>
    <cellStyle name="Normal 4 2 2 3 3 2 4 3 2" xfId="14412" xr:uid="{7DD68D10-0402-470E-8DB3-A4DCBEE82DC3}"/>
    <cellStyle name="Normal 4 2 2 3 3 2 4 4" xfId="10194" xr:uid="{F97DB0BF-DEA7-4FA2-8156-CC7EBC4E0DDD}"/>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16970" xr:uid="{B65E67B3-DCCC-409C-AE32-3A18DD344398}"/>
    <cellStyle name="Normal 4 2 2 3 3 2 5 2 3" xfId="12752" xr:uid="{023649E7-6004-41DC-95F8-D4C3ED27100C}"/>
    <cellStyle name="Normal 4 2 2 3 3 2 5 3" xfId="6375" xr:uid="{00000000-0005-0000-0000-000055120000}"/>
    <cellStyle name="Normal 4 2 2 3 3 2 5 3 2" xfId="14825" xr:uid="{CBD72542-3301-45D6-BBFA-F26C8CC4949A}"/>
    <cellStyle name="Normal 4 2 2 3 3 2 5 4" xfId="10607" xr:uid="{AB771DDC-A3E5-49CD-87C9-C4F8D5D228EE}"/>
    <cellStyle name="Normal 4 2 2 3 3 2 6" xfId="2505" xr:uid="{00000000-0005-0000-0000-000056120000}"/>
    <cellStyle name="Normal 4 2 2 3 3 2 6 2" xfId="6788" xr:uid="{00000000-0005-0000-0000-000057120000}"/>
    <cellStyle name="Normal 4 2 2 3 3 2 6 2 2" xfId="15238" xr:uid="{9D2834E4-E941-4587-B765-9703BD5452B3}"/>
    <cellStyle name="Normal 4 2 2 3 3 2 6 3" xfId="11020" xr:uid="{32C20892-8A72-4C12-8A49-A5E1B03D61A7}"/>
    <cellStyle name="Normal 4 2 2 3 3 2 7" xfId="4723" xr:uid="{00000000-0005-0000-0000-000058120000}"/>
    <cellStyle name="Normal 4 2 2 3 3 2 7 2" xfId="13173" xr:uid="{B20E0D17-E6F9-4746-AD3D-0096BEEF857E}"/>
    <cellStyle name="Normal 4 2 2 3 3 2 8" xfId="8955" xr:uid="{3DBEE0FA-358A-46DF-AC67-C0003C5F1E53}"/>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15730" xr:uid="{4AE8C724-21D4-40B9-B3CB-79CB33704379}"/>
    <cellStyle name="Normal 4 2 2 3 3 3 2 3" xfId="11512" xr:uid="{5B0D1270-AA63-4FCA-9CA2-89562FCE4FBF}"/>
    <cellStyle name="Normal 4 2 2 3 3 3 3" xfId="5135" xr:uid="{00000000-0005-0000-0000-00005C120000}"/>
    <cellStyle name="Normal 4 2 2 3 3 3 3 2" xfId="13585" xr:uid="{40618C2C-358A-4AD6-9487-C1E46B71C72A}"/>
    <cellStyle name="Normal 4 2 2 3 3 3 4" xfId="9367" xr:uid="{5F5B44D3-C9EE-462C-9C96-E0D514DEA8F3}"/>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16143" xr:uid="{59FFF187-D032-438E-9F94-A8620F799EC2}"/>
    <cellStyle name="Normal 4 2 2 3 3 4 2 3" xfId="11925" xr:uid="{569F3C72-5BA1-4AB5-9EB0-F28B17BC007A}"/>
    <cellStyle name="Normal 4 2 2 3 3 4 3" xfId="5548" xr:uid="{00000000-0005-0000-0000-000060120000}"/>
    <cellStyle name="Normal 4 2 2 3 3 4 3 2" xfId="13998" xr:uid="{AE8B0601-ECEA-42CE-A83F-DF3D70C05905}"/>
    <cellStyle name="Normal 4 2 2 3 3 4 4" xfId="9780" xr:uid="{7E401845-416E-4DBB-AA3D-05514DCC91C2}"/>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16556" xr:uid="{F396F2A2-AA6E-4FB4-BFFB-F90F92691C6F}"/>
    <cellStyle name="Normal 4 2 2 3 3 5 2 3" xfId="12338" xr:uid="{A9DAA7BE-5E3F-47C6-8036-6BE0F37C9AA8}"/>
    <cellStyle name="Normal 4 2 2 3 3 5 3" xfId="5961" xr:uid="{00000000-0005-0000-0000-000064120000}"/>
    <cellStyle name="Normal 4 2 2 3 3 5 3 2" xfId="14411" xr:uid="{CD3C9E22-9FCB-43C6-8948-6AA3498731B1}"/>
    <cellStyle name="Normal 4 2 2 3 3 5 4" xfId="10193" xr:uid="{CDC9D8F9-173E-4E12-9663-D23F822D29A9}"/>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16969" xr:uid="{114A0DCA-A258-43B1-ADBD-B6DD34A0AB8B}"/>
    <cellStyle name="Normal 4 2 2 3 3 6 2 3" xfId="12751" xr:uid="{6DED49A2-6A35-4AAB-BD73-575046A57DCE}"/>
    <cellStyle name="Normal 4 2 2 3 3 6 3" xfId="6374" xr:uid="{00000000-0005-0000-0000-000068120000}"/>
    <cellStyle name="Normal 4 2 2 3 3 6 3 2" xfId="14824" xr:uid="{73F7B63E-24A5-4EF5-831A-31A429128091}"/>
    <cellStyle name="Normal 4 2 2 3 3 6 4" xfId="10606" xr:uid="{C3CD2626-7935-4C7D-9BCF-753AAC66F636}"/>
    <cellStyle name="Normal 4 2 2 3 3 7" xfId="2504" xr:uid="{00000000-0005-0000-0000-000069120000}"/>
    <cellStyle name="Normal 4 2 2 3 3 7 2" xfId="6787" xr:uid="{00000000-0005-0000-0000-00006A120000}"/>
    <cellStyle name="Normal 4 2 2 3 3 7 2 2" xfId="15237" xr:uid="{DDE2AC61-95FB-4D97-B1B3-A2B1772359D1}"/>
    <cellStyle name="Normal 4 2 2 3 3 7 3" xfId="11019" xr:uid="{6D09FD0A-1162-4F85-BC6F-8A4A5702368A}"/>
    <cellStyle name="Normal 4 2 2 3 3 8" xfId="4722" xr:uid="{00000000-0005-0000-0000-00006B120000}"/>
    <cellStyle name="Normal 4 2 2 3 3 8 2" xfId="13172" xr:uid="{EB79E954-3B9D-436A-8FF2-4F9BF2AC9E18}"/>
    <cellStyle name="Normal 4 2 2 3 3 9" xfId="8954" xr:uid="{9C0E8453-324E-4FC0-9EA3-CA1821944EA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15732" xr:uid="{EFD39746-D3DD-4EF3-8F76-86C72BE56447}"/>
    <cellStyle name="Normal 4 2 2 3 4 2 2 3" xfId="11514" xr:uid="{15D5B5D9-289E-40B3-BFF4-21570C55E6C1}"/>
    <cellStyle name="Normal 4 2 2 3 4 2 3" xfId="5137" xr:uid="{00000000-0005-0000-0000-000070120000}"/>
    <cellStyle name="Normal 4 2 2 3 4 2 3 2" xfId="13587" xr:uid="{12568B98-E877-48FD-9A7A-77354462E43E}"/>
    <cellStyle name="Normal 4 2 2 3 4 2 4" xfId="9369" xr:uid="{1C95E097-40E2-4585-8884-3CA10865A5AB}"/>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16145" xr:uid="{338AFDFF-D5E4-4CAC-B05F-9D5B9954D838}"/>
    <cellStyle name="Normal 4 2 2 3 4 3 2 3" xfId="11927" xr:uid="{C7E35807-D581-4137-B2DE-9D882880650D}"/>
    <cellStyle name="Normal 4 2 2 3 4 3 3" xfId="5550" xr:uid="{00000000-0005-0000-0000-000074120000}"/>
    <cellStyle name="Normal 4 2 2 3 4 3 3 2" xfId="14000" xr:uid="{FCC3F6FA-342E-4EA2-AEBC-05A82B6AB313}"/>
    <cellStyle name="Normal 4 2 2 3 4 3 4" xfId="9782" xr:uid="{86126650-9469-438B-837F-50D48C33D98F}"/>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16558" xr:uid="{4B0123E2-501B-4539-B681-7E1918D75F07}"/>
    <cellStyle name="Normal 4 2 2 3 4 4 2 3" xfId="12340" xr:uid="{198D55E2-8134-4D3F-856C-AF869AEC8E58}"/>
    <cellStyle name="Normal 4 2 2 3 4 4 3" xfId="5963" xr:uid="{00000000-0005-0000-0000-000078120000}"/>
    <cellStyle name="Normal 4 2 2 3 4 4 3 2" xfId="14413" xr:uid="{48A535D4-2BDC-4309-8266-B490EE794E9E}"/>
    <cellStyle name="Normal 4 2 2 3 4 4 4" xfId="10195" xr:uid="{26779A43-F8A0-44D1-90F7-0C03614BAEDE}"/>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16971" xr:uid="{F4B9A894-FED2-4F08-B230-A4C6BF2F035C}"/>
    <cellStyle name="Normal 4 2 2 3 4 5 2 3" xfId="12753" xr:uid="{C6295BF5-F525-4D06-B94E-BCFF3B310153}"/>
    <cellStyle name="Normal 4 2 2 3 4 5 3" xfId="6376" xr:uid="{00000000-0005-0000-0000-00007C120000}"/>
    <cellStyle name="Normal 4 2 2 3 4 5 3 2" xfId="14826" xr:uid="{ED22771E-5919-4214-BB93-BBE4DFB4D72A}"/>
    <cellStyle name="Normal 4 2 2 3 4 5 4" xfId="10608" xr:uid="{495B552D-860E-40BC-8A89-6D83B00BC720}"/>
    <cellStyle name="Normal 4 2 2 3 4 6" xfId="2506" xr:uid="{00000000-0005-0000-0000-00007D120000}"/>
    <cellStyle name="Normal 4 2 2 3 4 6 2" xfId="6789" xr:uid="{00000000-0005-0000-0000-00007E120000}"/>
    <cellStyle name="Normal 4 2 2 3 4 6 2 2" xfId="15239" xr:uid="{76891546-ABFF-40AE-8B30-86A844B03CB3}"/>
    <cellStyle name="Normal 4 2 2 3 4 6 3" xfId="11021" xr:uid="{2E363921-5117-4E4C-ACF5-67BDBEA5234E}"/>
    <cellStyle name="Normal 4 2 2 3 4 7" xfId="4724" xr:uid="{00000000-0005-0000-0000-00007F120000}"/>
    <cellStyle name="Normal 4 2 2 3 4 7 2" xfId="13174" xr:uid="{0D266421-A648-418D-A23C-0CB27995C883}"/>
    <cellStyle name="Normal 4 2 2 3 4 8" xfId="8956" xr:uid="{D0B5AED5-2CB9-4013-81FB-C0FFBC6FEB06}"/>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15725" xr:uid="{EAFEF434-6BFA-4C21-AD1B-A57706530C63}"/>
    <cellStyle name="Normal 4 2 2 3 5 2 3" xfId="11507" xr:uid="{873FBA0D-DD1C-48A4-AE00-5247C94DA891}"/>
    <cellStyle name="Normal 4 2 2 3 5 3" xfId="5130" xr:uid="{00000000-0005-0000-0000-000083120000}"/>
    <cellStyle name="Normal 4 2 2 3 5 3 2" xfId="13580" xr:uid="{3BAB7C82-1183-44B3-A818-C2EDB84ED8FE}"/>
    <cellStyle name="Normal 4 2 2 3 5 4" xfId="9362" xr:uid="{40BE7988-C0E7-4328-84AD-500C8B20ED98}"/>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16138" xr:uid="{F41DEBC3-6794-4860-9A81-046D69DC3B68}"/>
    <cellStyle name="Normal 4 2 2 3 6 2 3" xfId="11920" xr:uid="{36349D29-5D80-49EA-9BE1-6B9DB070928F}"/>
    <cellStyle name="Normal 4 2 2 3 6 3" xfId="5543" xr:uid="{00000000-0005-0000-0000-000087120000}"/>
    <cellStyle name="Normal 4 2 2 3 6 3 2" xfId="13993" xr:uid="{F6DA9AB4-4CEB-46E5-B289-5CDF433E1159}"/>
    <cellStyle name="Normal 4 2 2 3 6 4" xfId="9775" xr:uid="{D2E5FC13-E806-4293-805A-9D0A7521F492}"/>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16551" xr:uid="{63223FC3-9048-481D-8E14-926B520B731F}"/>
    <cellStyle name="Normal 4 2 2 3 7 2 3" xfId="12333" xr:uid="{81766BC8-AE90-4F20-8111-5138CE482031}"/>
    <cellStyle name="Normal 4 2 2 3 7 3" xfId="5956" xr:uid="{00000000-0005-0000-0000-00008B120000}"/>
    <cellStyle name="Normal 4 2 2 3 7 3 2" xfId="14406" xr:uid="{60758548-869A-4765-BCE6-6FD93BAB7A6E}"/>
    <cellStyle name="Normal 4 2 2 3 7 4" xfId="10188" xr:uid="{BED202C3-3C7A-4571-A852-ECE9B1DBF6ED}"/>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16964" xr:uid="{933756C6-2048-4A0A-B3A5-860F6BB1BB46}"/>
    <cellStyle name="Normal 4 2 2 3 8 2 3" xfId="12746" xr:uid="{36277DB2-4D23-491A-AD45-483922C24235}"/>
    <cellStyle name="Normal 4 2 2 3 8 3" xfId="6369" xr:uid="{00000000-0005-0000-0000-00008F120000}"/>
    <cellStyle name="Normal 4 2 2 3 8 3 2" xfId="14819" xr:uid="{36F8ED24-117B-468F-817F-25742A0AD4C8}"/>
    <cellStyle name="Normal 4 2 2 3 8 4" xfId="10601" xr:uid="{1C0BF558-B3A0-4985-AD54-69CF22AC4F95}"/>
    <cellStyle name="Normal 4 2 2 3 9" xfId="2499" xr:uid="{00000000-0005-0000-0000-000090120000}"/>
    <cellStyle name="Normal 4 2 2 3 9 2" xfId="6782" xr:uid="{00000000-0005-0000-0000-000091120000}"/>
    <cellStyle name="Normal 4 2 2 3 9 2 2" xfId="15232" xr:uid="{465217CE-5797-482E-B1AC-21D11CC0A3C0}"/>
    <cellStyle name="Normal 4 2 2 3 9 3" xfId="11014" xr:uid="{8408B5DA-A326-4476-994B-7B74CC321C01}"/>
    <cellStyle name="Normal 4 2 2 4" xfId="347" xr:uid="{00000000-0005-0000-0000-000092120000}"/>
    <cellStyle name="Normal 4 2 2 4 10" xfId="8957" xr:uid="{6AB7FEF9-F831-4134-8697-23B1A4322DFC}"/>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15735" xr:uid="{AAEDFF54-5E7E-4EF2-9A58-77EFDBF7A3B7}"/>
    <cellStyle name="Normal 4 2 2 4 2 2 2 2 3" xfId="11517" xr:uid="{49BC44B2-DE6E-4499-9688-3CE273F5A4E8}"/>
    <cellStyle name="Normal 4 2 2 4 2 2 2 3" xfId="5140" xr:uid="{00000000-0005-0000-0000-000098120000}"/>
    <cellStyle name="Normal 4 2 2 4 2 2 2 3 2" xfId="13590" xr:uid="{E24AE376-BEB4-4FE3-B71E-59D1EE6712E8}"/>
    <cellStyle name="Normal 4 2 2 4 2 2 2 4" xfId="9372" xr:uid="{B6FB4B4A-395D-41A0-8774-6A3AF8DD6EF5}"/>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16148" xr:uid="{002748C2-AD51-4096-81B4-06107A661BD4}"/>
    <cellStyle name="Normal 4 2 2 4 2 2 3 2 3" xfId="11930" xr:uid="{752BE69A-DD36-4CB3-831D-D4901C3FA13F}"/>
    <cellStyle name="Normal 4 2 2 4 2 2 3 3" xfId="5553" xr:uid="{00000000-0005-0000-0000-00009C120000}"/>
    <cellStyle name="Normal 4 2 2 4 2 2 3 3 2" xfId="14003" xr:uid="{5B9114EE-2103-4D5B-8B8B-666BCB7AA5BA}"/>
    <cellStyle name="Normal 4 2 2 4 2 2 3 4" xfId="9785" xr:uid="{9F6E1CE4-551B-4E6E-B3A9-00E5E5E49AB2}"/>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16561" xr:uid="{326074C5-08F0-4871-BA77-64961AC77601}"/>
    <cellStyle name="Normal 4 2 2 4 2 2 4 2 3" xfId="12343" xr:uid="{EA885EA2-496E-4645-A2F2-3F7BFEC584DD}"/>
    <cellStyle name="Normal 4 2 2 4 2 2 4 3" xfId="5966" xr:uid="{00000000-0005-0000-0000-0000A0120000}"/>
    <cellStyle name="Normal 4 2 2 4 2 2 4 3 2" xfId="14416" xr:uid="{984DB523-4F7B-4A44-B391-F100449FD81E}"/>
    <cellStyle name="Normal 4 2 2 4 2 2 4 4" xfId="10198" xr:uid="{17F75EA8-34C2-4745-AC8B-97C71B7AEA19}"/>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16974" xr:uid="{63C85236-A295-4DED-B539-20EEF671B3B4}"/>
    <cellStyle name="Normal 4 2 2 4 2 2 5 2 3" xfId="12756" xr:uid="{49E1211E-4424-4689-A3F1-B5E0BF7C4405}"/>
    <cellStyle name="Normal 4 2 2 4 2 2 5 3" xfId="6379" xr:uid="{00000000-0005-0000-0000-0000A4120000}"/>
    <cellStyle name="Normal 4 2 2 4 2 2 5 3 2" xfId="14829" xr:uid="{36B63749-5BC0-433F-9694-48405AFE9986}"/>
    <cellStyle name="Normal 4 2 2 4 2 2 5 4" xfId="10611" xr:uid="{B7D37DAE-E397-4DCB-92FF-95B497E17E9E}"/>
    <cellStyle name="Normal 4 2 2 4 2 2 6" xfId="2509" xr:uid="{00000000-0005-0000-0000-0000A5120000}"/>
    <cellStyle name="Normal 4 2 2 4 2 2 6 2" xfId="6792" xr:uid="{00000000-0005-0000-0000-0000A6120000}"/>
    <cellStyle name="Normal 4 2 2 4 2 2 6 2 2" xfId="15242" xr:uid="{1DAA07C8-515F-4111-9548-33618AF4575A}"/>
    <cellStyle name="Normal 4 2 2 4 2 2 6 3" xfId="11024" xr:uid="{9C9F6969-8DF3-467A-85DF-84177D4A47CB}"/>
    <cellStyle name="Normal 4 2 2 4 2 2 7" xfId="4727" xr:uid="{00000000-0005-0000-0000-0000A7120000}"/>
    <cellStyle name="Normal 4 2 2 4 2 2 7 2" xfId="13177" xr:uid="{3EA8778D-35A5-4A11-8D7B-DB6254FE3319}"/>
    <cellStyle name="Normal 4 2 2 4 2 2 8" xfId="8959" xr:uid="{0E31CA83-0C0D-48CF-8677-F03B03F2CB8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15734" xr:uid="{EAB9659F-C8E0-4814-85F4-837865F9CAEB}"/>
    <cellStyle name="Normal 4 2 2 4 2 3 2 3" xfId="11516" xr:uid="{86C44365-968F-4B16-AC4D-A7F2B02F76C1}"/>
    <cellStyle name="Normal 4 2 2 4 2 3 3" xfId="5139" xr:uid="{00000000-0005-0000-0000-0000AB120000}"/>
    <cellStyle name="Normal 4 2 2 4 2 3 3 2" xfId="13589" xr:uid="{1B6B0524-413E-455B-97D1-188E86354DB6}"/>
    <cellStyle name="Normal 4 2 2 4 2 3 4" xfId="9371" xr:uid="{D1BB3FFD-8F1B-4C32-BFEC-6C995C48A7B1}"/>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16147" xr:uid="{FD57BCB1-EB0F-46C5-9386-50FED3F9A642}"/>
    <cellStyle name="Normal 4 2 2 4 2 4 2 3" xfId="11929" xr:uid="{573FFF87-57CA-4462-B090-CA235396DA02}"/>
    <cellStyle name="Normal 4 2 2 4 2 4 3" xfId="5552" xr:uid="{00000000-0005-0000-0000-0000AF120000}"/>
    <cellStyle name="Normal 4 2 2 4 2 4 3 2" xfId="14002" xr:uid="{8CA49726-3049-4B43-BDFF-65816282E8EA}"/>
    <cellStyle name="Normal 4 2 2 4 2 4 4" xfId="9784" xr:uid="{0156540D-8275-4CCB-9FA7-F1F9B8A4D691}"/>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16560" xr:uid="{5E53E7D9-29B7-487D-AFFC-0245C66528A7}"/>
    <cellStyle name="Normal 4 2 2 4 2 5 2 3" xfId="12342" xr:uid="{DC1AB2EE-42DC-46C3-99E3-542342237FDD}"/>
    <cellStyle name="Normal 4 2 2 4 2 5 3" xfId="5965" xr:uid="{00000000-0005-0000-0000-0000B3120000}"/>
    <cellStyle name="Normal 4 2 2 4 2 5 3 2" xfId="14415" xr:uid="{11B07FCD-5199-40F8-A349-0D60321CB9DD}"/>
    <cellStyle name="Normal 4 2 2 4 2 5 4" xfId="10197" xr:uid="{B30FCF0D-2D4E-41C5-841C-424240BA3073}"/>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16973" xr:uid="{6FA30D29-B099-4DF8-AEB4-493A8DEFD310}"/>
    <cellStyle name="Normal 4 2 2 4 2 6 2 3" xfId="12755" xr:uid="{7CEFE6B9-8EA6-4923-A60F-1ED3864600ED}"/>
    <cellStyle name="Normal 4 2 2 4 2 6 3" xfId="6378" xr:uid="{00000000-0005-0000-0000-0000B7120000}"/>
    <cellStyle name="Normal 4 2 2 4 2 6 3 2" xfId="14828" xr:uid="{9D839576-2CF1-4F62-8384-407541F913B7}"/>
    <cellStyle name="Normal 4 2 2 4 2 6 4" xfId="10610" xr:uid="{B5539827-969A-4826-98F5-BBB055B56319}"/>
    <cellStyle name="Normal 4 2 2 4 2 7" xfId="2508" xr:uid="{00000000-0005-0000-0000-0000B8120000}"/>
    <cellStyle name="Normal 4 2 2 4 2 7 2" xfId="6791" xr:uid="{00000000-0005-0000-0000-0000B9120000}"/>
    <cellStyle name="Normal 4 2 2 4 2 7 2 2" xfId="15241" xr:uid="{6742F61E-6F47-4D60-A001-0064F8D17FA9}"/>
    <cellStyle name="Normal 4 2 2 4 2 7 3" xfId="11023" xr:uid="{62F81E6D-FEEF-473E-95D8-91305E69ED24}"/>
    <cellStyle name="Normal 4 2 2 4 2 8" xfId="4726" xr:uid="{00000000-0005-0000-0000-0000BA120000}"/>
    <cellStyle name="Normal 4 2 2 4 2 8 2" xfId="13176" xr:uid="{CD1FFD20-E5F7-4326-98E1-198E3D11B39A}"/>
    <cellStyle name="Normal 4 2 2 4 2 9" xfId="8958" xr:uid="{0E73684B-B879-49E3-8BA1-2176EE495A24}"/>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15736" xr:uid="{A8CE49B7-6AF1-4AE1-B90C-B5BC65C83EA3}"/>
    <cellStyle name="Normal 4 2 2 4 3 2 2 3" xfId="11518" xr:uid="{A6432228-BB18-4E1E-B365-E6E8C9B97DB3}"/>
    <cellStyle name="Normal 4 2 2 4 3 2 3" xfId="5141" xr:uid="{00000000-0005-0000-0000-0000BF120000}"/>
    <cellStyle name="Normal 4 2 2 4 3 2 3 2" xfId="13591" xr:uid="{0BD0D2BD-F086-4FB8-9165-0F35EE756EDE}"/>
    <cellStyle name="Normal 4 2 2 4 3 2 4" xfId="9373" xr:uid="{EC87A616-7EBA-4BFC-BB2D-05069C963BB6}"/>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16149" xr:uid="{FE245D79-B80B-4EED-8EC5-67E55C8EF6BD}"/>
    <cellStyle name="Normal 4 2 2 4 3 3 2 3" xfId="11931" xr:uid="{72B053E7-D059-408C-9909-F50AB2CDFEA4}"/>
    <cellStyle name="Normal 4 2 2 4 3 3 3" xfId="5554" xr:uid="{00000000-0005-0000-0000-0000C3120000}"/>
    <cellStyle name="Normal 4 2 2 4 3 3 3 2" xfId="14004" xr:uid="{983F4FA6-CC04-41C2-BD9A-AE1CB9B32CCB}"/>
    <cellStyle name="Normal 4 2 2 4 3 3 4" xfId="9786" xr:uid="{3068B4D4-A5A5-4546-BAEA-003DB39A107C}"/>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16562" xr:uid="{3A54B5A1-4496-40E9-BDC7-36F050902B1E}"/>
    <cellStyle name="Normal 4 2 2 4 3 4 2 3" xfId="12344" xr:uid="{9B7C8269-FAAA-4CDA-971B-A7596D43CA45}"/>
    <cellStyle name="Normal 4 2 2 4 3 4 3" xfId="5967" xr:uid="{00000000-0005-0000-0000-0000C7120000}"/>
    <cellStyle name="Normal 4 2 2 4 3 4 3 2" xfId="14417" xr:uid="{0DF9EEEF-08EA-4356-BF54-1E1F486A680B}"/>
    <cellStyle name="Normal 4 2 2 4 3 4 4" xfId="10199" xr:uid="{12C20211-A975-4F45-A695-31482E97439B}"/>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16975" xr:uid="{B8316860-8C95-432E-8D58-237BA591A1C1}"/>
    <cellStyle name="Normal 4 2 2 4 3 5 2 3" xfId="12757" xr:uid="{7A015852-25C7-44B2-A268-FA867483B17C}"/>
    <cellStyle name="Normal 4 2 2 4 3 5 3" xfId="6380" xr:uid="{00000000-0005-0000-0000-0000CB120000}"/>
    <cellStyle name="Normal 4 2 2 4 3 5 3 2" xfId="14830" xr:uid="{8944B39E-F532-474E-93D7-34D763D27289}"/>
    <cellStyle name="Normal 4 2 2 4 3 5 4" xfId="10612" xr:uid="{4CC11438-98F7-4C92-BE48-4D36780AE700}"/>
    <cellStyle name="Normal 4 2 2 4 3 6" xfId="2510" xr:uid="{00000000-0005-0000-0000-0000CC120000}"/>
    <cellStyle name="Normal 4 2 2 4 3 6 2" xfId="6793" xr:uid="{00000000-0005-0000-0000-0000CD120000}"/>
    <cellStyle name="Normal 4 2 2 4 3 6 2 2" xfId="15243" xr:uid="{1C4A92AD-4F13-4784-A516-0CDD99FC371B}"/>
    <cellStyle name="Normal 4 2 2 4 3 6 3" xfId="11025" xr:uid="{6CA9D419-2255-46C9-9A50-8878E7EE3AD4}"/>
    <cellStyle name="Normal 4 2 2 4 3 7" xfId="4728" xr:uid="{00000000-0005-0000-0000-0000CE120000}"/>
    <cellStyle name="Normal 4 2 2 4 3 7 2" xfId="13178" xr:uid="{84E69790-2680-44CA-A348-DBD6449AA9ED}"/>
    <cellStyle name="Normal 4 2 2 4 3 8" xfId="8960" xr:uid="{0E18F8D8-2CF7-4032-B14D-0B028D5C6B7E}"/>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15733" xr:uid="{AD1BBC90-F96E-4EE3-983B-9318277FB0F4}"/>
    <cellStyle name="Normal 4 2 2 4 4 2 3" xfId="11515" xr:uid="{1E86685F-38DF-421A-816A-ED22E1B4E5CC}"/>
    <cellStyle name="Normal 4 2 2 4 4 3" xfId="5138" xr:uid="{00000000-0005-0000-0000-0000D2120000}"/>
    <cellStyle name="Normal 4 2 2 4 4 3 2" xfId="13588" xr:uid="{85B4302B-37A0-476D-A644-8C2341588D5C}"/>
    <cellStyle name="Normal 4 2 2 4 4 4" xfId="9370" xr:uid="{DE86DA27-59C2-40C9-BD9C-844008193D2F}"/>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16146" xr:uid="{FD8BB995-C2E4-4844-85D6-A66A4F277050}"/>
    <cellStyle name="Normal 4 2 2 4 5 2 3" xfId="11928" xr:uid="{2FE41E46-EAC6-4665-856F-EB32CFE740C7}"/>
    <cellStyle name="Normal 4 2 2 4 5 3" xfId="5551" xr:uid="{00000000-0005-0000-0000-0000D6120000}"/>
    <cellStyle name="Normal 4 2 2 4 5 3 2" xfId="14001" xr:uid="{ECC20D28-48B2-46E8-9490-1D6B9FDFC1D7}"/>
    <cellStyle name="Normal 4 2 2 4 5 4" xfId="9783" xr:uid="{A4856AC6-BF27-4E9C-B551-8DCE09251036}"/>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16559" xr:uid="{18CDB1FA-3A71-463E-BFCE-94035790E884}"/>
    <cellStyle name="Normal 4 2 2 4 6 2 3" xfId="12341" xr:uid="{15250BA2-1254-4617-838F-31F5CD4D4DD7}"/>
    <cellStyle name="Normal 4 2 2 4 6 3" xfId="5964" xr:uid="{00000000-0005-0000-0000-0000DA120000}"/>
    <cellStyle name="Normal 4 2 2 4 6 3 2" xfId="14414" xr:uid="{54DFC71C-8239-4D9F-8ED7-62EBBFD637CB}"/>
    <cellStyle name="Normal 4 2 2 4 6 4" xfId="10196" xr:uid="{2F32F291-0024-4E2D-95CF-6537575DFFFF}"/>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16972" xr:uid="{A2D1DFE6-60E8-449B-B86F-E2425F5BDC32}"/>
    <cellStyle name="Normal 4 2 2 4 7 2 3" xfId="12754" xr:uid="{874E8579-0FB6-4084-BA7E-77B08FDBD767}"/>
    <cellStyle name="Normal 4 2 2 4 7 3" xfId="6377" xr:uid="{00000000-0005-0000-0000-0000DE120000}"/>
    <cellStyle name="Normal 4 2 2 4 7 3 2" xfId="14827" xr:uid="{AA93B0C9-8AAF-4147-9EE8-A9BAE2CD4D12}"/>
    <cellStyle name="Normal 4 2 2 4 7 4" xfId="10609" xr:uid="{C645B527-3D02-40D6-B341-CBAFBBF537D5}"/>
    <cellStyle name="Normal 4 2 2 4 8" xfId="2507" xr:uid="{00000000-0005-0000-0000-0000DF120000}"/>
    <cellStyle name="Normal 4 2 2 4 8 2" xfId="6790" xr:uid="{00000000-0005-0000-0000-0000E0120000}"/>
    <cellStyle name="Normal 4 2 2 4 8 2 2" xfId="15240" xr:uid="{5E3A56EC-9BF0-4347-BE30-77C32085C10C}"/>
    <cellStyle name="Normal 4 2 2 4 8 3" xfId="11022" xr:uid="{3E3E8C3A-F5B6-4B60-AA2A-9ACDD34AC15D}"/>
    <cellStyle name="Normal 4 2 2 4 9" xfId="4725" xr:uid="{00000000-0005-0000-0000-0000E1120000}"/>
    <cellStyle name="Normal 4 2 2 4 9 2" xfId="13175" xr:uid="{F2FA4E66-4279-4255-B47F-BD885DE62ABA}"/>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15738" xr:uid="{BA0FC6D7-1ACC-4784-BFF8-144E19114140}"/>
    <cellStyle name="Normal 4 2 2 5 2 2 2 3" xfId="11520" xr:uid="{B6751677-08FD-4B07-AB1D-2EDF54CB61AD}"/>
    <cellStyle name="Normal 4 2 2 5 2 2 3" xfId="5143" xr:uid="{00000000-0005-0000-0000-0000E7120000}"/>
    <cellStyle name="Normal 4 2 2 5 2 2 3 2" xfId="13593" xr:uid="{C533D55A-317A-4005-8FEA-E3B993DA0DA3}"/>
    <cellStyle name="Normal 4 2 2 5 2 2 4" xfId="9375" xr:uid="{AFDC0616-2D0F-46BA-A92C-4E7F6E448E7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16151" xr:uid="{FF753875-552C-4EB7-A2B5-CE3DD69E8118}"/>
    <cellStyle name="Normal 4 2 2 5 2 3 2 3" xfId="11933" xr:uid="{061DBFEF-2A39-47D6-A393-3B18103B00D6}"/>
    <cellStyle name="Normal 4 2 2 5 2 3 3" xfId="5556" xr:uid="{00000000-0005-0000-0000-0000EB120000}"/>
    <cellStyle name="Normal 4 2 2 5 2 3 3 2" xfId="14006" xr:uid="{0C32BAE5-361B-4F9E-8401-E33A9662BD12}"/>
    <cellStyle name="Normal 4 2 2 5 2 3 4" xfId="9788" xr:uid="{1734D80E-0C05-4F1E-8191-806A76C81EE8}"/>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16564" xr:uid="{56D6A009-4D9C-45E8-9CA7-C71644143D5F}"/>
    <cellStyle name="Normal 4 2 2 5 2 4 2 3" xfId="12346" xr:uid="{438B3379-43D3-4364-A305-7C35212C5EFC}"/>
    <cellStyle name="Normal 4 2 2 5 2 4 3" xfId="5969" xr:uid="{00000000-0005-0000-0000-0000EF120000}"/>
    <cellStyle name="Normal 4 2 2 5 2 4 3 2" xfId="14419" xr:uid="{3026C6D7-07E6-4F36-A4FA-EF497A857622}"/>
    <cellStyle name="Normal 4 2 2 5 2 4 4" xfId="10201" xr:uid="{D5E2AAB2-FDBA-4A8E-B1F6-655C9FC31B2C}"/>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16977" xr:uid="{1FA7735F-492E-4369-A329-C0CACA6C7756}"/>
    <cellStyle name="Normal 4 2 2 5 2 5 2 3" xfId="12759" xr:uid="{7463A3D4-30A7-4E3E-8880-4B7D183B23E0}"/>
    <cellStyle name="Normal 4 2 2 5 2 5 3" xfId="6382" xr:uid="{00000000-0005-0000-0000-0000F3120000}"/>
    <cellStyle name="Normal 4 2 2 5 2 5 3 2" xfId="14832" xr:uid="{A48C7B2B-F334-4920-A0CF-3A692E53186F}"/>
    <cellStyle name="Normal 4 2 2 5 2 5 4" xfId="10614" xr:uid="{7BFDB925-1295-40CD-9F51-AD57DC970763}"/>
    <cellStyle name="Normal 4 2 2 5 2 6" xfId="2512" xr:uid="{00000000-0005-0000-0000-0000F4120000}"/>
    <cellStyle name="Normal 4 2 2 5 2 6 2" xfId="6795" xr:uid="{00000000-0005-0000-0000-0000F5120000}"/>
    <cellStyle name="Normal 4 2 2 5 2 6 2 2" xfId="15245" xr:uid="{0577FB07-2661-4B5C-A55F-FBB7628E6638}"/>
    <cellStyle name="Normal 4 2 2 5 2 6 3" xfId="11027" xr:uid="{DF2C8868-B8E6-4250-803C-DD9027C10D44}"/>
    <cellStyle name="Normal 4 2 2 5 2 7" xfId="4730" xr:uid="{00000000-0005-0000-0000-0000F6120000}"/>
    <cellStyle name="Normal 4 2 2 5 2 7 2" xfId="13180" xr:uid="{0E3AF7D0-190D-45C6-B906-2273FEE807EA}"/>
    <cellStyle name="Normal 4 2 2 5 2 8" xfId="8962" xr:uid="{963E8EFA-F992-4063-9F2D-768FD7548F21}"/>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15737" xr:uid="{CDCFEFCB-D648-4E61-BA18-D4BC80C953D9}"/>
    <cellStyle name="Normal 4 2 2 5 3 2 3" xfId="11519" xr:uid="{22C37ABF-A77E-4BF5-94F1-D36B707FE740}"/>
    <cellStyle name="Normal 4 2 2 5 3 3" xfId="5142" xr:uid="{00000000-0005-0000-0000-0000FA120000}"/>
    <cellStyle name="Normal 4 2 2 5 3 3 2" xfId="13592" xr:uid="{D62A2D74-E92F-47CD-B8A3-5EC923B9A1AA}"/>
    <cellStyle name="Normal 4 2 2 5 3 4" xfId="9374" xr:uid="{ACFE3045-BC78-4735-991D-B8B789D1CFE2}"/>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16150" xr:uid="{61A51D02-57A6-43A9-9820-2943A22F6478}"/>
    <cellStyle name="Normal 4 2 2 5 4 2 3" xfId="11932" xr:uid="{7C1CE36B-65C7-469E-92C7-939E796AEBE7}"/>
    <cellStyle name="Normal 4 2 2 5 4 3" xfId="5555" xr:uid="{00000000-0005-0000-0000-0000FE120000}"/>
    <cellStyle name="Normal 4 2 2 5 4 3 2" xfId="14005" xr:uid="{174F8409-693A-4B3F-928F-8176B77FFFCA}"/>
    <cellStyle name="Normal 4 2 2 5 4 4" xfId="9787" xr:uid="{BFE28D71-BFCF-48CB-B0AC-7B68F21DCAD0}"/>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16563" xr:uid="{E72F4579-4060-4FC7-9E68-D6098D4BBFE2}"/>
    <cellStyle name="Normal 4 2 2 5 5 2 3" xfId="12345" xr:uid="{AFCFC912-B24D-43E2-A5BA-06808543BA9B}"/>
    <cellStyle name="Normal 4 2 2 5 5 3" xfId="5968" xr:uid="{00000000-0005-0000-0000-000002130000}"/>
    <cellStyle name="Normal 4 2 2 5 5 3 2" xfId="14418" xr:uid="{8261FE34-0657-46A9-86B1-481662299F0F}"/>
    <cellStyle name="Normal 4 2 2 5 5 4" xfId="10200" xr:uid="{1803FD6B-F961-4763-A9FE-E806CD03DF89}"/>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16976" xr:uid="{1382C378-327A-4346-B008-70B8DE3DAE4F}"/>
    <cellStyle name="Normal 4 2 2 5 6 2 3" xfId="12758" xr:uid="{B382AABB-6B75-43E6-9ED6-CCCE571ED6E0}"/>
    <cellStyle name="Normal 4 2 2 5 6 3" xfId="6381" xr:uid="{00000000-0005-0000-0000-000006130000}"/>
    <cellStyle name="Normal 4 2 2 5 6 3 2" xfId="14831" xr:uid="{3C36126C-C0EB-4903-B4A9-B241CA8252C0}"/>
    <cellStyle name="Normal 4 2 2 5 6 4" xfId="10613" xr:uid="{92956017-D69B-4E55-85EF-05CA9162530E}"/>
    <cellStyle name="Normal 4 2 2 5 7" xfId="2511" xr:uid="{00000000-0005-0000-0000-000007130000}"/>
    <cellStyle name="Normal 4 2 2 5 7 2" xfId="6794" xr:uid="{00000000-0005-0000-0000-000008130000}"/>
    <cellStyle name="Normal 4 2 2 5 7 2 2" xfId="15244" xr:uid="{BA3DDD0D-5CA8-435C-96EC-06702CF83D85}"/>
    <cellStyle name="Normal 4 2 2 5 7 3" xfId="11026" xr:uid="{084F71B2-FB81-4226-9AEA-A0ECCA1F905A}"/>
    <cellStyle name="Normal 4 2 2 5 8" xfId="4729" xr:uid="{00000000-0005-0000-0000-000009130000}"/>
    <cellStyle name="Normal 4 2 2 5 8 2" xfId="13179" xr:uid="{030999F5-BB49-4F25-8D01-73D50CE0EDD2}"/>
    <cellStyle name="Normal 4 2 2 5 9" xfId="8961" xr:uid="{55446E8B-FEC0-4F21-B6D1-3BCBCF9F448C}"/>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15739" xr:uid="{63FF0ED5-C7E7-4FE5-A5D8-6A25D81E9524}"/>
    <cellStyle name="Normal 4 2 2 6 2 2 3" xfId="11521" xr:uid="{32D175F8-121D-4D6C-B7DC-8C4B7001FD2A}"/>
    <cellStyle name="Normal 4 2 2 6 2 3" xfId="5144" xr:uid="{00000000-0005-0000-0000-00000E130000}"/>
    <cellStyle name="Normal 4 2 2 6 2 3 2" xfId="13594" xr:uid="{3E0BEF21-45E7-4E28-816B-60DCDCF2447E}"/>
    <cellStyle name="Normal 4 2 2 6 2 4" xfId="9376" xr:uid="{D66C723E-7592-4DFD-ABD2-404FA2944D00}"/>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16152" xr:uid="{51FAD991-9445-48C1-B654-33E6D68E80EB}"/>
    <cellStyle name="Normal 4 2 2 6 3 2 3" xfId="11934" xr:uid="{D1449445-2A2C-4131-ABD4-5A5B97A3906D}"/>
    <cellStyle name="Normal 4 2 2 6 3 3" xfId="5557" xr:uid="{00000000-0005-0000-0000-000012130000}"/>
    <cellStyle name="Normal 4 2 2 6 3 3 2" xfId="14007" xr:uid="{7C7B48EB-F878-4E5A-9D1F-7D803D513D56}"/>
    <cellStyle name="Normal 4 2 2 6 3 4" xfId="9789" xr:uid="{2B90EAEA-1E9C-4617-815B-0542403C743B}"/>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16565" xr:uid="{26E4DD61-EB21-4373-B295-5AE20ABF6E7D}"/>
    <cellStyle name="Normal 4 2 2 6 4 2 3" xfId="12347" xr:uid="{2F610EBE-9D9A-4A57-8DE9-95370BA28CE9}"/>
    <cellStyle name="Normal 4 2 2 6 4 3" xfId="5970" xr:uid="{00000000-0005-0000-0000-000016130000}"/>
    <cellStyle name="Normal 4 2 2 6 4 3 2" xfId="14420" xr:uid="{D4EE7799-E027-4363-923A-8EC9906A4C4E}"/>
    <cellStyle name="Normal 4 2 2 6 4 4" xfId="10202" xr:uid="{724494EA-8406-420D-9B4E-1CFF028F9DC7}"/>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16978" xr:uid="{1E79FC2F-EA81-4157-A6CF-2BC2EF873FED}"/>
    <cellStyle name="Normal 4 2 2 6 5 2 3" xfId="12760" xr:uid="{538B71A3-9EA1-400D-8905-124953FCDDAE}"/>
    <cellStyle name="Normal 4 2 2 6 5 3" xfId="6383" xr:uid="{00000000-0005-0000-0000-00001A130000}"/>
    <cellStyle name="Normal 4 2 2 6 5 3 2" xfId="14833" xr:uid="{A16940F5-9953-476D-A1D4-E77B4E9E165A}"/>
    <cellStyle name="Normal 4 2 2 6 5 4" xfId="10615" xr:uid="{5B0E5B81-575D-42CC-93A2-125EBB6507C6}"/>
    <cellStyle name="Normal 4 2 2 6 6" xfId="2513" xr:uid="{00000000-0005-0000-0000-00001B130000}"/>
    <cellStyle name="Normal 4 2 2 6 6 2" xfId="6796" xr:uid="{00000000-0005-0000-0000-00001C130000}"/>
    <cellStyle name="Normal 4 2 2 6 6 2 2" xfId="15246" xr:uid="{D88A8B7C-C981-475C-90CA-F4202EF2A629}"/>
    <cellStyle name="Normal 4 2 2 6 6 3" xfId="11028" xr:uid="{7917C283-2158-4A66-A9E8-CD18C33A8215}"/>
    <cellStyle name="Normal 4 2 2 6 7" xfId="4731" xr:uid="{00000000-0005-0000-0000-00001D130000}"/>
    <cellStyle name="Normal 4 2 2 6 7 2" xfId="13181" xr:uid="{03BF90A8-B384-4B7B-93C3-D431CDDBCB96}"/>
    <cellStyle name="Normal 4 2 2 6 8" xfId="8963" xr:uid="{0B860125-5BC7-4B87-A4D6-C2519CF058FE}"/>
    <cellStyle name="Normal 4 2 2 7" xfId="815" xr:uid="{00000000-0005-0000-0000-00001E130000}"/>
    <cellStyle name="Normal 4 2 2 7 2" xfId="3052" xr:uid="{00000000-0005-0000-0000-00001F130000}"/>
    <cellStyle name="Normal 4 2 2 7 2 2" xfId="7274" xr:uid="{00000000-0005-0000-0000-000020130000}"/>
    <cellStyle name="Normal 4 2 2 7 2 2 2" xfId="15724" xr:uid="{5F6DDE13-F0C6-4989-A193-BC1D3527DEC9}"/>
    <cellStyle name="Normal 4 2 2 7 2 3" xfId="11506" xr:uid="{2E887E2E-C65F-4218-A986-BA417CF5C502}"/>
    <cellStyle name="Normal 4 2 2 7 3" xfId="5129" xr:uid="{00000000-0005-0000-0000-000021130000}"/>
    <cellStyle name="Normal 4 2 2 7 3 2" xfId="13579" xr:uid="{085678F0-8090-46BE-8B5B-058F7CD6EB88}"/>
    <cellStyle name="Normal 4 2 2 7 4" xfId="9361" xr:uid="{6574E2BB-69F4-4B34-A4DA-8235CFB7E693}"/>
    <cellStyle name="Normal 4 2 2 8" xfId="1235" xr:uid="{00000000-0005-0000-0000-000022130000}"/>
    <cellStyle name="Normal 4 2 2 8 2" xfId="3465" xr:uid="{00000000-0005-0000-0000-000023130000}"/>
    <cellStyle name="Normal 4 2 2 8 2 2" xfId="7687" xr:uid="{00000000-0005-0000-0000-000024130000}"/>
    <cellStyle name="Normal 4 2 2 8 2 2 2" xfId="16137" xr:uid="{792B4A3B-995D-4ACB-A5FD-2275C3CE798F}"/>
    <cellStyle name="Normal 4 2 2 8 2 3" xfId="11919" xr:uid="{78D4F21A-0CBE-49AC-BF55-68D74E1F6AF6}"/>
    <cellStyle name="Normal 4 2 2 8 3" xfId="5542" xr:uid="{00000000-0005-0000-0000-000025130000}"/>
    <cellStyle name="Normal 4 2 2 8 3 2" xfId="13992" xr:uid="{702EA98A-A098-4ECA-AC36-007F2945A9B7}"/>
    <cellStyle name="Normal 4 2 2 8 4" xfId="9774" xr:uid="{1B56E90B-CAEC-4FE4-8466-824EA68F33D8}"/>
    <cellStyle name="Normal 4 2 2 9" xfId="1648" xr:uid="{00000000-0005-0000-0000-000026130000}"/>
    <cellStyle name="Normal 4 2 2 9 2" xfId="3878" xr:uid="{00000000-0005-0000-0000-000027130000}"/>
    <cellStyle name="Normal 4 2 2 9 2 2" xfId="8100" xr:uid="{00000000-0005-0000-0000-000028130000}"/>
    <cellStyle name="Normal 4 2 2 9 2 2 2" xfId="16550" xr:uid="{592AD208-E63F-4C00-8328-2A34798D23AA}"/>
    <cellStyle name="Normal 4 2 2 9 2 3" xfId="12332" xr:uid="{DEA95FD5-1EE2-431F-92E1-55C422866781}"/>
    <cellStyle name="Normal 4 2 2 9 3" xfId="5955" xr:uid="{00000000-0005-0000-0000-000029130000}"/>
    <cellStyle name="Normal 4 2 2 9 3 2" xfId="14405" xr:uid="{F1B80628-A543-442F-A653-6FE36914A1E1}"/>
    <cellStyle name="Normal 4 2 2 9 4" xfId="10187" xr:uid="{6D83E5DB-4456-477E-818D-740DE41825A1}"/>
    <cellStyle name="Normal 4 2 3" xfId="354" xr:uid="{00000000-0005-0000-0000-00002A130000}"/>
    <cellStyle name="Normal 4 2 4" xfId="355" xr:uid="{00000000-0005-0000-0000-00002B130000}"/>
    <cellStyle name="Normal 4 2 4 10" xfId="4732" xr:uid="{00000000-0005-0000-0000-00002C130000}"/>
    <cellStyle name="Normal 4 2 4 10 2" xfId="13182" xr:uid="{47AE0C74-CB69-45BD-AA37-611FFC360E2E}"/>
    <cellStyle name="Normal 4 2 4 11" xfId="8964" xr:uid="{68202622-5512-4D41-AC18-B07C24AEBA64}"/>
    <cellStyle name="Normal 4 2 4 2" xfId="356" xr:uid="{00000000-0005-0000-0000-00002D130000}"/>
    <cellStyle name="Normal 4 2 4 2 10" xfId="8965" xr:uid="{10CBF107-D53C-4B9A-A6FD-1EA21C0B28D1}"/>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15743" xr:uid="{37CBC912-0EB6-4AF7-AAEE-3BE304CF593D}"/>
    <cellStyle name="Normal 4 2 4 2 2 2 2 2 3" xfId="11525" xr:uid="{8B324857-25DE-4EC8-AB6D-0E1C4F4A23C4}"/>
    <cellStyle name="Normal 4 2 4 2 2 2 2 3" xfId="5148" xr:uid="{00000000-0005-0000-0000-000033130000}"/>
    <cellStyle name="Normal 4 2 4 2 2 2 2 3 2" xfId="13598" xr:uid="{AC800DB9-1D62-46CE-8962-8357A4D42F94}"/>
    <cellStyle name="Normal 4 2 4 2 2 2 2 4" xfId="9380" xr:uid="{EDA1A9F0-AB4C-4679-9175-90735DE3E246}"/>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16156" xr:uid="{45C01A49-74CC-4A06-B273-89E026FF2EF9}"/>
    <cellStyle name="Normal 4 2 4 2 2 2 3 2 3" xfId="11938" xr:uid="{D43C8981-5CD6-4249-B507-2E27D67B3395}"/>
    <cellStyle name="Normal 4 2 4 2 2 2 3 3" xfId="5561" xr:uid="{00000000-0005-0000-0000-000037130000}"/>
    <cellStyle name="Normal 4 2 4 2 2 2 3 3 2" xfId="14011" xr:uid="{5F00F620-2EA6-4AE4-A039-6CC0B193DB1A}"/>
    <cellStyle name="Normal 4 2 4 2 2 2 3 4" xfId="9793" xr:uid="{37828053-4BFA-4F21-9453-9AD5014B0656}"/>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16569" xr:uid="{F66D310E-988D-417A-B570-E1ACEC7CC780}"/>
    <cellStyle name="Normal 4 2 4 2 2 2 4 2 3" xfId="12351" xr:uid="{AA4DBC9B-CAF3-4595-B6BB-A51678237703}"/>
    <cellStyle name="Normal 4 2 4 2 2 2 4 3" xfId="5974" xr:uid="{00000000-0005-0000-0000-00003B130000}"/>
    <cellStyle name="Normal 4 2 4 2 2 2 4 3 2" xfId="14424" xr:uid="{78C29F36-A5F3-49C9-B75E-25885AEC255C}"/>
    <cellStyle name="Normal 4 2 4 2 2 2 4 4" xfId="10206" xr:uid="{171C1690-56F3-4D80-8CDC-791E7FDEA16E}"/>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16982" xr:uid="{014F49F4-0FA9-4B0B-AF63-358F4AD0B8DB}"/>
    <cellStyle name="Normal 4 2 4 2 2 2 5 2 3" xfId="12764" xr:uid="{4C090C75-5E25-4A3F-899B-3B4993E5145C}"/>
    <cellStyle name="Normal 4 2 4 2 2 2 5 3" xfId="6387" xr:uid="{00000000-0005-0000-0000-00003F130000}"/>
    <cellStyle name="Normal 4 2 4 2 2 2 5 3 2" xfId="14837" xr:uid="{A35902C8-4671-455D-A92B-A5F9FE506C0B}"/>
    <cellStyle name="Normal 4 2 4 2 2 2 5 4" xfId="10619" xr:uid="{2FFE7FE5-84EF-4069-8918-525F121D1A44}"/>
    <cellStyle name="Normal 4 2 4 2 2 2 6" xfId="2517" xr:uid="{00000000-0005-0000-0000-000040130000}"/>
    <cellStyle name="Normal 4 2 4 2 2 2 6 2" xfId="6800" xr:uid="{00000000-0005-0000-0000-000041130000}"/>
    <cellStyle name="Normal 4 2 4 2 2 2 6 2 2" xfId="15250" xr:uid="{2E7EDA36-D9E8-45B0-9D35-DEC10EFFE6C5}"/>
    <cellStyle name="Normal 4 2 4 2 2 2 6 3" xfId="11032" xr:uid="{8AEB3583-D45D-436E-9EBA-35DBF1678621}"/>
    <cellStyle name="Normal 4 2 4 2 2 2 7" xfId="4735" xr:uid="{00000000-0005-0000-0000-000042130000}"/>
    <cellStyle name="Normal 4 2 4 2 2 2 7 2" xfId="13185" xr:uid="{230E294D-3223-4D5D-B8A0-D4E388ED35BF}"/>
    <cellStyle name="Normal 4 2 4 2 2 2 8" xfId="8967" xr:uid="{FADDC688-4CD9-429D-B0B9-6047CCB83166}"/>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15742" xr:uid="{346B30FF-F70A-471D-877A-C65E35D5A6DE}"/>
    <cellStyle name="Normal 4 2 4 2 2 3 2 3" xfId="11524" xr:uid="{E534369C-1B41-4A2B-9A5C-CB972B0533FA}"/>
    <cellStyle name="Normal 4 2 4 2 2 3 3" xfId="5147" xr:uid="{00000000-0005-0000-0000-000046130000}"/>
    <cellStyle name="Normal 4 2 4 2 2 3 3 2" xfId="13597" xr:uid="{A10741F9-1922-484B-8F50-D137195EB5CA}"/>
    <cellStyle name="Normal 4 2 4 2 2 3 4" xfId="9379" xr:uid="{B0646026-B404-4057-81AB-E6C30D44370D}"/>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16155" xr:uid="{B2204B78-B75D-4163-B75B-2FEAE2FB2D7D}"/>
    <cellStyle name="Normal 4 2 4 2 2 4 2 3" xfId="11937" xr:uid="{52C6104A-ECAC-4DBA-BC5D-3B19E5E69F8D}"/>
    <cellStyle name="Normal 4 2 4 2 2 4 3" xfId="5560" xr:uid="{00000000-0005-0000-0000-00004A130000}"/>
    <cellStyle name="Normal 4 2 4 2 2 4 3 2" xfId="14010" xr:uid="{8C56BD3D-0A7E-4BCF-97F2-BD97B206C76C}"/>
    <cellStyle name="Normal 4 2 4 2 2 4 4" xfId="9792" xr:uid="{5E515EC6-C633-4DAB-81ED-F3966E3CA2AB}"/>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16568" xr:uid="{B6AD2987-36CB-4638-886B-892ED17FB926}"/>
    <cellStyle name="Normal 4 2 4 2 2 5 2 3" xfId="12350" xr:uid="{0C8F3F5D-ABDE-41B7-A48B-A9BF2B3D126D}"/>
    <cellStyle name="Normal 4 2 4 2 2 5 3" xfId="5973" xr:uid="{00000000-0005-0000-0000-00004E130000}"/>
    <cellStyle name="Normal 4 2 4 2 2 5 3 2" xfId="14423" xr:uid="{A785B99D-1257-4D71-9F4D-A4F38291AAF1}"/>
    <cellStyle name="Normal 4 2 4 2 2 5 4" xfId="10205" xr:uid="{0E8EA3DD-2093-4BE1-8A62-61D653BE92CE}"/>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16981" xr:uid="{C1F2BC78-D431-4585-8EFD-4DB930EDA6D4}"/>
    <cellStyle name="Normal 4 2 4 2 2 6 2 3" xfId="12763" xr:uid="{9E651ECF-F4DA-4619-B41E-8297278AC767}"/>
    <cellStyle name="Normal 4 2 4 2 2 6 3" xfId="6386" xr:uid="{00000000-0005-0000-0000-000052130000}"/>
    <cellStyle name="Normal 4 2 4 2 2 6 3 2" xfId="14836" xr:uid="{F8C5A638-9C64-467C-8ACF-B8FE422593FA}"/>
    <cellStyle name="Normal 4 2 4 2 2 6 4" xfId="10618" xr:uid="{4184F2B5-6B21-4103-A9DF-D5E795CB999C}"/>
    <cellStyle name="Normal 4 2 4 2 2 7" xfId="2516" xr:uid="{00000000-0005-0000-0000-000053130000}"/>
    <cellStyle name="Normal 4 2 4 2 2 7 2" xfId="6799" xr:uid="{00000000-0005-0000-0000-000054130000}"/>
    <cellStyle name="Normal 4 2 4 2 2 7 2 2" xfId="15249" xr:uid="{3E493EDE-5E46-4CB5-84E6-67A8645B3473}"/>
    <cellStyle name="Normal 4 2 4 2 2 7 3" xfId="11031" xr:uid="{BE281EA8-46E9-437A-812F-9752474F89A2}"/>
    <cellStyle name="Normal 4 2 4 2 2 8" xfId="4734" xr:uid="{00000000-0005-0000-0000-000055130000}"/>
    <cellStyle name="Normal 4 2 4 2 2 8 2" xfId="13184" xr:uid="{BB6C8F62-3E9B-491E-A2AF-09B403B13473}"/>
    <cellStyle name="Normal 4 2 4 2 2 9" xfId="8966" xr:uid="{73112CFB-6778-487F-9CFE-7728F494BD48}"/>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15744" xr:uid="{A86114C7-C9FF-47C1-84A3-8EEEEE114ACB}"/>
    <cellStyle name="Normal 4 2 4 2 3 2 2 3" xfId="11526" xr:uid="{F40BBDD8-0501-4F81-8166-BCF0A472D818}"/>
    <cellStyle name="Normal 4 2 4 2 3 2 3" xfId="5149" xr:uid="{00000000-0005-0000-0000-00005A130000}"/>
    <cellStyle name="Normal 4 2 4 2 3 2 3 2" xfId="13599" xr:uid="{AEDA9EDE-3849-47B1-A678-734D813496E8}"/>
    <cellStyle name="Normal 4 2 4 2 3 2 4" xfId="9381" xr:uid="{2A1B999A-E432-4076-B2AA-A0AB6C8C1006}"/>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16157" xr:uid="{7A67C257-8B7C-4CF6-8989-0438A59E4CF6}"/>
    <cellStyle name="Normal 4 2 4 2 3 3 2 3" xfId="11939" xr:uid="{9A19782E-D35F-403F-8CF1-8B87915DFA3A}"/>
    <cellStyle name="Normal 4 2 4 2 3 3 3" xfId="5562" xr:uid="{00000000-0005-0000-0000-00005E130000}"/>
    <cellStyle name="Normal 4 2 4 2 3 3 3 2" xfId="14012" xr:uid="{9B41D6C4-1335-4361-8D00-53122A181E05}"/>
    <cellStyle name="Normal 4 2 4 2 3 3 4" xfId="9794" xr:uid="{A6893B7E-12C7-459D-AF78-B7B8E30F0944}"/>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16570" xr:uid="{DC7C6C74-6DB4-4B68-9307-4D7676D41385}"/>
    <cellStyle name="Normal 4 2 4 2 3 4 2 3" xfId="12352" xr:uid="{344B1D60-F383-4FF2-99F0-8E8A0D5A628E}"/>
    <cellStyle name="Normal 4 2 4 2 3 4 3" xfId="5975" xr:uid="{00000000-0005-0000-0000-000062130000}"/>
    <cellStyle name="Normal 4 2 4 2 3 4 3 2" xfId="14425" xr:uid="{A0E68F56-2CCF-4F15-841D-5381273C110A}"/>
    <cellStyle name="Normal 4 2 4 2 3 4 4" xfId="10207" xr:uid="{13E77D7F-4124-401A-A1E5-7A5C42721084}"/>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16983" xr:uid="{BF44DA14-8073-4A32-B6AC-D73C337CA194}"/>
    <cellStyle name="Normal 4 2 4 2 3 5 2 3" xfId="12765" xr:uid="{CCA67436-2AF6-4D36-BF7F-EEFC90928ADD}"/>
    <cellStyle name="Normal 4 2 4 2 3 5 3" xfId="6388" xr:uid="{00000000-0005-0000-0000-000066130000}"/>
    <cellStyle name="Normal 4 2 4 2 3 5 3 2" xfId="14838" xr:uid="{FDD0BB94-672B-4324-9B8C-95142AD01A87}"/>
    <cellStyle name="Normal 4 2 4 2 3 5 4" xfId="10620" xr:uid="{5D1739ED-B348-4072-A312-9AF201B421D2}"/>
    <cellStyle name="Normal 4 2 4 2 3 6" xfId="2518" xr:uid="{00000000-0005-0000-0000-000067130000}"/>
    <cellStyle name="Normal 4 2 4 2 3 6 2" xfId="6801" xr:uid="{00000000-0005-0000-0000-000068130000}"/>
    <cellStyle name="Normal 4 2 4 2 3 6 2 2" xfId="15251" xr:uid="{EC152677-D789-4CBE-9C7C-AD0D7377C981}"/>
    <cellStyle name="Normal 4 2 4 2 3 6 3" xfId="11033" xr:uid="{843B8504-842A-4C91-A7F3-BC19A5D48B41}"/>
    <cellStyle name="Normal 4 2 4 2 3 7" xfId="4736" xr:uid="{00000000-0005-0000-0000-000069130000}"/>
    <cellStyle name="Normal 4 2 4 2 3 7 2" xfId="13186" xr:uid="{7449E6A8-92ED-4B7E-AAB9-0E4412F2D572}"/>
    <cellStyle name="Normal 4 2 4 2 3 8" xfId="8968" xr:uid="{DE8B094A-CDD5-49EE-B2A8-97626B57EE63}"/>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15741" xr:uid="{5BEE7F60-B7A9-496F-A4A8-1641967C4A42}"/>
    <cellStyle name="Normal 4 2 4 2 4 2 3" xfId="11523" xr:uid="{EE0453A2-ABF2-423E-B16B-C9FE91508A69}"/>
    <cellStyle name="Normal 4 2 4 2 4 3" xfId="5146" xr:uid="{00000000-0005-0000-0000-00006D130000}"/>
    <cellStyle name="Normal 4 2 4 2 4 3 2" xfId="13596" xr:uid="{225F4377-9FA2-49A6-99F7-231F6F39DCF5}"/>
    <cellStyle name="Normal 4 2 4 2 4 4" xfId="9378" xr:uid="{49FB789C-DE21-42C8-A6AF-1FD017F4A59E}"/>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16154" xr:uid="{688F34F6-5623-4968-8EE7-8BC3509F53D6}"/>
    <cellStyle name="Normal 4 2 4 2 5 2 3" xfId="11936" xr:uid="{FB3F8A99-AF85-4471-AFFC-ED0609483722}"/>
    <cellStyle name="Normal 4 2 4 2 5 3" xfId="5559" xr:uid="{00000000-0005-0000-0000-000071130000}"/>
    <cellStyle name="Normal 4 2 4 2 5 3 2" xfId="14009" xr:uid="{E3E9C92E-69B6-4F7B-BC8A-25583072B832}"/>
    <cellStyle name="Normal 4 2 4 2 5 4" xfId="9791" xr:uid="{0B49DF60-E98C-4CF3-B753-41CB1CB37BC0}"/>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16567" xr:uid="{7BCA394B-2AA0-4E7E-9E71-91A7AE747862}"/>
    <cellStyle name="Normal 4 2 4 2 6 2 3" xfId="12349" xr:uid="{644A1E7B-35BD-496C-8738-375EB245B6CB}"/>
    <cellStyle name="Normal 4 2 4 2 6 3" xfId="5972" xr:uid="{00000000-0005-0000-0000-000075130000}"/>
    <cellStyle name="Normal 4 2 4 2 6 3 2" xfId="14422" xr:uid="{F71E7D08-3B82-4EBB-A9C4-A53199CCC64E}"/>
    <cellStyle name="Normal 4 2 4 2 6 4" xfId="10204" xr:uid="{240A2268-B4A0-43F2-976E-B23A1F9C2EB0}"/>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16980" xr:uid="{79E11FBA-053C-4365-9E1B-AFE81C83A3D4}"/>
    <cellStyle name="Normal 4 2 4 2 7 2 3" xfId="12762" xr:uid="{C04172AF-A8A6-46BF-9993-A134E814302D}"/>
    <cellStyle name="Normal 4 2 4 2 7 3" xfId="6385" xr:uid="{00000000-0005-0000-0000-000079130000}"/>
    <cellStyle name="Normal 4 2 4 2 7 3 2" xfId="14835" xr:uid="{B683AA51-E0A7-4ABD-9999-CA90F3257F4D}"/>
    <cellStyle name="Normal 4 2 4 2 7 4" xfId="10617" xr:uid="{393FC32E-59F2-4AD5-980A-3C251F36ABF9}"/>
    <cellStyle name="Normal 4 2 4 2 8" xfId="2515" xr:uid="{00000000-0005-0000-0000-00007A130000}"/>
    <cellStyle name="Normal 4 2 4 2 8 2" xfId="6798" xr:uid="{00000000-0005-0000-0000-00007B130000}"/>
    <cellStyle name="Normal 4 2 4 2 8 2 2" xfId="15248" xr:uid="{C87922A7-10E1-44DE-B6F5-F0022B33C8FD}"/>
    <cellStyle name="Normal 4 2 4 2 8 3" xfId="11030" xr:uid="{E5450267-3CE6-4546-A922-D3EFEE6C73F2}"/>
    <cellStyle name="Normal 4 2 4 2 9" xfId="4733" xr:uid="{00000000-0005-0000-0000-00007C130000}"/>
    <cellStyle name="Normal 4 2 4 2 9 2" xfId="13183" xr:uid="{A3223170-94E4-4BE6-8910-BEFE9F7064CE}"/>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15746" xr:uid="{7138F94F-F0BF-4078-8A65-F6AFB4BE0F0C}"/>
    <cellStyle name="Normal 4 2 4 3 2 2 2 3" xfId="11528" xr:uid="{39A5E665-24DD-4BAE-89DF-1A07EC49B018}"/>
    <cellStyle name="Normal 4 2 4 3 2 2 3" xfId="5151" xr:uid="{00000000-0005-0000-0000-000082130000}"/>
    <cellStyle name="Normal 4 2 4 3 2 2 3 2" xfId="13601" xr:uid="{327FABF5-9AA1-42D7-B5E6-1129FEA3C833}"/>
    <cellStyle name="Normal 4 2 4 3 2 2 4" xfId="9383" xr:uid="{75F9ED98-01DD-438F-A20E-11218F3D7AAE}"/>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16159" xr:uid="{BA83AC00-F446-4903-BE4E-3079A3BE0112}"/>
    <cellStyle name="Normal 4 2 4 3 2 3 2 3" xfId="11941" xr:uid="{F5FFC446-6084-4EA0-9195-36F689424FE8}"/>
    <cellStyle name="Normal 4 2 4 3 2 3 3" xfId="5564" xr:uid="{00000000-0005-0000-0000-000086130000}"/>
    <cellStyle name="Normal 4 2 4 3 2 3 3 2" xfId="14014" xr:uid="{3652BD7C-0B8D-4AE7-819A-18A9566F71EA}"/>
    <cellStyle name="Normal 4 2 4 3 2 3 4" xfId="9796" xr:uid="{17F8F99E-A324-4286-AB77-C9C220692F7B}"/>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16572" xr:uid="{744A4088-C234-4EB9-A113-ECDF3FDF3E51}"/>
    <cellStyle name="Normal 4 2 4 3 2 4 2 3" xfId="12354" xr:uid="{FFD4B40B-945C-4D96-B600-A1AA9C05CB37}"/>
    <cellStyle name="Normal 4 2 4 3 2 4 3" xfId="5977" xr:uid="{00000000-0005-0000-0000-00008A130000}"/>
    <cellStyle name="Normal 4 2 4 3 2 4 3 2" xfId="14427" xr:uid="{251DB9C5-1EE3-4E82-9EFB-77D70EF4BB69}"/>
    <cellStyle name="Normal 4 2 4 3 2 4 4" xfId="10209" xr:uid="{83BF735A-2149-4F4D-BE6A-21C6F7C2F0F6}"/>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16985" xr:uid="{C95F389E-63EA-47D8-932B-14201A876CAD}"/>
    <cellStyle name="Normal 4 2 4 3 2 5 2 3" xfId="12767" xr:uid="{C34288AE-35DE-48F5-9966-B5E7C5A257C2}"/>
    <cellStyle name="Normal 4 2 4 3 2 5 3" xfId="6390" xr:uid="{00000000-0005-0000-0000-00008E130000}"/>
    <cellStyle name="Normal 4 2 4 3 2 5 3 2" xfId="14840" xr:uid="{EF48D979-DD25-44BE-AB80-5E4EF79FCF7B}"/>
    <cellStyle name="Normal 4 2 4 3 2 5 4" xfId="10622" xr:uid="{3EB1AD98-0574-4390-9FA0-3D49E493BD67}"/>
    <cellStyle name="Normal 4 2 4 3 2 6" xfId="2520" xr:uid="{00000000-0005-0000-0000-00008F130000}"/>
    <cellStyle name="Normal 4 2 4 3 2 6 2" xfId="6803" xr:uid="{00000000-0005-0000-0000-000090130000}"/>
    <cellStyle name="Normal 4 2 4 3 2 6 2 2" xfId="15253" xr:uid="{284A8AFD-E4CE-45C7-90A3-E07149728D95}"/>
    <cellStyle name="Normal 4 2 4 3 2 6 3" xfId="11035" xr:uid="{FDCC5D6D-318C-4A99-B2D2-C4F4B6AFDCA4}"/>
    <cellStyle name="Normal 4 2 4 3 2 7" xfId="4738" xr:uid="{00000000-0005-0000-0000-000091130000}"/>
    <cellStyle name="Normal 4 2 4 3 2 7 2" xfId="13188" xr:uid="{DBED6C0B-9E38-4266-B794-E04EAEB05FAB}"/>
    <cellStyle name="Normal 4 2 4 3 2 8" xfId="8970" xr:uid="{CF711E11-24CB-4787-B80C-4B25B5429BAB}"/>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15745" xr:uid="{15BF70F4-0AED-43A9-B67B-D46E5E014BA6}"/>
    <cellStyle name="Normal 4 2 4 3 3 2 3" xfId="11527" xr:uid="{602B3855-9163-4830-8410-FFE28C1E6DF4}"/>
    <cellStyle name="Normal 4 2 4 3 3 3" xfId="5150" xr:uid="{00000000-0005-0000-0000-000095130000}"/>
    <cellStyle name="Normal 4 2 4 3 3 3 2" xfId="13600" xr:uid="{AAA5F3EA-D82A-49F8-A6F4-C8F430F7BE5A}"/>
    <cellStyle name="Normal 4 2 4 3 3 4" xfId="9382" xr:uid="{D8FCF487-17DA-403A-AFD2-306C31443831}"/>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16158" xr:uid="{2067D135-ADBF-49EB-B803-DE06631D17A0}"/>
    <cellStyle name="Normal 4 2 4 3 4 2 3" xfId="11940" xr:uid="{A0C64253-C506-416E-9A9C-7A70F3904208}"/>
    <cellStyle name="Normal 4 2 4 3 4 3" xfId="5563" xr:uid="{00000000-0005-0000-0000-000099130000}"/>
    <cellStyle name="Normal 4 2 4 3 4 3 2" xfId="14013" xr:uid="{CFA598D2-4487-4C4D-BCB2-08186C2A0814}"/>
    <cellStyle name="Normal 4 2 4 3 4 4" xfId="9795" xr:uid="{7AEB20EC-98C4-454E-BA20-F6FE07E2D3B5}"/>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16571" xr:uid="{D7361BA1-A89F-4CA3-B7B6-0CBDB0F90B83}"/>
    <cellStyle name="Normal 4 2 4 3 5 2 3" xfId="12353" xr:uid="{01426047-7265-4D4A-A6BB-997CDA35EDF0}"/>
    <cellStyle name="Normal 4 2 4 3 5 3" xfId="5976" xr:uid="{00000000-0005-0000-0000-00009D130000}"/>
    <cellStyle name="Normal 4 2 4 3 5 3 2" xfId="14426" xr:uid="{6905B799-934A-4B33-80CC-68DFAE0A13FF}"/>
    <cellStyle name="Normal 4 2 4 3 5 4" xfId="10208" xr:uid="{85EE8F41-0E87-49C5-A2E8-2C8995741987}"/>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16984" xr:uid="{2B258F04-0E9F-4E83-BD9A-3870BA927DB6}"/>
    <cellStyle name="Normal 4 2 4 3 6 2 3" xfId="12766" xr:uid="{4551F121-5200-48A2-81C7-15F5D09DBF59}"/>
    <cellStyle name="Normal 4 2 4 3 6 3" xfId="6389" xr:uid="{00000000-0005-0000-0000-0000A1130000}"/>
    <cellStyle name="Normal 4 2 4 3 6 3 2" xfId="14839" xr:uid="{6961E026-12FD-4A2D-8DBF-3899B064D629}"/>
    <cellStyle name="Normal 4 2 4 3 6 4" xfId="10621" xr:uid="{7B4BE742-070D-4769-9504-AE59EC0E67A5}"/>
    <cellStyle name="Normal 4 2 4 3 7" xfId="2519" xr:uid="{00000000-0005-0000-0000-0000A2130000}"/>
    <cellStyle name="Normal 4 2 4 3 7 2" xfId="6802" xr:uid="{00000000-0005-0000-0000-0000A3130000}"/>
    <cellStyle name="Normal 4 2 4 3 7 2 2" xfId="15252" xr:uid="{1D38F86E-082A-4F6C-AB54-97C14EFFE4FA}"/>
    <cellStyle name="Normal 4 2 4 3 7 3" xfId="11034" xr:uid="{8FA3F7F5-5744-4BE2-A179-3964D6130FF3}"/>
    <cellStyle name="Normal 4 2 4 3 8" xfId="4737" xr:uid="{00000000-0005-0000-0000-0000A4130000}"/>
    <cellStyle name="Normal 4 2 4 3 8 2" xfId="13187" xr:uid="{3CF415E6-E8E8-48D9-B86F-C6D6FECDF434}"/>
    <cellStyle name="Normal 4 2 4 3 9" xfId="8969" xr:uid="{81FC8120-0FE1-4DC0-9AAA-3808E76094BF}"/>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15747" xr:uid="{6BCE4743-0CC4-4C4B-B83B-43EF2A3C53CB}"/>
    <cellStyle name="Normal 4 2 4 4 2 2 3" xfId="11529" xr:uid="{4A2BF7EA-CBD6-4DAB-ADF8-08A665944589}"/>
    <cellStyle name="Normal 4 2 4 4 2 3" xfId="5152" xr:uid="{00000000-0005-0000-0000-0000A9130000}"/>
    <cellStyle name="Normal 4 2 4 4 2 3 2" xfId="13602" xr:uid="{3562F937-6931-4291-B81B-637B032429E7}"/>
    <cellStyle name="Normal 4 2 4 4 2 4" xfId="9384" xr:uid="{B6E5EEE5-8DBC-4AA4-B070-BCD143A4E83F}"/>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16160" xr:uid="{478302B0-675D-4D5B-AC9D-4D80607E573B}"/>
    <cellStyle name="Normal 4 2 4 4 3 2 3" xfId="11942" xr:uid="{13CBF63A-104B-4C05-96A7-7B07E10FFDA9}"/>
    <cellStyle name="Normal 4 2 4 4 3 3" xfId="5565" xr:uid="{00000000-0005-0000-0000-0000AD130000}"/>
    <cellStyle name="Normal 4 2 4 4 3 3 2" xfId="14015" xr:uid="{90E511E0-82FE-43A1-9E7B-57954D773A46}"/>
    <cellStyle name="Normal 4 2 4 4 3 4" xfId="9797" xr:uid="{C60E1C05-4924-41F6-9FDD-E21F2FA52AD9}"/>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16573" xr:uid="{15858F22-0197-49D8-8B1E-816541717C51}"/>
    <cellStyle name="Normal 4 2 4 4 4 2 3" xfId="12355" xr:uid="{F97C45EB-FF06-463D-93E2-A17C9A77A670}"/>
    <cellStyle name="Normal 4 2 4 4 4 3" xfId="5978" xr:uid="{00000000-0005-0000-0000-0000B1130000}"/>
    <cellStyle name="Normal 4 2 4 4 4 3 2" xfId="14428" xr:uid="{AB2F7BAE-9DCD-4EA4-A5EE-43825F00F13D}"/>
    <cellStyle name="Normal 4 2 4 4 4 4" xfId="10210" xr:uid="{A92E0CA3-F20F-479F-91D5-2D7E6350CC96}"/>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16986" xr:uid="{EA2BEA60-25D7-4E95-8BBE-DFDCCFFF4C4B}"/>
    <cellStyle name="Normal 4 2 4 4 5 2 3" xfId="12768" xr:uid="{D5FC2697-C644-4707-8F8E-389FC8917C8D}"/>
    <cellStyle name="Normal 4 2 4 4 5 3" xfId="6391" xr:uid="{00000000-0005-0000-0000-0000B5130000}"/>
    <cellStyle name="Normal 4 2 4 4 5 3 2" xfId="14841" xr:uid="{F884A2BF-306E-48DA-A55A-F4253C19F704}"/>
    <cellStyle name="Normal 4 2 4 4 5 4" xfId="10623" xr:uid="{F7B002B5-8EE8-4430-BCD5-7EBAD6575E31}"/>
    <cellStyle name="Normal 4 2 4 4 6" xfId="2521" xr:uid="{00000000-0005-0000-0000-0000B6130000}"/>
    <cellStyle name="Normal 4 2 4 4 6 2" xfId="6804" xr:uid="{00000000-0005-0000-0000-0000B7130000}"/>
    <cellStyle name="Normal 4 2 4 4 6 2 2" xfId="15254" xr:uid="{78E3CC03-E96E-491D-9BEA-C2DEB5063E44}"/>
    <cellStyle name="Normal 4 2 4 4 6 3" xfId="11036" xr:uid="{BE1F90D1-14AE-4B76-B0B5-EFC8B0335200}"/>
    <cellStyle name="Normal 4 2 4 4 7" xfId="4739" xr:uid="{00000000-0005-0000-0000-0000B8130000}"/>
    <cellStyle name="Normal 4 2 4 4 7 2" xfId="13189" xr:uid="{DEF6815A-F958-44B4-8EEB-4B1A227508EC}"/>
    <cellStyle name="Normal 4 2 4 4 8" xfId="8971" xr:uid="{AF8E0844-D596-4422-9988-97CB9B9B878D}"/>
    <cellStyle name="Normal 4 2 4 5" xfId="831" xr:uid="{00000000-0005-0000-0000-0000B9130000}"/>
    <cellStyle name="Normal 4 2 4 5 2" xfId="3068" xr:uid="{00000000-0005-0000-0000-0000BA130000}"/>
    <cellStyle name="Normal 4 2 4 5 2 2" xfId="7290" xr:uid="{00000000-0005-0000-0000-0000BB130000}"/>
    <cellStyle name="Normal 4 2 4 5 2 2 2" xfId="15740" xr:uid="{DB804835-0B2A-4677-B218-730DBD8B4FA2}"/>
    <cellStyle name="Normal 4 2 4 5 2 3" xfId="11522" xr:uid="{7F31D0CE-8337-450E-B68E-ABDCC54B8871}"/>
    <cellStyle name="Normal 4 2 4 5 3" xfId="5145" xr:uid="{00000000-0005-0000-0000-0000BC130000}"/>
    <cellStyle name="Normal 4 2 4 5 3 2" xfId="13595" xr:uid="{89E1836E-3E4F-4208-A0DF-56ED233D3078}"/>
    <cellStyle name="Normal 4 2 4 5 4" xfId="9377" xr:uid="{30DD2795-4DDD-48A0-A3C4-9CC307E02201}"/>
    <cellStyle name="Normal 4 2 4 6" xfId="1251" xr:uid="{00000000-0005-0000-0000-0000BD130000}"/>
    <cellStyle name="Normal 4 2 4 6 2" xfId="3481" xr:uid="{00000000-0005-0000-0000-0000BE130000}"/>
    <cellStyle name="Normal 4 2 4 6 2 2" xfId="7703" xr:uid="{00000000-0005-0000-0000-0000BF130000}"/>
    <cellStyle name="Normal 4 2 4 6 2 2 2" xfId="16153" xr:uid="{6A915C01-BA21-4670-AC30-7C8E21EC4706}"/>
    <cellStyle name="Normal 4 2 4 6 2 3" xfId="11935" xr:uid="{D8D5618C-4ECA-4261-8250-3DF2DF96B117}"/>
    <cellStyle name="Normal 4 2 4 6 3" xfId="5558" xr:uid="{00000000-0005-0000-0000-0000C0130000}"/>
    <cellStyle name="Normal 4 2 4 6 3 2" xfId="14008" xr:uid="{2959F099-4149-4C05-B727-77FA1EB895EA}"/>
    <cellStyle name="Normal 4 2 4 6 4" xfId="9790" xr:uid="{F4BDB32A-3E83-42F6-8A3C-EB4D5C38ECFE}"/>
    <cellStyle name="Normal 4 2 4 7" xfId="1664" xr:uid="{00000000-0005-0000-0000-0000C1130000}"/>
    <cellStyle name="Normal 4 2 4 7 2" xfId="3894" xr:uid="{00000000-0005-0000-0000-0000C2130000}"/>
    <cellStyle name="Normal 4 2 4 7 2 2" xfId="8116" xr:uid="{00000000-0005-0000-0000-0000C3130000}"/>
    <cellStyle name="Normal 4 2 4 7 2 2 2" xfId="16566" xr:uid="{603F924C-A38A-4005-B303-4F0E4D90F840}"/>
    <cellStyle name="Normal 4 2 4 7 2 3" xfId="12348" xr:uid="{3069CC3A-C88A-478E-8FD6-935266E4C182}"/>
    <cellStyle name="Normal 4 2 4 7 3" xfId="5971" xr:uid="{00000000-0005-0000-0000-0000C4130000}"/>
    <cellStyle name="Normal 4 2 4 7 3 2" xfId="14421" xr:uid="{F72CFC92-D8E5-46B5-95C1-141CF8513310}"/>
    <cellStyle name="Normal 4 2 4 7 4" xfId="10203" xr:uid="{BF87E65E-F776-4572-BF20-3FF1AB0DBF73}"/>
    <cellStyle name="Normal 4 2 4 8" xfId="2078" xr:uid="{00000000-0005-0000-0000-0000C5130000}"/>
    <cellStyle name="Normal 4 2 4 8 2" xfId="4307" xr:uid="{00000000-0005-0000-0000-0000C6130000}"/>
    <cellStyle name="Normal 4 2 4 8 2 2" xfId="8529" xr:uid="{00000000-0005-0000-0000-0000C7130000}"/>
    <cellStyle name="Normal 4 2 4 8 2 2 2" xfId="16979" xr:uid="{56818FEB-85A8-4B43-9F81-025E0594DCC1}"/>
    <cellStyle name="Normal 4 2 4 8 2 3" xfId="12761" xr:uid="{723A7D84-468A-4143-87A3-5AB2B8AA6200}"/>
    <cellStyle name="Normal 4 2 4 8 3" xfId="6384" xr:uid="{00000000-0005-0000-0000-0000C8130000}"/>
    <cellStyle name="Normal 4 2 4 8 3 2" xfId="14834" xr:uid="{A906AE4C-2C0E-423E-8D84-0597A0F8E443}"/>
    <cellStyle name="Normal 4 2 4 8 4" xfId="10616" xr:uid="{1C5F9B96-5AB5-42E8-A047-8121D32F627B}"/>
    <cellStyle name="Normal 4 2 4 9" xfId="2514" xr:uid="{00000000-0005-0000-0000-0000C9130000}"/>
    <cellStyle name="Normal 4 2 4 9 2" xfId="6797" xr:uid="{00000000-0005-0000-0000-0000CA130000}"/>
    <cellStyle name="Normal 4 2 4 9 2 2" xfId="15247" xr:uid="{DC2EA38B-FA59-4FCD-8DB4-345EBD93C63E}"/>
    <cellStyle name="Normal 4 2 4 9 3" xfId="11029" xr:uid="{F3512E0E-DA07-4E97-B229-0C67239898EE}"/>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15749" xr:uid="{248DD16E-91E7-4441-9E0E-959EA1088AB7}"/>
    <cellStyle name="Normal 4 2 5 2 2 2 3" xfId="11531" xr:uid="{C5BCD73F-E2DF-46D0-BC0A-E4DE1AF317DF}"/>
    <cellStyle name="Normal 4 2 5 2 2 3" xfId="5154" xr:uid="{00000000-0005-0000-0000-0000D0130000}"/>
    <cellStyle name="Normal 4 2 5 2 2 3 2" xfId="13604" xr:uid="{32E54C4F-EBFB-4E0A-8DE1-3E8D751DB212}"/>
    <cellStyle name="Normal 4 2 5 2 2 4" xfId="9386" xr:uid="{1EEAC7B1-E99D-4452-B186-E37E38F7FEF3}"/>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16162" xr:uid="{FB82E536-E476-47DA-9184-018F2B9DE250}"/>
    <cellStyle name="Normal 4 2 5 2 3 2 3" xfId="11944" xr:uid="{C022265F-5EA6-46D1-91F9-D1C7333F7470}"/>
    <cellStyle name="Normal 4 2 5 2 3 3" xfId="5567" xr:uid="{00000000-0005-0000-0000-0000D4130000}"/>
    <cellStyle name="Normal 4 2 5 2 3 3 2" xfId="14017" xr:uid="{6C8972AB-7961-4CD1-A75F-18960B043CD9}"/>
    <cellStyle name="Normal 4 2 5 2 3 4" xfId="9799" xr:uid="{40F7D9DF-E215-47F5-97B2-63EDC1AD66C4}"/>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16575" xr:uid="{204D4E8A-21FA-4AFA-B3F1-86C7BA1837FB}"/>
    <cellStyle name="Normal 4 2 5 2 4 2 3" xfId="12357" xr:uid="{AC7EF693-4713-4D5C-9BE7-7FB80724AE48}"/>
    <cellStyle name="Normal 4 2 5 2 4 3" xfId="5980" xr:uid="{00000000-0005-0000-0000-0000D8130000}"/>
    <cellStyle name="Normal 4 2 5 2 4 3 2" xfId="14430" xr:uid="{D1E9B39F-C9C1-49DA-8DD2-BC02225E0819}"/>
    <cellStyle name="Normal 4 2 5 2 4 4" xfId="10212" xr:uid="{08D75535-D9D8-432B-80F8-096A736D632A}"/>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16988" xr:uid="{A9F25AE1-D6B9-44A4-890B-1C410ED74383}"/>
    <cellStyle name="Normal 4 2 5 2 5 2 3" xfId="12770" xr:uid="{2B1CF418-6DB1-425C-99CE-A8AD1557C5CA}"/>
    <cellStyle name="Normal 4 2 5 2 5 3" xfId="6393" xr:uid="{00000000-0005-0000-0000-0000DC130000}"/>
    <cellStyle name="Normal 4 2 5 2 5 3 2" xfId="14843" xr:uid="{5E7D4791-84B8-4741-8451-9294C6898AA3}"/>
    <cellStyle name="Normal 4 2 5 2 5 4" xfId="10625" xr:uid="{A97E8A57-1BFA-4EE5-BB96-B4651A2D45FC}"/>
    <cellStyle name="Normal 4 2 5 2 6" xfId="2523" xr:uid="{00000000-0005-0000-0000-0000DD130000}"/>
    <cellStyle name="Normal 4 2 5 2 6 2" xfId="6806" xr:uid="{00000000-0005-0000-0000-0000DE130000}"/>
    <cellStyle name="Normal 4 2 5 2 6 2 2" xfId="15256" xr:uid="{F5E6BE4F-9CED-43AC-8B67-794BE8F037F8}"/>
    <cellStyle name="Normal 4 2 5 2 6 3" xfId="11038" xr:uid="{E8ED191D-70B9-4B53-9403-EAC78B9B98E0}"/>
    <cellStyle name="Normal 4 2 5 2 7" xfId="4741" xr:uid="{00000000-0005-0000-0000-0000DF130000}"/>
    <cellStyle name="Normal 4 2 5 2 7 2" xfId="13191" xr:uid="{25998A56-5F59-4356-B2BE-94C8903CADCD}"/>
    <cellStyle name="Normal 4 2 5 2 8" xfId="8973" xr:uid="{507F46CF-531D-4EC1-9BA2-EC90762DE51D}"/>
    <cellStyle name="Normal 4 2 5 3" xfId="839" xr:uid="{00000000-0005-0000-0000-0000E0130000}"/>
    <cellStyle name="Normal 4 2 5 3 2" xfId="3076" xr:uid="{00000000-0005-0000-0000-0000E1130000}"/>
    <cellStyle name="Normal 4 2 5 3 2 2" xfId="7298" xr:uid="{00000000-0005-0000-0000-0000E2130000}"/>
    <cellStyle name="Normal 4 2 5 3 2 2 2" xfId="15748" xr:uid="{0FA070FB-6C0D-4F8A-8E1A-8AD4EC0DB788}"/>
    <cellStyle name="Normal 4 2 5 3 2 3" xfId="11530" xr:uid="{3679420B-2460-4CA0-A573-A94BD756FA35}"/>
    <cellStyle name="Normal 4 2 5 3 3" xfId="5153" xr:uid="{00000000-0005-0000-0000-0000E3130000}"/>
    <cellStyle name="Normal 4 2 5 3 3 2" xfId="13603" xr:uid="{829D3694-5F2E-484B-8F9C-7AE4C8CFA190}"/>
    <cellStyle name="Normal 4 2 5 3 4" xfId="9385" xr:uid="{89E129E1-F17C-447E-A86D-2C2424245B48}"/>
    <cellStyle name="Normal 4 2 5 4" xfId="1259" xr:uid="{00000000-0005-0000-0000-0000E4130000}"/>
    <cellStyle name="Normal 4 2 5 4 2" xfId="3489" xr:uid="{00000000-0005-0000-0000-0000E5130000}"/>
    <cellStyle name="Normal 4 2 5 4 2 2" xfId="7711" xr:uid="{00000000-0005-0000-0000-0000E6130000}"/>
    <cellStyle name="Normal 4 2 5 4 2 2 2" xfId="16161" xr:uid="{0E1E8894-2F43-43FF-9D63-EA4381B96D19}"/>
    <cellStyle name="Normal 4 2 5 4 2 3" xfId="11943" xr:uid="{71C43E19-2C17-41C7-AA3F-65261D716CCB}"/>
    <cellStyle name="Normal 4 2 5 4 3" xfId="5566" xr:uid="{00000000-0005-0000-0000-0000E7130000}"/>
    <cellStyle name="Normal 4 2 5 4 3 2" xfId="14016" xr:uid="{4DB93F81-D3A0-4199-9381-D0BBCCF1B07F}"/>
    <cellStyle name="Normal 4 2 5 4 4" xfId="9798" xr:uid="{274F0DF3-985F-4490-A40B-7C6839815C0C}"/>
    <cellStyle name="Normal 4 2 5 5" xfId="1672" xr:uid="{00000000-0005-0000-0000-0000E8130000}"/>
    <cellStyle name="Normal 4 2 5 5 2" xfId="3902" xr:uid="{00000000-0005-0000-0000-0000E9130000}"/>
    <cellStyle name="Normal 4 2 5 5 2 2" xfId="8124" xr:uid="{00000000-0005-0000-0000-0000EA130000}"/>
    <cellStyle name="Normal 4 2 5 5 2 2 2" xfId="16574" xr:uid="{B2DB300F-72B6-44EF-9763-BBC9F3CD7466}"/>
    <cellStyle name="Normal 4 2 5 5 2 3" xfId="12356" xr:uid="{4BEE5A3E-E041-4DB4-8ED6-BE9474A2C252}"/>
    <cellStyle name="Normal 4 2 5 5 3" xfId="5979" xr:uid="{00000000-0005-0000-0000-0000EB130000}"/>
    <cellStyle name="Normal 4 2 5 5 3 2" xfId="14429" xr:uid="{5FB9BD43-6AA3-45A0-9AAE-D4DB62F0D9E2}"/>
    <cellStyle name="Normal 4 2 5 5 4" xfId="10211" xr:uid="{43AED396-DDFD-4F80-A3F1-CDDC581595C4}"/>
    <cellStyle name="Normal 4 2 5 6" xfId="2086" xr:uid="{00000000-0005-0000-0000-0000EC130000}"/>
    <cellStyle name="Normal 4 2 5 6 2" xfId="4315" xr:uid="{00000000-0005-0000-0000-0000ED130000}"/>
    <cellStyle name="Normal 4 2 5 6 2 2" xfId="8537" xr:uid="{00000000-0005-0000-0000-0000EE130000}"/>
    <cellStyle name="Normal 4 2 5 6 2 2 2" xfId="16987" xr:uid="{08641E20-97E2-4713-A019-19AFF0C48125}"/>
    <cellStyle name="Normal 4 2 5 6 2 3" xfId="12769" xr:uid="{94B31DAA-6842-48F4-864A-07FC84505C4E}"/>
    <cellStyle name="Normal 4 2 5 6 3" xfId="6392" xr:uid="{00000000-0005-0000-0000-0000EF130000}"/>
    <cellStyle name="Normal 4 2 5 6 3 2" xfId="14842" xr:uid="{D6F34582-C823-41E5-8A0F-32120A6C7426}"/>
    <cellStyle name="Normal 4 2 5 6 4" xfId="10624" xr:uid="{F49B9ED8-30CA-4225-9D53-F612627A51E9}"/>
    <cellStyle name="Normal 4 2 5 7" xfId="2522" xr:uid="{00000000-0005-0000-0000-0000F0130000}"/>
    <cellStyle name="Normal 4 2 5 7 2" xfId="6805" xr:uid="{00000000-0005-0000-0000-0000F1130000}"/>
    <cellStyle name="Normal 4 2 5 7 2 2" xfId="15255" xr:uid="{AB10EE48-8F21-44B4-9A98-1FC879E42D8C}"/>
    <cellStyle name="Normal 4 2 5 7 3" xfId="11037" xr:uid="{94D6807F-0C69-4B52-B646-A88A00FDD7C2}"/>
    <cellStyle name="Normal 4 2 5 8" xfId="4740" xr:uid="{00000000-0005-0000-0000-0000F2130000}"/>
    <cellStyle name="Normal 4 2 5 8 2" xfId="13190" xr:uid="{728048DC-86DB-4557-9129-8743343FC0EA}"/>
    <cellStyle name="Normal 4 2 5 9" xfId="8972" xr:uid="{B85CA395-602E-494C-8FA8-87F9F0A6BCA1}"/>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2 2 2" xfId="15750" xr:uid="{7721C23D-482A-49F1-AECD-9CF9372337BE}"/>
    <cellStyle name="Normal 4 2 6 2 2 3" xfId="11532" xr:uid="{B4DBA55A-800C-41A0-9472-A89B2AE95D0F}"/>
    <cellStyle name="Normal 4 2 6 2 3" xfId="5155" xr:uid="{00000000-0005-0000-0000-0000F7130000}"/>
    <cellStyle name="Normal 4 2 6 2 3 2" xfId="13605" xr:uid="{B919537C-D563-4DF9-8B42-217E39BE0DE3}"/>
    <cellStyle name="Normal 4 2 6 2 4" xfId="9387" xr:uid="{3D1F2EF5-4ADE-4F5A-A212-68998BFABF6A}"/>
    <cellStyle name="Normal 4 2 6 3" xfId="1261" xr:uid="{00000000-0005-0000-0000-0000F8130000}"/>
    <cellStyle name="Normal 4 2 6 3 2" xfId="3491" xr:uid="{00000000-0005-0000-0000-0000F9130000}"/>
    <cellStyle name="Normal 4 2 6 3 2 2" xfId="7713" xr:uid="{00000000-0005-0000-0000-0000FA130000}"/>
    <cellStyle name="Normal 4 2 6 3 2 2 2" xfId="16163" xr:uid="{66E3BEB5-2AD2-4DDB-A277-D92729CECC55}"/>
    <cellStyle name="Normal 4 2 6 3 2 3" xfId="11945" xr:uid="{5679D7D4-BA1A-4776-ACA9-C4040C832E07}"/>
    <cellStyle name="Normal 4 2 6 3 3" xfId="5568" xr:uid="{00000000-0005-0000-0000-0000FB130000}"/>
    <cellStyle name="Normal 4 2 6 3 3 2" xfId="14018" xr:uid="{E6852AD4-0B83-4B6B-965E-F50397B260A6}"/>
    <cellStyle name="Normal 4 2 6 3 4" xfId="9800" xr:uid="{25556825-D665-48DD-B5D5-3C1C9D65F3FD}"/>
    <cellStyle name="Normal 4 2 6 4" xfId="1674" xr:uid="{00000000-0005-0000-0000-0000FC130000}"/>
    <cellStyle name="Normal 4 2 6 4 2" xfId="3904" xr:uid="{00000000-0005-0000-0000-0000FD130000}"/>
    <cellStyle name="Normal 4 2 6 4 2 2" xfId="8126" xr:uid="{00000000-0005-0000-0000-0000FE130000}"/>
    <cellStyle name="Normal 4 2 6 4 2 2 2" xfId="16576" xr:uid="{0469CA55-0A72-4D7E-88FE-FE4595FA9CC9}"/>
    <cellStyle name="Normal 4 2 6 4 2 3" xfId="12358" xr:uid="{8324F02D-823C-4A69-A5E3-B5F16E88C31A}"/>
    <cellStyle name="Normal 4 2 6 4 3" xfId="5981" xr:uid="{00000000-0005-0000-0000-0000FF130000}"/>
    <cellStyle name="Normal 4 2 6 4 3 2" xfId="14431" xr:uid="{69D01639-7812-4E93-874D-67BBFE6AB3D1}"/>
    <cellStyle name="Normal 4 2 6 4 4" xfId="10213" xr:uid="{88778727-64A6-427F-BB85-988E9625EEC8}"/>
    <cellStyle name="Normal 4 2 6 5" xfId="2088" xr:uid="{00000000-0005-0000-0000-000000140000}"/>
    <cellStyle name="Normal 4 2 6 5 2" xfId="4317" xr:uid="{00000000-0005-0000-0000-000001140000}"/>
    <cellStyle name="Normal 4 2 6 5 2 2" xfId="8539" xr:uid="{00000000-0005-0000-0000-000002140000}"/>
    <cellStyle name="Normal 4 2 6 5 2 2 2" xfId="16989" xr:uid="{A4116CC3-3D9C-4CA6-BB34-BD77BE952D74}"/>
    <cellStyle name="Normal 4 2 6 5 2 3" xfId="12771" xr:uid="{646E571C-E124-4362-A3F4-3B69266878B4}"/>
    <cellStyle name="Normal 4 2 6 5 3" xfId="6394" xr:uid="{00000000-0005-0000-0000-000003140000}"/>
    <cellStyle name="Normal 4 2 6 5 3 2" xfId="14844" xr:uid="{6BB3CABC-842D-4E64-8F3D-35328EC048B2}"/>
    <cellStyle name="Normal 4 2 6 5 4" xfId="10626" xr:uid="{B96B6736-D0BE-42E2-B422-5A643D370F43}"/>
    <cellStyle name="Normal 4 2 6 6" xfId="2524" xr:uid="{00000000-0005-0000-0000-000004140000}"/>
    <cellStyle name="Normal 4 2 6 6 2" xfId="6807" xr:uid="{00000000-0005-0000-0000-000005140000}"/>
    <cellStyle name="Normal 4 2 6 6 2 2" xfId="15257" xr:uid="{08D3580F-A67D-4455-8CE6-FADAD8FB4613}"/>
    <cellStyle name="Normal 4 2 6 6 3" xfId="11039" xr:uid="{09496388-FAC0-47FA-B838-66891014C729}"/>
    <cellStyle name="Normal 4 2 6 7" xfId="4742" xr:uid="{00000000-0005-0000-0000-000006140000}"/>
    <cellStyle name="Normal 4 2 6 7 2" xfId="13192" xr:uid="{C807FAEF-97A2-4955-8666-D0B4050CCA13}"/>
    <cellStyle name="Normal 4 2 6 8" xfId="8974" xr:uid="{A62E3AFD-5459-442A-96C3-BBC4A70B3C0A}"/>
    <cellStyle name="Normal 4 3" xfId="366" xr:uid="{00000000-0005-0000-0000-000007140000}"/>
    <cellStyle name="Normal 4 3 10" xfId="8975" xr:uid="{4235FA6C-B48C-427A-800B-BFEBC2F6CEDF}"/>
    <cellStyle name="Normal 4 3 2" xfId="367" xr:uid="{00000000-0005-0000-0000-000008140000}"/>
    <cellStyle name="Normal 4 3 2 2" xfId="368" xr:uid="{00000000-0005-0000-0000-000009140000}"/>
    <cellStyle name="Normal 4 3 2 2 2" xfId="369" xr:uid="{00000000-0005-0000-0000-00000A140000}"/>
    <cellStyle name="Normal 4 3 2 2 2 10" xfId="8976" xr:uid="{E9ABE253-934C-4215-8FA5-6A10230713FE}"/>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15754" xr:uid="{6CC98D7D-FE49-46DF-88DA-31A54EDA010D}"/>
    <cellStyle name="Normal 4 3 2 2 2 2 2 2 2 3" xfId="11536" xr:uid="{B10315FF-04BB-4978-91C5-E2F8719CFAC6}"/>
    <cellStyle name="Normal 4 3 2 2 2 2 2 2 3" xfId="5159" xr:uid="{00000000-0005-0000-0000-000010140000}"/>
    <cellStyle name="Normal 4 3 2 2 2 2 2 2 3 2" xfId="13609" xr:uid="{EF10BE8A-D8F2-4898-8868-5B08F1F028C9}"/>
    <cellStyle name="Normal 4 3 2 2 2 2 2 2 4" xfId="9391" xr:uid="{3E0BAE0E-E42F-403F-A523-2B4B97F60E69}"/>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16167" xr:uid="{04B99A9E-450C-422C-83CD-AC5A08A5A0B3}"/>
    <cellStyle name="Normal 4 3 2 2 2 2 2 3 2 3" xfId="11949" xr:uid="{AC4DAC28-0670-48F4-8E76-46E2507968F6}"/>
    <cellStyle name="Normal 4 3 2 2 2 2 2 3 3" xfId="5572" xr:uid="{00000000-0005-0000-0000-000014140000}"/>
    <cellStyle name="Normal 4 3 2 2 2 2 2 3 3 2" xfId="14022" xr:uid="{59DDB9A8-5797-4DD4-A7CD-693B056E0296}"/>
    <cellStyle name="Normal 4 3 2 2 2 2 2 3 4" xfId="9804" xr:uid="{00560435-A827-4B20-BF74-377FD853B521}"/>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16580" xr:uid="{003C6F42-19E0-4251-A987-D445C32DD44F}"/>
    <cellStyle name="Normal 4 3 2 2 2 2 2 4 2 3" xfId="12362" xr:uid="{A1F32A8E-FE9A-42A4-B8E0-204710337A21}"/>
    <cellStyle name="Normal 4 3 2 2 2 2 2 4 3" xfId="5985" xr:uid="{00000000-0005-0000-0000-000018140000}"/>
    <cellStyle name="Normal 4 3 2 2 2 2 2 4 3 2" xfId="14435" xr:uid="{F48DB8A6-2FE7-41EF-A265-50C176331404}"/>
    <cellStyle name="Normal 4 3 2 2 2 2 2 4 4" xfId="10217" xr:uid="{9BDE681B-11EC-4E97-867C-BBE3C6337844}"/>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16993" xr:uid="{AE0C89F4-FF2E-4150-8389-FC1D4D3FD152}"/>
    <cellStyle name="Normal 4 3 2 2 2 2 2 5 2 3" xfId="12775" xr:uid="{6C810798-CD08-49A3-8C5E-9C1BB24248EA}"/>
    <cellStyle name="Normal 4 3 2 2 2 2 2 5 3" xfId="6398" xr:uid="{00000000-0005-0000-0000-00001C140000}"/>
    <cellStyle name="Normal 4 3 2 2 2 2 2 5 3 2" xfId="14848" xr:uid="{523E5434-2A9F-4197-9F72-3537B873BFC4}"/>
    <cellStyle name="Normal 4 3 2 2 2 2 2 5 4" xfId="10630" xr:uid="{44DC61ED-F4DE-4237-BD6B-34E7DB6B4831}"/>
    <cellStyle name="Normal 4 3 2 2 2 2 2 6" xfId="2528" xr:uid="{00000000-0005-0000-0000-00001D140000}"/>
    <cellStyle name="Normal 4 3 2 2 2 2 2 6 2" xfId="6811" xr:uid="{00000000-0005-0000-0000-00001E140000}"/>
    <cellStyle name="Normal 4 3 2 2 2 2 2 6 2 2" xfId="15261" xr:uid="{096E818A-A6E1-4629-90CE-F25AFC11B200}"/>
    <cellStyle name="Normal 4 3 2 2 2 2 2 6 3" xfId="11043" xr:uid="{168F2331-3B56-4E73-96FA-96D70D239B9D}"/>
    <cellStyle name="Normal 4 3 2 2 2 2 2 7" xfId="4746" xr:uid="{00000000-0005-0000-0000-00001F140000}"/>
    <cellStyle name="Normal 4 3 2 2 2 2 2 7 2" xfId="13196" xr:uid="{3782ED62-88D6-4065-A032-DCC8884590AA}"/>
    <cellStyle name="Normal 4 3 2 2 2 2 2 8" xfId="8978" xr:uid="{FDE13C94-7E06-435F-97FB-BE80FCF56784}"/>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15753" xr:uid="{3DDE92A4-3EB8-4CFD-804B-82E2E482D11D}"/>
    <cellStyle name="Normal 4 3 2 2 2 2 3 2 3" xfId="11535" xr:uid="{60CB1610-977A-48A8-87D7-AB262882073E}"/>
    <cellStyle name="Normal 4 3 2 2 2 2 3 3" xfId="5158" xr:uid="{00000000-0005-0000-0000-000023140000}"/>
    <cellStyle name="Normal 4 3 2 2 2 2 3 3 2" xfId="13608" xr:uid="{7DC1A08B-96D5-421F-80DE-93CA5D8A6FAA}"/>
    <cellStyle name="Normal 4 3 2 2 2 2 3 4" xfId="9390" xr:uid="{D7138F30-406B-4E61-B977-F74C4A61DF29}"/>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16166" xr:uid="{794876C0-F556-4D37-9641-E2E1F00C9991}"/>
    <cellStyle name="Normal 4 3 2 2 2 2 4 2 3" xfId="11948" xr:uid="{EE65CA05-7F2C-4E9F-A824-8494EFA06F4A}"/>
    <cellStyle name="Normal 4 3 2 2 2 2 4 3" xfId="5571" xr:uid="{00000000-0005-0000-0000-000027140000}"/>
    <cellStyle name="Normal 4 3 2 2 2 2 4 3 2" xfId="14021" xr:uid="{87F8D7E8-8AFF-486D-B59F-69CAC0678903}"/>
    <cellStyle name="Normal 4 3 2 2 2 2 4 4" xfId="9803" xr:uid="{3567B221-59BB-4B65-A871-BB55FAE7F363}"/>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16579" xr:uid="{05327118-B6B2-404A-8E94-E2A62599A132}"/>
    <cellStyle name="Normal 4 3 2 2 2 2 5 2 3" xfId="12361" xr:uid="{D21EBB24-8F52-49E1-9B31-AF5EEF629288}"/>
    <cellStyle name="Normal 4 3 2 2 2 2 5 3" xfId="5984" xr:uid="{00000000-0005-0000-0000-00002B140000}"/>
    <cellStyle name="Normal 4 3 2 2 2 2 5 3 2" xfId="14434" xr:uid="{91A74E51-4683-4179-BC20-34934ED79F3B}"/>
    <cellStyle name="Normal 4 3 2 2 2 2 5 4" xfId="10216" xr:uid="{DF93CAF6-8CCC-44D6-9422-91DEF075C843}"/>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16992" xr:uid="{73299071-192B-4BCE-8A0A-06557C2FF93A}"/>
    <cellStyle name="Normal 4 3 2 2 2 2 6 2 3" xfId="12774" xr:uid="{0B83B80E-6B75-4DDE-AE7F-680AEF2E8D61}"/>
    <cellStyle name="Normal 4 3 2 2 2 2 6 3" xfId="6397" xr:uid="{00000000-0005-0000-0000-00002F140000}"/>
    <cellStyle name="Normal 4 3 2 2 2 2 6 3 2" xfId="14847" xr:uid="{7F6DA7AF-3D7F-4C14-992A-6161F6AE64FB}"/>
    <cellStyle name="Normal 4 3 2 2 2 2 6 4" xfId="10629" xr:uid="{D581177B-7C97-472F-BEEF-7D80645B1196}"/>
    <cellStyle name="Normal 4 3 2 2 2 2 7" xfId="2527" xr:uid="{00000000-0005-0000-0000-000030140000}"/>
    <cellStyle name="Normal 4 3 2 2 2 2 7 2" xfId="6810" xr:uid="{00000000-0005-0000-0000-000031140000}"/>
    <cellStyle name="Normal 4 3 2 2 2 2 7 2 2" xfId="15260" xr:uid="{4ABD4C9A-C6A8-4091-94D5-7332A3D9F4B6}"/>
    <cellStyle name="Normal 4 3 2 2 2 2 7 3" xfId="11042" xr:uid="{7AF8E2C7-35A5-4930-8EEB-38E9553F1DA7}"/>
    <cellStyle name="Normal 4 3 2 2 2 2 8" xfId="4745" xr:uid="{00000000-0005-0000-0000-000032140000}"/>
    <cellStyle name="Normal 4 3 2 2 2 2 8 2" xfId="13195" xr:uid="{26B8DE52-8E60-4BF2-9D40-F630005501CB}"/>
    <cellStyle name="Normal 4 3 2 2 2 2 9" xfId="8977" xr:uid="{D6B78D14-5CAC-486C-ACAD-E39C25F4D3EA}"/>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15755" xr:uid="{6CB5DFBA-D342-4D81-BFB0-002414FDF563}"/>
    <cellStyle name="Normal 4 3 2 2 2 3 2 2 3" xfId="11537" xr:uid="{F963691E-5534-4BCF-B6AC-A65353FEDD35}"/>
    <cellStyle name="Normal 4 3 2 2 2 3 2 3" xfId="5160" xr:uid="{00000000-0005-0000-0000-000037140000}"/>
    <cellStyle name="Normal 4 3 2 2 2 3 2 3 2" xfId="13610" xr:uid="{B1DDC98C-8135-460E-AD06-0EBC6ABA75CE}"/>
    <cellStyle name="Normal 4 3 2 2 2 3 2 4" xfId="9392" xr:uid="{85EF35B5-5880-48F1-BFE7-18B2FDEDB69B}"/>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16168" xr:uid="{1E6B0547-F252-44D3-92A5-C9399827B999}"/>
    <cellStyle name="Normal 4 3 2 2 2 3 3 2 3" xfId="11950" xr:uid="{113AC8B5-59EF-4FBA-AED8-2AE02BD28390}"/>
    <cellStyle name="Normal 4 3 2 2 2 3 3 3" xfId="5573" xr:uid="{00000000-0005-0000-0000-00003B140000}"/>
    <cellStyle name="Normal 4 3 2 2 2 3 3 3 2" xfId="14023" xr:uid="{D58AA34C-3963-45B8-A824-CCE44AA36E2D}"/>
    <cellStyle name="Normal 4 3 2 2 2 3 3 4" xfId="9805" xr:uid="{F5F81A53-415B-4C5D-A69C-7190D690F5FC}"/>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16581" xr:uid="{A923A5EF-7BA2-4431-82ED-25A0C7E7FD2F}"/>
    <cellStyle name="Normal 4 3 2 2 2 3 4 2 3" xfId="12363" xr:uid="{746D5D70-9176-445F-9CE2-A217CBC8F199}"/>
    <cellStyle name="Normal 4 3 2 2 2 3 4 3" xfId="5986" xr:uid="{00000000-0005-0000-0000-00003F140000}"/>
    <cellStyle name="Normal 4 3 2 2 2 3 4 3 2" xfId="14436" xr:uid="{D7DB0345-E58B-497A-9BA1-B9DA91C303DF}"/>
    <cellStyle name="Normal 4 3 2 2 2 3 4 4" xfId="10218" xr:uid="{C2739EF2-48E5-4297-A5BC-0612363BA31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16994" xr:uid="{944AFB22-8CF8-4DC4-89DC-4BDAF5D3ACE8}"/>
    <cellStyle name="Normal 4 3 2 2 2 3 5 2 3" xfId="12776" xr:uid="{F539169F-74B1-46F1-8A5C-FFA3E82E0A56}"/>
    <cellStyle name="Normal 4 3 2 2 2 3 5 3" xfId="6399" xr:uid="{00000000-0005-0000-0000-000043140000}"/>
    <cellStyle name="Normal 4 3 2 2 2 3 5 3 2" xfId="14849" xr:uid="{82FE48BC-C8C5-4498-8ACF-67D0F2AFD1F6}"/>
    <cellStyle name="Normal 4 3 2 2 2 3 5 4" xfId="10631" xr:uid="{2DCC8F9E-CE51-4D17-B4BB-A79B7CB3E9A1}"/>
    <cellStyle name="Normal 4 3 2 2 2 3 6" xfId="2529" xr:uid="{00000000-0005-0000-0000-000044140000}"/>
    <cellStyle name="Normal 4 3 2 2 2 3 6 2" xfId="6812" xr:uid="{00000000-0005-0000-0000-000045140000}"/>
    <cellStyle name="Normal 4 3 2 2 2 3 6 2 2" xfId="15262" xr:uid="{B0B59495-FF15-4FEE-8649-C3A5487C257E}"/>
    <cellStyle name="Normal 4 3 2 2 2 3 6 3" xfId="11044" xr:uid="{F15D5637-387C-4912-87D5-7695D7D47CE4}"/>
    <cellStyle name="Normal 4 3 2 2 2 3 7" xfId="4747" xr:uid="{00000000-0005-0000-0000-000046140000}"/>
    <cellStyle name="Normal 4 3 2 2 2 3 7 2" xfId="13197" xr:uid="{0E6A50D2-5FC3-4586-A6ED-41D5AC4ADE45}"/>
    <cellStyle name="Normal 4 3 2 2 2 3 8" xfId="8979" xr:uid="{930D8B58-5CB1-4024-B7FF-D4E40CB26996}"/>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15752" xr:uid="{CC154CC8-2798-4608-8A18-E198BED30F8C}"/>
    <cellStyle name="Normal 4 3 2 2 2 4 2 3" xfId="11534" xr:uid="{8CD02310-8ACC-4D19-A9AF-F4634080505B}"/>
    <cellStyle name="Normal 4 3 2 2 2 4 3" xfId="5157" xr:uid="{00000000-0005-0000-0000-00004A140000}"/>
    <cellStyle name="Normal 4 3 2 2 2 4 3 2" xfId="13607" xr:uid="{C8DF5898-6A86-4416-ACE8-FE8026AB6306}"/>
    <cellStyle name="Normal 4 3 2 2 2 4 4" xfId="9389" xr:uid="{A4D07F90-5B97-46F0-BDC7-81430EC655F6}"/>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16165" xr:uid="{B4E2B550-7622-493F-A048-E947FA1C6768}"/>
    <cellStyle name="Normal 4 3 2 2 2 5 2 3" xfId="11947" xr:uid="{D5AB754A-8739-478D-8C40-AE6229981C18}"/>
    <cellStyle name="Normal 4 3 2 2 2 5 3" xfId="5570" xr:uid="{00000000-0005-0000-0000-00004E140000}"/>
    <cellStyle name="Normal 4 3 2 2 2 5 3 2" xfId="14020" xr:uid="{CF6FDAAB-9FFA-441A-89EC-49373E23CF78}"/>
    <cellStyle name="Normal 4 3 2 2 2 5 4" xfId="9802" xr:uid="{00F1EB63-D926-4D4D-B85B-7F908BF928A3}"/>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16578" xr:uid="{9AA282D0-582D-4F43-BFDD-83C069AEE9C0}"/>
    <cellStyle name="Normal 4 3 2 2 2 6 2 3" xfId="12360" xr:uid="{20993948-D645-45EE-A522-E44909FBFF5D}"/>
    <cellStyle name="Normal 4 3 2 2 2 6 3" xfId="5983" xr:uid="{00000000-0005-0000-0000-000052140000}"/>
    <cellStyle name="Normal 4 3 2 2 2 6 3 2" xfId="14433" xr:uid="{0E0C0911-D4D3-4AA4-AA02-06CDFC6EE1D5}"/>
    <cellStyle name="Normal 4 3 2 2 2 6 4" xfId="10215" xr:uid="{D4452342-5372-4303-99A0-5D0576DF7B6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16991" xr:uid="{34253229-B786-4BEB-80BC-9F6C8AB74F6C}"/>
    <cellStyle name="Normal 4 3 2 2 2 7 2 3" xfId="12773" xr:uid="{2EA3CD37-798D-4665-844F-989938B7A426}"/>
    <cellStyle name="Normal 4 3 2 2 2 7 3" xfId="6396" xr:uid="{00000000-0005-0000-0000-000056140000}"/>
    <cellStyle name="Normal 4 3 2 2 2 7 3 2" xfId="14846" xr:uid="{7F1108D9-C183-4A1C-9665-A51B13B07090}"/>
    <cellStyle name="Normal 4 3 2 2 2 7 4" xfId="10628" xr:uid="{242CC128-65B9-4043-BD31-FC49BC8B4F0F}"/>
    <cellStyle name="Normal 4 3 2 2 2 8" xfId="2526" xr:uid="{00000000-0005-0000-0000-000057140000}"/>
    <cellStyle name="Normal 4 3 2 2 2 8 2" xfId="6809" xr:uid="{00000000-0005-0000-0000-000058140000}"/>
    <cellStyle name="Normal 4 3 2 2 2 8 2 2" xfId="15259" xr:uid="{63FDE051-329D-4857-87E0-DA4049950838}"/>
    <cellStyle name="Normal 4 3 2 2 2 8 3" xfId="11041" xr:uid="{60370AF5-BED0-42B8-A024-67F9301E9614}"/>
    <cellStyle name="Normal 4 3 2 2 2 9" xfId="4744" xr:uid="{00000000-0005-0000-0000-000059140000}"/>
    <cellStyle name="Normal 4 3 2 2 2 9 2" xfId="13194" xr:uid="{8C6205F9-05CE-4580-B14E-2E274A804F26}"/>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80" xr:uid="{89ED48EC-C971-4311-8362-566BD94341B3}"/>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15758" xr:uid="{308918B6-FDD7-497E-9F8E-684ED912324F}"/>
    <cellStyle name="Normal 4 3 3 2 2 2 2 3" xfId="11540" xr:uid="{12918681-EE6B-4E5D-9ACF-AD8717EED318}"/>
    <cellStyle name="Normal 4 3 3 2 2 2 3" xfId="5163" xr:uid="{00000000-0005-0000-0000-000063140000}"/>
    <cellStyle name="Normal 4 3 3 2 2 2 3 2" xfId="13613" xr:uid="{55FC6505-E38B-4ACF-A0C3-88ABD3ADCC7B}"/>
    <cellStyle name="Normal 4 3 3 2 2 2 4" xfId="9395" xr:uid="{D9C81899-3FE8-4B1E-B81E-741CC9F3F479}"/>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16171" xr:uid="{54810EDD-B704-4627-9826-EDE3CF9B569C}"/>
    <cellStyle name="Normal 4 3 3 2 2 3 2 3" xfId="11953" xr:uid="{C2E7EB49-42CD-4D50-B450-EDA9D862DF2A}"/>
    <cellStyle name="Normal 4 3 3 2 2 3 3" xfId="5576" xr:uid="{00000000-0005-0000-0000-000067140000}"/>
    <cellStyle name="Normal 4 3 3 2 2 3 3 2" xfId="14026" xr:uid="{3A1E6486-B7D1-49EB-B986-0375A3CB0BEF}"/>
    <cellStyle name="Normal 4 3 3 2 2 3 4" xfId="9808" xr:uid="{5199A556-4E86-4968-91C5-1980B8DFF874}"/>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16584" xr:uid="{26103D99-16F2-4325-B54A-EF1C87A3961D}"/>
    <cellStyle name="Normal 4 3 3 2 2 4 2 3" xfId="12366" xr:uid="{9CF16F6E-1A6F-4E0A-A26F-56654B0AEAFA}"/>
    <cellStyle name="Normal 4 3 3 2 2 4 3" xfId="5989" xr:uid="{00000000-0005-0000-0000-00006B140000}"/>
    <cellStyle name="Normal 4 3 3 2 2 4 3 2" xfId="14439" xr:uid="{2A9B81D4-7128-4C62-8C79-F8D86C6CFA11}"/>
    <cellStyle name="Normal 4 3 3 2 2 4 4" xfId="10221" xr:uid="{D35B1153-708B-4AC6-9D60-DB60BD2DF5FD}"/>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16997" xr:uid="{FE481897-3A47-4EC6-8784-BF6EADE351B1}"/>
    <cellStyle name="Normal 4 3 3 2 2 5 2 3" xfId="12779" xr:uid="{5FEBBFF3-F611-4786-B974-C797C5B86AFB}"/>
    <cellStyle name="Normal 4 3 3 2 2 5 3" xfId="6402" xr:uid="{00000000-0005-0000-0000-00006F140000}"/>
    <cellStyle name="Normal 4 3 3 2 2 5 3 2" xfId="14852" xr:uid="{E94BC5FF-1C89-459F-8D7B-5B195C3282E2}"/>
    <cellStyle name="Normal 4 3 3 2 2 5 4" xfId="10634" xr:uid="{A70A1F3B-629D-4EE5-9EEF-15A6E98BA50A}"/>
    <cellStyle name="Normal 4 3 3 2 2 6" xfId="2532" xr:uid="{00000000-0005-0000-0000-000070140000}"/>
    <cellStyle name="Normal 4 3 3 2 2 6 2" xfId="6815" xr:uid="{00000000-0005-0000-0000-000071140000}"/>
    <cellStyle name="Normal 4 3 3 2 2 6 2 2" xfId="15265" xr:uid="{F9570D19-2FF1-4B22-BCAA-111450FB6BAF}"/>
    <cellStyle name="Normal 4 3 3 2 2 6 3" xfId="11047" xr:uid="{CD39AACB-0988-4BB4-BA4C-9B140BDB8D02}"/>
    <cellStyle name="Normal 4 3 3 2 2 7" xfId="4750" xr:uid="{00000000-0005-0000-0000-000072140000}"/>
    <cellStyle name="Normal 4 3 3 2 2 7 2" xfId="13200" xr:uid="{953EB451-C16C-4D8E-8E66-624A0AD78CC8}"/>
    <cellStyle name="Normal 4 3 3 2 2 8" xfId="8982" xr:uid="{AD44C40D-1541-4446-9332-9B6190BC164E}"/>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15757" xr:uid="{D6DAE712-995C-4C0C-863A-C993ECDD5FAD}"/>
    <cellStyle name="Normal 4 3 3 2 3 2 3" xfId="11539" xr:uid="{8FDA15CA-BFF5-4DCE-986A-F437CDC07A1E}"/>
    <cellStyle name="Normal 4 3 3 2 3 3" xfId="5162" xr:uid="{00000000-0005-0000-0000-000076140000}"/>
    <cellStyle name="Normal 4 3 3 2 3 3 2" xfId="13612" xr:uid="{7B99454E-82BD-4F96-BD8F-D2CB57317A17}"/>
    <cellStyle name="Normal 4 3 3 2 3 4" xfId="9394" xr:uid="{F2396F1F-BF7B-4B5E-8B0F-F6B6DC87948C}"/>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16170" xr:uid="{9FF84C00-365F-405E-BA0E-AFA05D31B4BB}"/>
    <cellStyle name="Normal 4 3 3 2 4 2 3" xfId="11952" xr:uid="{8F255F2A-CFFF-4942-8991-3C7E12E8E64C}"/>
    <cellStyle name="Normal 4 3 3 2 4 3" xfId="5575" xr:uid="{00000000-0005-0000-0000-00007A140000}"/>
    <cellStyle name="Normal 4 3 3 2 4 3 2" xfId="14025" xr:uid="{1C795852-3FF7-4E66-BAF7-BEB68119D605}"/>
    <cellStyle name="Normal 4 3 3 2 4 4" xfId="9807" xr:uid="{8A89D178-BCB1-47AD-8759-76B60DC62E41}"/>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16583" xr:uid="{FC8AB165-6BEC-4FD5-89D4-47072675B9FC}"/>
    <cellStyle name="Normal 4 3 3 2 5 2 3" xfId="12365" xr:uid="{701EA7FE-08E5-475E-B76F-CF8C3F06F7A2}"/>
    <cellStyle name="Normal 4 3 3 2 5 3" xfId="5988" xr:uid="{00000000-0005-0000-0000-00007E140000}"/>
    <cellStyle name="Normal 4 3 3 2 5 3 2" xfId="14438" xr:uid="{74B6F2A5-66F7-4360-AE04-07A1E4D0F7F9}"/>
    <cellStyle name="Normal 4 3 3 2 5 4" xfId="10220" xr:uid="{9B15B8F2-743C-4EA0-9AD4-235722E2DCD4}"/>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16996" xr:uid="{28C90093-6071-4542-B18E-A43DD5E9A84E}"/>
    <cellStyle name="Normal 4 3 3 2 6 2 3" xfId="12778" xr:uid="{B025AE7A-7A77-4D75-ADE8-3923229774B5}"/>
    <cellStyle name="Normal 4 3 3 2 6 3" xfId="6401" xr:uid="{00000000-0005-0000-0000-000082140000}"/>
    <cellStyle name="Normal 4 3 3 2 6 3 2" xfId="14851" xr:uid="{309B313A-6F04-4B60-91A9-CC40EB29924E}"/>
    <cellStyle name="Normal 4 3 3 2 6 4" xfId="10633" xr:uid="{AE76F0EC-9889-4D22-AA0C-13B833CD048E}"/>
    <cellStyle name="Normal 4 3 3 2 7" xfId="2531" xr:uid="{00000000-0005-0000-0000-000083140000}"/>
    <cellStyle name="Normal 4 3 3 2 7 2" xfId="6814" xr:uid="{00000000-0005-0000-0000-000084140000}"/>
    <cellStyle name="Normal 4 3 3 2 7 2 2" xfId="15264" xr:uid="{E1B367D2-CFF2-4A73-B8E2-ABD7BBB45393}"/>
    <cellStyle name="Normal 4 3 3 2 7 3" xfId="11046" xr:uid="{F5EC5DCF-5682-4506-B91E-869E9DC81ACB}"/>
    <cellStyle name="Normal 4 3 3 2 8" xfId="4749" xr:uid="{00000000-0005-0000-0000-000085140000}"/>
    <cellStyle name="Normal 4 3 3 2 8 2" xfId="13199" xr:uid="{58023547-B6A9-45FB-960A-F261B94FFD60}"/>
    <cellStyle name="Normal 4 3 3 2 9" xfId="8981" xr:uid="{9258ED95-4B2B-4E61-B8C5-C94AB97BD391}"/>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15759" xr:uid="{20560B21-43B2-463A-882F-48BD6D1FB21A}"/>
    <cellStyle name="Normal 4 3 3 3 2 2 3" xfId="11541" xr:uid="{7D9774F4-F45F-412B-95C9-103E2CECAA5A}"/>
    <cellStyle name="Normal 4 3 3 3 2 3" xfId="5164" xr:uid="{00000000-0005-0000-0000-00008A140000}"/>
    <cellStyle name="Normal 4 3 3 3 2 3 2" xfId="13614" xr:uid="{EB891DBC-E2E7-4AC8-8161-80EB5B9299B1}"/>
    <cellStyle name="Normal 4 3 3 3 2 4" xfId="9396" xr:uid="{9407F4D8-19F5-48E4-B0BB-E31525B3D7EA}"/>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16172" xr:uid="{5E397512-D967-4C9E-9FEE-90F86A8F5EE6}"/>
    <cellStyle name="Normal 4 3 3 3 3 2 3" xfId="11954" xr:uid="{66589DC8-E2C8-4615-BD00-4806B926DCAC}"/>
    <cellStyle name="Normal 4 3 3 3 3 3" xfId="5577" xr:uid="{00000000-0005-0000-0000-00008E140000}"/>
    <cellStyle name="Normal 4 3 3 3 3 3 2" xfId="14027" xr:uid="{30808D63-FA6A-40C0-92EE-0C9126172DCC}"/>
    <cellStyle name="Normal 4 3 3 3 3 4" xfId="9809" xr:uid="{DF017FEC-C9FA-4462-A534-FB54E2F35995}"/>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16585" xr:uid="{E096D95B-3260-4D11-9533-F06FA21129AC}"/>
    <cellStyle name="Normal 4 3 3 3 4 2 3" xfId="12367" xr:uid="{74D5FCA8-8F89-472A-B25B-D1A9831D6CDB}"/>
    <cellStyle name="Normal 4 3 3 3 4 3" xfId="5990" xr:uid="{00000000-0005-0000-0000-000092140000}"/>
    <cellStyle name="Normal 4 3 3 3 4 3 2" xfId="14440" xr:uid="{E2376EF1-9A6A-41A0-87A9-CD98D1579406}"/>
    <cellStyle name="Normal 4 3 3 3 4 4" xfId="10222" xr:uid="{82B13A1D-3550-45B5-9B71-DF8E4742F20A}"/>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16998" xr:uid="{A9932C4D-57D2-49D8-866B-83D7BFC2DE00}"/>
    <cellStyle name="Normal 4 3 3 3 5 2 3" xfId="12780" xr:uid="{58CADB59-5C67-41B5-9C04-0EA57C4668CE}"/>
    <cellStyle name="Normal 4 3 3 3 5 3" xfId="6403" xr:uid="{00000000-0005-0000-0000-000096140000}"/>
    <cellStyle name="Normal 4 3 3 3 5 3 2" xfId="14853" xr:uid="{4740B519-4361-415F-8B57-B214083A70E6}"/>
    <cellStyle name="Normal 4 3 3 3 5 4" xfId="10635" xr:uid="{CE53C8A8-7546-47C1-9AF2-F29DB88915C9}"/>
    <cellStyle name="Normal 4 3 3 3 6" xfId="2533" xr:uid="{00000000-0005-0000-0000-000097140000}"/>
    <cellStyle name="Normal 4 3 3 3 6 2" xfId="6816" xr:uid="{00000000-0005-0000-0000-000098140000}"/>
    <cellStyle name="Normal 4 3 3 3 6 2 2" xfId="15266" xr:uid="{6AFCCFFF-87F1-4744-BFFE-DD79E7753DD2}"/>
    <cellStyle name="Normal 4 3 3 3 6 3" xfId="11048" xr:uid="{049E4E2D-6A94-41E6-96E1-50F441157551}"/>
    <cellStyle name="Normal 4 3 3 3 7" xfId="4751" xr:uid="{00000000-0005-0000-0000-000099140000}"/>
    <cellStyle name="Normal 4 3 3 3 7 2" xfId="13201" xr:uid="{752B53BF-D214-4C40-8944-32E2CDF4CAD3}"/>
    <cellStyle name="Normal 4 3 3 3 8" xfId="8983" xr:uid="{9BE3C74F-642B-4113-894D-34641B6D4913}"/>
    <cellStyle name="Normal 4 3 3 4" xfId="849" xr:uid="{00000000-0005-0000-0000-00009A140000}"/>
    <cellStyle name="Normal 4 3 3 4 2" xfId="3084" xr:uid="{00000000-0005-0000-0000-00009B140000}"/>
    <cellStyle name="Normal 4 3 3 4 2 2" xfId="7306" xr:uid="{00000000-0005-0000-0000-00009C140000}"/>
    <cellStyle name="Normal 4 3 3 4 2 2 2" xfId="15756" xr:uid="{CC1639C8-6088-45B1-9419-34958DC6B150}"/>
    <cellStyle name="Normal 4 3 3 4 2 3" xfId="11538" xr:uid="{A2041F40-6E80-4665-874E-FE624A4BF5ED}"/>
    <cellStyle name="Normal 4 3 3 4 3" xfId="5161" xr:uid="{00000000-0005-0000-0000-00009D140000}"/>
    <cellStyle name="Normal 4 3 3 4 3 2" xfId="13611" xr:uid="{A3A8F8F3-0806-472E-A19C-E4C189B57D3A}"/>
    <cellStyle name="Normal 4 3 3 4 4" xfId="9393" xr:uid="{B145F853-8B35-402B-8544-FFB5F0F6BC0E}"/>
    <cellStyle name="Normal 4 3 3 5" xfId="1267" xr:uid="{00000000-0005-0000-0000-00009E140000}"/>
    <cellStyle name="Normal 4 3 3 5 2" xfId="3497" xr:uid="{00000000-0005-0000-0000-00009F140000}"/>
    <cellStyle name="Normal 4 3 3 5 2 2" xfId="7719" xr:uid="{00000000-0005-0000-0000-0000A0140000}"/>
    <cellStyle name="Normal 4 3 3 5 2 2 2" xfId="16169" xr:uid="{0A23A0E4-6E5C-440A-846F-5EC581CADECD}"/>
    <cellStyle name="Normal 4 3 3 5 2 3" xfId="11951" xr:uid="{70926585-6E21-4F68-A831-7C4075AE6F40}"/>
    <cellStyle name="Normal 4 3 3 5 3" xfId="5574" xr:uid="{00000000-0005-0000-0000-0000A1140000}"/>
    <cellStyle name="Normal 4 3 3 5 3 2" xfId="14024" xr:uid="{45F85DE5-1202-4114-A52A-4B6B1A2634BE}"/>
    <cellStyle name="Normal 4 3 3 5 4" xfId="9806" xr:uid="{354FF932-B6F4-400A-A3A1-0DDE9888793F}"/>
    <cellStyle name="Normal 4 3 3 6" xfId="1680" xr:uid="{00000000-0005-0000-0000-0000A2140000}"/>
    <cellStyle name="Normal 4 3 3 6 2" xfId="3910" xr:uid="{00000000-0005-0000-0000-0000A3140000}"/>
    <cellStyle name="Normal 4 3 3 6 2 2" xfId="8132" xr:uid="{00000000-0005-0000-0000-0000A4140000}"/>
    <cellStyle name="Normal 4 3 3 6 2 2 2" xfId="16582" xr:uid="{BE7E6553-964B-49AA-957F-DB2453E37F5A}"/>
    <cellStyle name="Normal 4 3 3 6 2 3" xfId="12364" xr:uid="{4065BF8F-45E5-4A44-8902-6897ACE80871}"/>
    <cellStyle name="Normal 4 3 3 6 3" xfId="5987" xr:uid="{00000000-0005-0000-0000-0000A5140000}"/>
    <cellStyle name="Normal 4 3 3 6 3 2" xfId="14437" xr:uid="{B129220E-0BC1-4407-9672-036000AFD70E}"/>
    <cellStyle name="Normal 4 3 3 6 4" xfId="10219" xr:uid="{5E303E8C-778B-49D9-80B7-3976790E759D}"/>
    <cellStyle name="Normal 4 3 3 7" xfId="2094" xr:uid="{00000000-0005-0000-0000-0000A6140000}"/>
    <cellStyle name="Normal 4 3 3 7 2" xfId="4323" xr:uid="{00000000-0005-0000-0000-0000A7140000}"/>
    <cellStyle name="Normal 4 3 3 7 2 2" xfId="8545" xr:uid="{00000000-0005-0000-0000-0000A8140000}"/>
    <cellStyle name="Normal 4 3 3 7 2 2 2" xfId="16995" xr:uid="{DB4C09F5-8A2F-43D1-B2E0-83434FE99C35}"/>
    <cellStyle name="Normal 4 3 3 7 2 3" xfId="12777" xr:uid="{29A7633C-B3D4-4033-8AC9-4E1437B58A6D}"/>
    <cellStyle name="Normal 4 3 3 7 3" xfId="6400" xr:uid="{00000000-0005-0000-0000-0000A9140000}"/>
    <cellStyle name="Normal 4 3 3 7 3 2" xfId="14850" xr:uid="{E4E6C915-8141-4BA5-92EE-ECB6B20548EB}"/>
    <cellStyle name="Normal 4 3 3 7 4" xfId="10632" xr:uid="{CCBA025F-0FD7-4794-9FBC-9DF1B4AB95A1}"/>
    <cellStyle name="Normal 4 3 3 8" xfId="2530" xr:uid="{00000000-0005-0000-0000-0000AA140000}"/>
    <cellStyle name="Normal 4 3 3 8 2" xfId="6813" xr:uid="{00000000-0005-0000-0000-0000AB140000}"/>
    <cellStyle name="Normal 4 3 3 8 2 2" xfId="15263" xr:uid="{86A62B4B-6B02-49C0-867C-597C46599377}"/>
    <cellStyle name="Normal 4 3 3 8 3" xfId="11045" xr:uid="{207A4879-568B-4F41-A2FF-4D3B01EC57ED}"/>
    <cellStyle name="Normal 4 3 3 9" xfId="4748" xr:uid="{00000000-0005-0000-0000-0000AC140000}"/>
    <cellStyle name="Normal 4 3 3 9 2" xfId="13198" xr:uid="{B7360A98-B2C2-40F2-8DA3-24B2D2790543}"/>
    <cellStyle name="Normal 4 3 4" xfId="842" xr:uid="{00000000-0005-0000-0000-0000AD140000}"/>
    <cellStyle name="Normal 4 3 4 2" xfId="3079" xr:uid="{00000000-0005-0000-0000-0000AE140000}"/>
    <cellStyle name="Normal 4 3 4 2 2" xfId="7301" xr:uid="{00000000-0005-0000-0000-0000AF140000}"/>
    <cellStyle name="Normal 4 3 4 2 2 2" xfId="15751" xr:uid="{C1EA4FDB-84EB-487E-B608-2FB6727B0619}"/>
    <cellStyle name="Normal 4 3 4 2 3" xfId="11533" xr:uid="{6D271DA9-A650-4173-9DAA-DD737A6AC771}"/>
    <cellStyle name="Normal 4 3 4 3" xfId="5156" xr:uid="{00000000-0005-0000-0000-0000B0140000}"/>
    <cellStyle name="Normal 4 3 4 3 2" xfId="13606" xr:uid="{A3A522C8-AD23-471E-B97A-C6A2188594E6}"/>
    <cellStyle name="Normal 4 3 4 4" xfId="9388" xr:uid="{4B91D74B-E9F1-44CB-8DED-4729B6045BF3}"/>
    <cellStyle name="Normal 4 3 5" xfId="1262" xr:uid="{00000000-0005-0000-0000-0000B1140000}"/>
    <cellStyle name="Normal 4 3 5 2" xfId="3492" xr:uid="{00000000-0005-0000-0000-0000B2140000}"/>
    <cellStyle name="Normal 4 3 5 2 2" xfId="7714" xr:uid="{00000000-0005-0000-0000-0000B3140000}"/>
    <cellStyle name="Normal 4 3 5 2 2 2" xfId="16164" xr:uid="{2C20429D-1853-49E1-A639-B0E29F778047}"/>
    <cellStyle name="Normal 4 3 5 2 3" xfId="11946" xr:uid="{5B7255A2-3E78-4F11-8244-24494ADC5D1B}"/>
    <cellStyle name="Normal 4 3 5 3" xfId="5569" xr:uid="{00000000-0005-0000-0000-0000B4140000}"/>
    <cellStyle name="Normal 4 3 5 3 2" xfId="14019" xr:uid="{F693E38F-DEBE-4865-A151-CC0F92391F5F}"/>
    <cellStyle name="Normal 4 3 5 4" xfId="9801" xr:uid="{EFFE4FE1-DEA8-40AA-89FE-4F88A6D9B202}"/>
    <cellStyle name="Normal 4 3 6" xfId="1675" xr:uid="{00000000-0005-0000-0000-0000B5140000}"/>
    <cellStyle name="Normal 4 3 6 2" xfId="3905" xr:uid="{00000000-0005-0000-0000-0000B6140000}"/>
    <cellStyle name="Normal 4 3 6 2 2" xfId="8127" xr:uid="{00000000-0005-0000-0000-0000B7140000}"/>
    <cellStyle name="Normal 4 3 6 2 2 2" xfId="16577" xr:uid="{5DCD1759-AC12-44A0-995E-F6462D07BBF9}"/>
    <cellStyle name="Normal 4 3 6 2 3" xfId="12359" xr:uid="{684156DC-6967-431F-B867-1F47D7627C4D}"/>
    <cellStyle name="Normal 4 3 6 3" xfId="5982" xr:uid="{00000000-0005-0000-0000-0000B8140000}"/>
    <cellStyle name="Normal 4 3 6 3 2" xfId="14432" xr:uid="{27BA3C29-9A62-4E0D-836A-E7B3C3491786}"/>
    <cellStyle name="Normal 4 3 6 4" xfId="10214" xr:uid="{69A7BC03-08AF-4B16-BF0C-401D2965434C}"/>
    <cellStyle name="Normal 4 3 7" xfId="2089" xr:uid="{00000000-0005-0000-0000-0000B9140000}"/>
    <cellStyle name="Normal 4 3 7 2" xfId="4318" xr:uid="{00000000-0005-0000-0000-0000BA140000}"/>
    <cellStyle name="Normal 4 3 7 2 2" xfId="8540" xr:uid="{00000000-0005-0000-0000-0000BB140000}"/>
    <cellStyle name="Normal 4 3 7 2 2 2" xfId="16990" xr:uid="{A371B27F-1C55-4F93-9D42-1D0F24C306FD}"/>
    <cellStyle name="Normal 4 3 7 2 3" xfId="12772" xr:uid="{4F9C81FA-1E42-4BF9-885B-89E330E619F7}"/>
    <cellStyle name="Normal 4 3 7 3" xfId="6395" xr:uid="{00000000-0005-0000-0000-0000BC140000}"/>
    <cellStyle name="Normal 4 3 7 3 2" xfId="14845" xr:uid="{8AFEF97A-41DA-4294-980D-6DCEC5BFE74D}"/>
    <cellStyle name="Normal 4 3 7 4" xfId="10627" xr:uid="{AA9156B9-0014-4B3A-BAC7-2F0CD04CB237}"/>
    <cellStyle name="Normal 4 3 8" xfId="2525" xr:uid="{00000000-0005-0000-0000-0000BD140000}"/>
    <cellStyle name="Normal 4 3 8 2" xfId="6808" xr:uid="{00000000-0005-0000-0000-0000BE140000}"/>
    <cellStyle name="Normal 4 3 8 2 2" xfId="15258" xr:uid="{14D88603-3A38-44ED-96C5-8EF87424F3CC}"/>
    <cellStyle name="Normal 4 3 8 3" xfId="11040" xr:uid="{7092D54B-A2E1-49AE-8988-F3BEA0D0C22D}"/>
    <cellStyle name="Normal 4 3 9" xfId="4743" xr:uid="{00000000-0005-0000-0000-0000BF140000}"/>
    <cellStyle name="Normal 4 3 9 2" xfId="13193" xr:uid="{D3752E4A-9461-4F6B-98E5-5AE451E7EAE3}"/>
    <cellStyle name="Normal 4 4" xfId="378" xr:uid="{00000000-0005-0000-0000-0000C0140000}"/>
    <cellStyle name="Normal 4 4 10" xfId="2534" xr:uid="{00000000-0005-0000-0000-0000C1140000}"/>
    <cellStyle name="Normal 4 4 10 2" xfId="6817" xr:uid="{00000000-0005-0000-0000-0000C2140000}"/>
    <cellStyle name="Normal 4 4 10 2 2" xfId="15267" xr:uid="{FADA0977-151F-402B-B4B2-6C03E96DFE52}"/>
    <cellStyle name="Normal 4 4 10 3" xfId="11049" xr:uid="{07548B60-1B58-41D9-9B7E-2D88A7951AE9}"/>
    <cellStyle name="Normal 4 4 11" xfId="4752" xr:uid="{00000000-0005-0000-0000-0000C3140000}"/>
    <cellStyle name="Normal 4 4 11 2" xfId="13202" xr:uid="{C7B02719-3C2E-4DBB-9D8A-562D0F34AE8C}"/>
    <cellStyle name="Normal 4 4 12" xfId="8984" xr:uid="{0270A5D6-1709-40B8-B8A5-B88611262B7E}"/>
    <cellStyle name="Normal 4 4 2" xfId="379" xr:uid="{00000000-0005-0000-0000-0000C4140000}"/>
    <cellStyle name="Normal 4 4 2 10" xfId="4753" xr:uid="{00000000-0005-0000-0000-0000C5140000}"/>
    <cellStyle name="Normal 4 4 2 10 2" xfId="13203" xr:uid="{C6DCD50B-F828-4257-82D8-C9E7B35545D8}"/>
    <cellStyle name="Normal 4 4 2 11" xfId="8985" xr:uid="{2A7DF571-E709-4D93-986E-C823C589463E}"/>
    <cellStyle name="Normal 4 4 2 2" xfId="380" xr:uid="{00000000-0005-0000-0000-0000C6140000}"/>
    <cellStyle name="Normal 4 4 2 2 10" xfId="8986" xr:uid="{6C668835-8DDA-4B41-8DC2-05B957952A81}"/>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15764" xr:uid="{C4885CA4-63D1-46E2-8E5B-B375004C91BD}"/>
    <cellStyle name="Normal 4 4 2 2 2 2 2 2 3" xfId="11546" xr:uid="{731BFA8E-5720-443A-8113-25666A086BB7}"/>
    <cellStyle name="Normal 4 4 2 2 2 2 2 3" xfId="5169" xr:uid="{00000000-0005-0000-0000-0000CC140000}"/>
    <cellStyle name="Normal 4 4 2 2 2 2 2 3 2" xfId="13619" xr:uid="{E213B953-0D81-4734-A2D5-EE5548AFC6AE}"/>
    <cellStyle name="Normal 4 4 2 2 2 2 2 4" xfId="9401" xr:uid="{35A74D97-86D7-46E2-B55B-7CDA3CCA886D}"/>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16177" xr:uid="{795A7031-558F-45CA-8BC9-E53340E86CBA}"/>
    <cellStyle name="Normal 4 4 2 2 2 2 3 2 3" xfId="11959" xr:uid="{CDCCD9E2-12A8-486C-AAEC-4E3A8C0C6188}"/>
    <cellStyle name="Normal 4 4 2 2 2 2 3 3" xfId="5582" xr:uid="{00000000-0005-0000-0000-0000D0140000}"/>
    <cellStyle name="Normal 4 4 2 2 2 2 3 3 2" xfId="14032" xr:uid="{C9F28277-8A60-4FC3-846D-F89C00773B29}"/>
    <cellStyle name="Normal 4 4 2 2 2 2 3 4" xfId="9814" xr:uid="{690861A9-E0FB-467D-9848-32F2096A3EEC}"/>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16590" xr:uid="{76DC853B-0FAE-43ED-864C-7EC8E3CA036F}"/>
    <cellStyle name="Normal 4 4 2 2 2 2 4 2 3" xfId="12372" xr:uid="{DC7DFF7C-C352-4EAC-866B-00C5F563340E}"/>
    <cellStyle name="Normal 4 4 2 2 2 2 4 3" xfId="5995" xr:uid="{00000000-0005-0000-0000-0000D4140000}"/>
    <cellStyle name="Normal 4 4 2 2 2 2 4 3 2" xfId="14445" xr:uid="{E8CE9C50-D9C5-4E5D-B491-1BD6893AD3C5}"/>
    <cellStyle name="Normal 4 4 2 2 2 2 4 4" xfId="10227" xr:uid="{73E1C8BB-7A16-4C1B-A080-88601268E087}"/>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17003" xr:uid="{80E78C08-6E14-4453-8DB8-738B3B1AF6E5}"/>
    <cellStyle name="Normal 4 4 2 2 2 2 5 2 3" xfId="12785" xr:uid="{7676A274-F88E-4E06-A763-7394C467F5B6}"/>
    <cellStyle name="Normal 4 4 2 2 2 2 5 3" xfId="6408" xr:uid="{00000000-0005-0000-0000-0000D8140000}"/>
    <cellStyle name="Normal 4 4 2 2 2 2 5 3 2" xfId="14858" xr:uid="{CA39A558-1285-4168-AE4A-9F43824A4F63}"/>
    <cellStyle name="Normal 4 4 2 2 2 2 5 4" xfId="10640" xr:uid="{9210D621-59D8-4CF3-9375-5D498E9CC478}"/>
    <cellStyle name="Normal 4 4 2 2 2 2 6" xfId="2538" xr:uid="{00000000-0005-0000-0000-0000D9140000}"/>
    <cellStyle name="Normal 4 4 2 2 2 2 6 2" xfId="6821" xr:uid="{00000000-0005-0000-0000-0000DA140000}"/>
    <cellStyle name="Normal 4 4 2 2 2 2 6 2 2" xfId="15271" xr:uid="{37F228AD-327C-4863-8DBB-EF9598F3EBD7}"/>
    <cellStyle name="Normal 4 4 2 2 2 2 6 3" xfId="11053" xr:uid="{F4613E02-FEC4-4C43-945E-7B7FD9CC71F6}"/>
    <cellStyle name="Normal 4 4 2 2 2 2 7" xfId="4756" xr:uid="{00000000-0005-0000-0000-0000DB140000}"/>
    <cellStyle name="Normal 4 4 2 2 2 2 7 2" xfId="13206" xr:uid="{026AD105-8704-4DEC-9838-5FF12889ADED}"/>
    <cellStyle name="Normal 4 4 2 2 2 2 8" xfId="8988" xr:uid="{B861156A-4560-4081-983F-7AB280BB7A6B}"/>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15763" xr:uid="{6091993B-1553-4A08-9C52-5A94C6D086B1}"/>
    <cellStyle name="Normal 4 4 2 2 2 3 2 3" xfId="11545" xr:uid="{9375B5C9-E104-48F3-9DDF-C703609E6947}"/>
    <cellStyle name="Normal 4 4 2 2 2 3 3" xfId="5168" xr:uid="{00000000-0005-0000-0000-0000DF140000}"/>
    <cellStyle name="Normal 4 4 2 2 2 3 3 2" xfId="13618" xr:uid="{FF46D9BE-095F-4AEF-A7BF-4DA866FFFDEC}"/>
    <cellStyle name="Normal 4 4 2 2 2 3 4" xfId="9400" xr:uid="{B969F28A-C8F6-41DD-9264-0F0569F39817}"/>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16176" xr:uid="{D8A2D98F-F98C-4CF0-992B-2B185778312C}"/>
    <cellStyle name="Normal 4 4 2 2 2 4 2 3" xfId="11958" xr:uid="{DF37C0F0-4AD3-4D09-B8F9-A0EBF3300D38}"/>
    <cellStyle name="Normal 4 4 2 2 2 4 3" xfId="5581" xr:uid="{00000000-0005-0000-0000-0000E3140000}"/>
    <cellStyle name="Normal 4 4 2 2 2 4 3 2" xfId="14031" xr:uid="{CC959809-AA9F-4A36-BFEF-980D8B3AE335}"/>
    <cellStyle name="Normal 4 4 2 2 2 4 4" xfId="9813" xr:uid="{FF29A40B-2CDA-49FC-AAC7-BEE5E34254D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16589" xr:uid="{DE5082D3-A087-4239-8434-31D1E2711B3B}"/>
    <cellStyle name="Normal 4 4 2 2 2 5 2 3" xfId="12371" xr:uid="{3831FA40-5A1E-4C16-916F-869C46DE5696}"/>
    <cellStyle name="Normal 4 4 2 2 2 5 3" xfId="5994" xr:uid="{00000000-0005-0000-0000-0000E7140000}"/>
    <cellStyle name="Normal 4 4 2 2 2 5 3 2" xfId="14444" xr:uid="{9FE19247-D535-47A6-96AF-E640E084D3B4}"/>
    <cellStyle name="Normal 4 4 2 2 2 5 4" xfId="10226" xr:uid="{F02EB135-7018-4FB4-941A-737AF416D90C}"/>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17002" xr:uid="{F2E406A9-0362-401C-A43B-E72667F924FE}"/>
    <cellStyle name="Normal 4 4 2 2 2 6 2 3" xfId="12784" xr:uid="{C56A5E0A-6ECF-4DE1-BA6D-988D0022BA28}"/>
    <cellStyle name="Normal 4 4 2 2 2 6 3" xfId="6407" xr:uid="{00000000-0005-0000-0000-0000EB140000}"/>
    <cellStyle name="Normal 4 4 2 2 2 6 3 2" xfId="14857" xr:uid="{E8482B3A-030F-418D-A653-446F5D06A344}"/>
    <cellStyle name="Normal 4 4 2 2 2 6 4" xfId="10639" xr:uid="{3F556B76-3BD3-4667-9F82-D69305F3022A}"/>
    <cellStyle name="Normal 4 4 2 2 2 7" xfId="2537" xr:uid="{00000000-0005-0000-0000-0000EC140000}"/>
    <cellStyle name="Normal 4 4 2 2 2 7 2" xfId="6820" xr:uid="{00000000-0005-0000-0000-0000ED140000}"/>
    <cellStyle name="Normal 4 4 2 2 2 7 2 2" xfId="15270" xr:uid="{8F61EA4B-064E-42B7-ACCD-0E69370F9D25}"/>
    <cellStyle name="Normal 4 4 2 2 2 7 3" xfId="11052" xr:uid="{AB059605-978C-4A08-8ED3-D3FF907723CC}"/>
    <cellStyle name="Normal 4 4 2 2 2 8" xfId="4755" xr:uid="{00000000-0005-0000-0000-0000EE140000}"/>
    <cellStyle name="Normal 4 4 2 2 2 8 2" xfId="13205" xr:uid="{4BD47408-52FD-4D90-9C4D-B2DF671532FC}"/>
    <cellStyle name="Normal 4 4 2 2 2 9" xfId="8987" xr:uid="{2AE90CCD-C11F-4566-A1F5-91F94D20E672}"/>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15765" xr:uid="{5126F02E-BE94-4555-9B0A-4D84EB6FB00D}"/>
    <cellStyle name="Normal 4 4 2 2 3 2 2 3" xfId="11547" xr:uid="{0A97219D-53CD-4755-99F8-99D2C93328A2}"/>
    <cellStyle name="Normal 4 4 2 2 3 2 3" xfId="5170" xr:uid="{00000000-0005-0000-0000-0000F3140000}"/>
    <cellStyle name="Normal 4 4 2 2 3 2 3 2" xfId="13620" xr:uid="{2E3C0260-284E-49F5-A5D6-7A6E1C692916}"/>
    <cellStyle name="Normal 4 4 2 2 3 2 4" xfId="9402" xr:uid="{2E9FEFC8-4190-4B85-8CE3-8F18EB6EAB3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16178" xr:uid="{A00A123D-33A1-438C-92B5-6B6E508BE616}"/>
    <cellStyle name="Normal 4 4 2 2 3 3 2 3" xfId="11960" xr:uid="{FEC516FA-6B2D-4E79-AAE2-38489293C3F6}"/>
    <cellStyle name="Normal 4 4 2 2 3 3 3" xfId="5583" xr:uid="{00000000-0005-0000-0000-0000F7140000}"/>
    <cellStyle name="Normal 4 4 2 2 3 3 3 2" xfId="14033" xr:uid="{39F15C1F-5780-402D-88CB-92F24D9300C5}"/>
    <cellStyle name="Normal 4 4 2 2 3 3 4" xfId="9815" xr:uid="{A8D1B302-B59E-4353-8BA7-31FDA725823B}"/>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16591" xr:uid="{1BC3DA3C-D13E-46FC-8B8B-3120B32A0ABC}"/>
    <cellStyle name="Normal 4 4 2 2 3 4 2 3" xfId="12373" xr:uid="{8C15B6AB-0096-4FA9-81E6-226143E65EB8}"/>
    <cellStyle name="Normal 4 4 2 2 3 4 3" xfId="5996" xr:uid="{00000000-0005-0000-0000-0000FB140000}"/>
    <cellStyle name="Normal 4 4 2 2 3 4 3 2" xfId="14446" xr:uid="{2F500A68-1918-4925-900E-5E722E1516EB}"/>
    <cellStyle name="Normal 4 4 2 2 3 4 4" xfId="10228" xr:uid="{B1B5DD9A-4F82-489F-94AA-57B9EF506134}"/>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17004" xr:uid="{88156DED-0B77-441D-9A0F-2DFC83694CAA}"/>
    <cellStyle name="Normal 4 4 2 2 3 5 2 3" xfId="12786" xr:uid="{E6A97BE8-99FC-44D5-ACE5-5F2A7FF01587}"/>
    <cellStyle name="Normal 4 4 2 2 3 5 3" xfId="6409" xr:uid="{00000000-0005-0000-0000-0000FF140000}"/>
    <cellStyle name="Normal 4 4 2 2 3 5 3 2" xfId="14859" xr:uid="{B1E4A841-1558-4F9F-9180-70D6E8E4F4B7}"/>
    <cellStyle name="Normal 4 4 2 2 3 5 4" xfId="10641" xr:uid="{6088CD0D-ED27-465E-9A90-71134FB5B5B4}"/>
    <cellStyle name="Normal 4 4 2 2 3 6" xfId="2539" xr:uid="{00000000-0005-0000-0000-000000150000}"/>
    <cellStyle name="Normal 4 4 2 2 3 6 2" xfId="6822" xr:uid="{00000000-0005-0000-0000-000001150000}"/>
    <cellStyle name="Normal 4 4 2 2 3 6 2 2" xfId="15272" xr:uid="{1CE78C02-70D8-4383-A9DD-4F90EFAAB764}"/>
    <cellStyle name="Normal 4 4 2 2 3 6 3" xfId="11054" xr:uid="{7F6F782B-BE37-4638-80E0-576ABDD4C3AA}"/>
    <cellStyle name="Normal 4 4 2 2 3 7" xfId="4757" xr:uid="{00000000-0005-0000-0000-000002150000}"/>
    <cellStyle name="Normal 4 4 2 2 3 7 2" xfId="13207" xr:uid="{11A9C57F-D2A8-4EBD-BFAE-008F546D93DF}"/>
    <cellStyle name="Normal 4 4 2 2 3 8" xfId="8989" xr:uid="{868E96E6-0684-42FF-A213-730B623C478E}"/>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15762" xr:uid="{BC3B4CEC-ABA9-4AB5-9A3A-806CCE2A8D33}"/>
    <cellStyle name="Normal 4 4 2 2 4 2 3" xfId="11544" xr:uid="{A9F3FD22-3E6C-481E-8D17-469AE38AF637}"/>
    <cellStyle name="Normal 4 4 2 2 4 3" xfId="5167" xr:uid="{00000000-0005-0000-0000-000006150000}"/>
    <cellStyle name="Normal 4 4 2 2 4 3 2" xfId="13617" xr:uid="{FCADE254-92E7-4A52-9D56-031E7AF576AF}"/>
    <cellStyle name="Normal 4 4 2 2 4 4" xfId="9399" xr:uid="{3F855BE3-09BD-47F4-BD8F-8F8FF387BA4A}"/>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16175" xr:uid="{B748977A-031D-424C-8B5C-F77003725E37}"/>
    <cellStyle name="Normal 4 4 2 2 5 2 3" xfId="11957" xr:uid="{2BDD8DCB-3F02-4465-BA41-049101CC85A6}"/>
    <cellStyle name="Normal 4 4 2 2 5 3" xfId="5580" xr:uid="{00000000-0005-0000-0000-00000A150000}"/>
    <cellStyle name="Normal 4 4 2 2 5 3 2" xfId="14030" xr:uid="{A1EBF745-3D45-45E4-8623-24EDF4DF7010}"/>
    <cellStyle name="Normal 4 4 2 2 5 4" xfId="9812" xr:uid="{B56984B7-C3E7-4F0C-8D92-599741703907}"/>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16588" xr:uid="{3C1C20EE-595F-4543-A05C-A8AB932B3784}"/>
    <cellStyle name="Normal 4 4 2 2 6 2 3" xfId="12370" xr:uid="{6B23FE18-3971-4F28-A9AC-58B755C0D70E}"/>
    <cellStyle name="Normal 4 4 2 2 6 3" xfId="5993" xr:uid="{00000000-0005-0000-0000-00000E150000}"/>
    <cellStyle name="Normal 4 4 2 2 6 3 2" xfId="14443" xr:uid="{04D6BCD6-7C27-482D-923E-E6B181325193}"/>
    <cellStyle name="Normal 4 4 2 2 6 4" xfId="10225" xr:uid="{BE46C028-1216-47EA-9863-19D3DCFD10DF}"/>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17001" xr:uid="{AA118C21-0276-435D-B45D-6A95A128C079}"/>
    <cellStyle name="Normal 4 4 2 2 7 2 3" xfId="12783" xr:uid="{F6F67D65-7203-455B-8F05-C4103A45548B}"/>
    <cellStyle name="Normal 4 4 2 2 7 3" xfId="6406" xr:uid="{00000000-0005-0000-0000-000012150000}"/>
    <cellStyle name="Normal 4 4 2 2 7 3 2" xfId="14856" xr:uid="{1A3E1841-23BE-4799-ABB8-A9E2592E1D11}"/>
    <cellStyle name="Normal 4 4 2 2 7 4" xfId="10638" xr:uid="{2ED78EB3-74C4-40AE-AF26-00061576C0AE}"/>
    <cellStyle name="Normal 4 4 2 2 8" xfId="2536" xr:uid="{00000000-0005-0000-0000-000013150000}"/>
    <cellStyle name="Normal 4 4 2 2 8 2" xfId="6819" xr:uid="{00000000-0005-0000-0000-000014150000}"/>
    <cellStyle name="Normal 4 4 2 2 8 2 2" xfId="15269" xr:uid="{444EAF06-7054-4A6F-86F6-6AD93347C996}"/>
    <cellStyle name="Normal 4 4 2 2 8 3" xfId="11051" xr:uid="{3141B7AF-21FF-499D-A1E8-5F6A8378A90A}"/>
    <cellStyle name="Normal 4 4 2 2 9" xfId="4754" xr:uid="{00000000-0005-0000-0000-000015150000}"/>
    <cellStyle name="Normal 4 4 2 2 9 2" xfId="13204" xr:uid="{D8FDCEE5-B7DC-4301-82E3-571675695933}"/>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15767" xr:uid="{BEF100FE-C033-4E2F-B4E6-83CB79A622A7}"/>
    <cellStyle name="Normal 4 4 2 3 2 2 2 3" xfId="11549" xr:uid="{565E2A45-BE13-4AB0-BD3A-63D2E268109D}"/>
    <cellStyle name="Normal 4 4 2 3 2 2 3" xfId="5172" xr:uid="{00000000-0005-0000-0000-00001B150000}"/>
    <cellStyle name="Normal 4 4 2 3 2 2 3 2" xfId="13622" xr:uid="{E16FF631-0D09-4B0A-92E9-A3CCB503A7BA}"/>
    <cellStyle name="Normal 4 4 2 3 2 2 4" xfId="9404" xr:uid="{682E90F8-6AE0-45CE-9257-340F201CCEE7}"/>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16180" xr:uid="{DD80988D-E681-4D4E-BE38-E2610879BA43}"/>
    <cellStyle name="Normal 4 4 2 3 2 3 2 3" xfId="11962" xr:uid="{E6C11A5F-CFFC-4635-A001-9FC2E35F2BB2}"/>
    <cellStyle name="Normal 4 4 2 3 2 3 3" xfId="5585" xr:uid="{00000000-0005-0000-0000-00001F150000}"/>
    <cellStyle name="Normal 4 4 2 3 2 3 3 2" xfId="14035" xr:uid="{1BBD33D6-E781-4064-AF38-F00C635E782D}"/>
    <cellStyle name="Normal 4 4 2 3 2 3 4" xfId="9817" xr:uid="{CB667F86-2F0C-4530-80F1-F23A41AC75D9}"/>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16593" xr:uid="{39859517-7AF9-4642-82B2-B32E9C138653}"/>
    <cellStyle name="Normal 4 4 2 3 2 4 2 3" xfId="12375" xr:uid="{B2A02A66-FBA5-417D-925B-E07AA3FE8243}"/>
    <cellStyle name="Normal 4 4 2 3 2 4 3" xfId="5998" xr:uid="{00000000-0005-0000-0000-000023150000}"/>
    <cellStyle name="Normal 4 4 2 3 2 4 3 2" xfId="14448" xr:uid="{99AAF5B3-362D-49E2-B13A-D80E4208B4BC}"/>
    <cellStyle name="Normal 4 4 2 3 2 4 4" xfId="10230" xr:uid="{9C40753B-51DE-447B-88BC-72E759AE3D82}"/>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17006" xr:uid="{172E7E35-4761-4FF8-9177-58820F74C934}"/>
    <cellStyle name="Normal 4 4 2 3 2 5 2 3" xfId="12788" xr:uid="{E3D16FD5-5FAF-4E01-A5CC-FEBFD0D374B7}"/>
    <cellStyle name="Normal 4 4 2 3 2 5 3" xfId="6411" xr:uid="{00000000-0005-0000-0000-000027150000}"/>
    <cellStyle name="Normal 4 4 2 3 2 5 3 2" xfId="14861" xr:uid="{54F87B4B-DE14-4E92-8809-84B46CCBABFA}"/>
    <cellStyle name="Normal 4 4 2 3 2 5 4" xfId="10643" xr:uid="{8D90A2FA-3CDA-4290-A72B-7CD3DCCCE3E7}"/>
    <cellStyle name="Normal 4 4 2 3 2 6" xfId="2541" xr:uid="{00000000-0005-0000-0000-000028150000}"/>
    <cellStyle name="Normal 4 4 2 3 2 6 2" xfId="6824" xr:uid="{00000000-0005-0000-0000-000029150000}"/>
    <cellStyle name="Normal 4 4 2 3 2 6 2 2" xfId="15274" xr:uid="{B6C618BC-D054-4794-89A2-E7AAB8AEF8CF}"/>
    <cellStyle name="Normal 4 4 2 3 2 6 3" xfId="11056" xr:uid="{DE81C567-FEAC-4A59-9075-50D816A6DE9A}"/>
    <cellStyle name="Normal 4 4 2 3 2 7" xfId="4759" xr:uid="{00000000-0005-0000-0000-00002A150000}"/>
    <cellStyle name="Normal 4 4 2 3 2 7 2" xfId="13209" xr:uid="{C9F1C63D-AC52-4BBA-8902-909E439A0AD9}"/>
    <cellStyle name="Normal 4 4 2 3 2 8" xfId="8991" xr:uid="{66BBBBB8-D08C-430B-AFEE-FBE1256F21BA}"/>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15766" xr:uid="{613B8249-1EBA-458C-BB6E-6B00E82D8796}"/>
    <cellStyle name="Normal 4 4 2 3 3 2 3" xfId="11548" xr:uid="{30456B65-870D-44EB-85E3-D266B1155A5E}"/>
    <cellStyle name="Normal 4 4 2 3 3 3" xfId="5171" xr:uid="{00000000-0005-0000-0000-00002E150000}"/>
    <cellStyle name="Normal 4 4 2 3 3 3 2" xfId="13621" xr:uid="{11A75476-64B2-4F03-9F55-FDB8EC761B06}"/>
    <cellStyle name="Normal 4 4 2 3 3 4" xfId="9403" xr:uid="{534ABD62-47B9-48E8-9D52-185504CA45AA}"/>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16179" xr:uid="{7FFE83A1-B474-4CF5-B03F-33ABA8763ABC}"/>
    <cellStyle name="Normal 4 4 2 3 4 2 3" xfId="11961" xr:uid="{AAB1CC3A-CD80-40C6-9BE7-23EA15D0AFF9}"/>
    <cellStyle name="Normal 4 4 2 3 4 3" xfId="5584" xr:uid="{00000000-0005-0000-0000-000032150000}"/>
    <cellStyle name="Normal 4 4 2 3 4 3 2" xfId="14034" xr:uid="{DB960BB9-EB4B-49A1-BFF5-2D1F4AC382D7}"/>
    <cellStyle name="Normal 4 4 2 3 4 4" xfId="9816" xr:uid="{B6C77046-CCCC-4AD2-8C2F-CEB9114C17E6}"/>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16592" xr:uid="{E7E7152D-DC60-4F8C-8738-97F6E9550DF6}"/>
    <cellStyle name="Normal 4 4 2 3 5 2 3" xfId="12374" xr:uid="{96F945EE-909E-437E-9E6D-72AAC266B7B7}"/>
    <cellStyle name="Normal 4 4 2 3 5 3" xfId="5997" xr:uid="{00000000-0005-0000-0000-000036150000}"/>
    <cellStyle name="Normal 4 4 2 3 5 3 2" xfId="14447" xr:uid="{E386386C-1D05-43C3-882D-A9F8F5E3CBA0}"/>
    <cellStyle name="Normal 4 4 2 3 5 4" xfId="10229" xr:uid="{A2CC054B-D2AE-4717-89C4-AEAA9FBAD385}"/>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17005" xr:uid="{F7A92CA6-881B-470F-BC99-89E61D9A5155}"/>
    <cellStyle name="Normal 4 4 2 3 6 2 3" xfId="12787" xr:uid="{B4A13248-0955-43A3-9D96-BBB9349361A9}"/>
    <cellStyle name="Normal 4 4 2 3 6 3" xfId="6410" xr:uid="{00000000-0005-0000-0000-00003A150000}"/>
    <cellStyle name="Normal 4 4 2 3 6 3 2" xfId="14860" xr:uid="{679A397A-F814-4D91-8BDA-356A430BD226}"/>
    <cellStyle name="Normal 4 4 2 3 6 4" xfId="10642" xr:uid="{2C62AF59-98E2-494E-84C3-CD0C2E28ABDE}"/>
    <cellStyle name="Normal 4 4 2 3 7" xfId="2540" xr:uid="{00000000-0005-0000-0000-00003B150000}"/>
    <cellStyle name="Normal 4 4 2 3 7 2" xfId="6823" xr:uid="{00000000-0005-0000-0000-00003C150000}"/>
    <cellStyle name="Normal 4 4 2 3 7 2 2" xfId="15273" xr:uid="{C23320C7-D831-4F0E-B09B-690479CD7BFE}"/>
    <cellStyle name="Normal 4 4 2 3 7 3" xfId="11055" xr:uid="{C6F1B131-BA13-4052-8B00-1682E16C1452}"/>
    <cellStyle name="Normal 4 4 2 3 8" xfId="4758" xr:uid="{00000000-0005-0000-0000-00003D150000}"/>
    <cellStyle name="Normal 4 4 2 3 8 2" xfId="13208" xr:uid="{7069B461-FEDA-4610-9131-28B6AFF123E1}"/>
    <cellStyle name="Normal 4 4 2 3 9" xfId="8990" xr:uid="{B311FC95-A3A3-42A5-A6C1-B54E3C82B93D}"/>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15768" xr:uid="{532D538F-C735-4BFD-8FA3-61AE9BF59C72}"/>
    <cellStyle name="Normal 4 4 2 4 2 2 3" xfId="11550" xr:uid="{A0E61262-3CC0-45B9-950B-518EF17B0051}"/>
    <cellStyle name="Normal 4 4 2 4 2 3" xfId="5173" xr:uid="{00000000-0005-0000-0000-000042150000}"/>
    <cellStyle name="Normal 4 4 2 4 2 3 2" xfId="13623" xr:uid="{2EF00D2D-B98C-4F34-80FA-D69A6F602850}"/>
    <cellStyle name="Normal 4 4 2 4 2 4" xfId="9405" xr:uid="{97ACD122-0B1A-4240-B652-505EAAE7CA66}"/>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16181" xr:uid="{537BC16B-6165-468B-B7A7-20D6413C87FD}"/>
    <cellStyle name="Normal 4 4 2 4 3 2 3" xfId="11963" xr:uid="{9F5C8804-9381-4BE6-BCE5-D8AE3F40FCB5}"/>
    <cellStyle name="Normal 4 4 2 4 3 3" xfId="5586" xr:uid="{00000000-0005-0000-0000-000046150000}"/>
    <cellStyle name="Normal 4 4 2 4 3 3 2" xfId="14036" xr:uid="{8ED19677-6B9E-4A38-AE52-E69437377E50}"/>
    <cellStyle name="Normal 4 4 2 4 3 4" xfId="9818" xr:uid="{9AEF748B-7903-45B3-9D1C-CC8DE8AEA1B7}"/>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16594" xr:uid="{B2D45634-6863-4D66-A36C-474396DF88CA}"/>
    <cellStyle name="Normal 4 4 2 4 4 2 3" xfId="12376" xr:uid="{17F5DB95-E203-4766-9F56-F9850F6BE9DF}"/>
    <cellStyle name="Normal 4 4 2 4 4 3" xfId="5999" xr:uid="{00000000-0005-0000-0000-00004A150000}"/>
    <cellStyle name="Normal 4 4 2 4 4 3 2" xfId="14449" xr:uid="{2A09F215-B0C5-4AEE-8ADE-B076289200FD}"/>
    <cellStyle name="Normal 4 4 2 4 4 4" xfId="10231" xr:uid="{0A2C07F0-46BD-4704-87BD-C5E2369C566F}"/>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17007" xr:uid="{50C0FD91-A288-4C5E-95A1-4CC13E6909DB}"/>
    <cellStyle name="Normal 4 4 2 4 5 2 3" xfId="12789" xr:uid="{B11BD618-C861-4724-8D1D-666A4CBFD76A}"/>
    <cellStyle name="Normal 4 4 2 4 5 3" xfId="6412" xr:uid="{00000000-0005-0000-0000-00004E150000}"/>
    <cellStyle name="Normal 4 4 2 4 5 3 2" xfId="14862" xr:uid="{7D947AE5-DB45-4F63-A1FC-8D88370D4625}"/>
    <cellStyle name="Normal 4 4 2 4 5 4" xfId="10644" xr:uid="{C1C1EAE3-337B-475A-A2F3-E1594E64978A}"/>
    <cellStyle name="Normal 4 4 2 4 6" xfId="2542" xr:uid="{00000000-0005-0000-0000-00004F150000}"/>
    <cellStyle name="Normal 4 4 2 4 6 2" xfId="6825" xr:uid="{00000000-0005-0000-0000-000050150000}"/>
    <cellStyle name="Normal 4 4 2 4 6 2 2" xfId="15275" xr:uid="{6BEB988B-DC26-4332-A9AA-86D91B96A09E}"/>
    <cellStyle name="Normal 4 4 2 4 6 3" xfId="11057" xr:uid="{13AC4BAE-46EF-4FB9-8460-D30FFE7F2E5B}"/>
    <cellStyle name="Normal 4 4 2 4 7" xfId="4760" xr:uid="{00000000-0005-0000-0000-000051150000}"/>
    <cellStyle name="Normal 4 4 2 4 7 2" xfId="13210" xr:uid="{391277D7-00CC-4EAD-88B6-A33FE4CCF5CD}"/>
    <cellStyle name="Normal 4 4 2 4 8" xfId="8992" xr:uid="{201EB945-02CD-4F22-9CCD-B556894DC9E3}"/>
    <cellStyle name="Normal 4 4 2 5" xfId="854" xr:uid="{00000000-0005-0000-0000-000052150000}"/>
    <cellStyle name="Normal 4 4 2 5 2" xfId="3089" xr:uid="{00000000-0005-0000-0000-000053150000}"/>
    <cellStyle name="Normal 4 4 2 5 2 2" xfId="7311" xr:uid="{00000000-0005-0000-0000-000054150000}"/>
    <cellStyle name="Normal 4 4 2 5 2 2 2" xfId="15761" xr:uid="{2A229382-CFED-4D1D-B72B-1FAFCA9595FE}"/>
    <cellStyle name="Normal 4 4 2 5 2 3" xfId="11543" xr:uid="{040DCB44-44B1-46F8-A447-0164C0BD88D6}"/>
    <cellStyle name="Normal 4 4 2 5 3" xfId="5166" xr:uid="{00000000-0005-0000-0000-000055150000}"/>
    <cellStyle name="Normal 4 4 2 5 3 2" xfId="13616" xr:uid="{BCAC591F-40F5-455B-A01A-8447CA39E737}"/>
    <cellStyle name="Normal 4 4 2 5 4" xfId="9398" xr:uid="{1870ED50-74E3-4B1B-8138-882BD46E58CA}"/>
    <cellStyle name="Normal 4 4 2 6" xfId="1272" xr:uid="{00000000-0005-0000-0000-000056150000}"/>
    <cellStyle name="Normal 4 4 2 6 2" xfId="3502" xr:uid="{00000000-0005-0000-0000-000057150000}"/>
    <cellStyle name="Normal 4 4 2 6 2 2" xfId="7724" xr:uid="{00000000-0005-0000-0000-000058150000}"/>
    <cellStyle name="Normal 4 4 2 6 2 2 2" xfId="16174" xr:uid="{1FC7FED5-3F2D-4602-8364-1287BC6ECFF0}"/>
    <cellStyle name="Normal 4 4 2 6 2 3" xfId="11956" xr:uid="{28C63522-AD1C-4147-ABB1-C25320D61779}"/>
    <cellStyle name="Normal 4 4 2 6 3" xfId="5579" xr:uid="{00000000-0005-0000-0000-000059150000}"/>
    <cellStyle name="Normal 4 4 2 6 3 2" xfId="14029" xr:uid="{732CA726-DCE7-4146-A5D0-75B9BCB7283F}"/>
    <cellStyle name="Normal 4 4 2 6 4" xfId="9811" xr:uid="{5B62EBD7-B3A7-4494-94BC-064C95D98E3A}"/>
    <cellStyle name="Normal 4 4 2 7" xfId="1685" xr:uid="{00000000-0005-0000-0000-00005A150000}"/>
    <cellStyle name="Normal 4 4 2 7 2" xfId="3915" xr:uid="{00000000-0005-0000-0000-00005B150000}"/>
    <cellStyle name="Normal 4 4 2 7 2 2" xfId="8137" xr:uid="{00000000-0005-0000-0000-00005C150000}"/>
    <cellStyle name="Normal 4 4 2 7 2 2 2" xfId="16587" xr:uid="{2BD25F30-E764-47DA-8146-BF2ABE77FE3E}"/>
    <cellStyle name="Normal 4 4 2 7 2 3" xfId="12369" xr:uid="{81DE2DB2-202E-4955-BF73-CDD6ACD4536F}"/>
    <cellStyle name="Normal 4 4 2 7 3" xfId="5992" xr:uid="{00000000-0005-0000-0000-00005D150000}"/>
    <cellStyle name="Normal 4 4 2 7 3 2" xfId="14442" xr:uid="{7EE99E96-69B8-4E4D-8E8C-9417A3BEEF5F}"/>
    <cellStyle name="Normal 4 4 2 7 4" xfId="10224" xr:uid="{DF286950-2ACB-4FEE-979D-86D8B69F0E54}"/>
    <cellStyle name="Normal 4 4 2 8" xfId="2099" xr:uid="{00000000-0005-0000-0000-00005E150000}"/>
    <cellStyle name="Normal 4 4 2 8 2" xfId="4328" xr:uid="{00000000-0005-0000-0000-00005F150000}"/>
    <cellStyle name="Normal 4 4 2 8 2 2" xfId="8550" xr:uid="{00000000-0005-0000-0000-000060150000}"/>
    <cellStyle name="Normal 4 4 2 8 2 2 2" xfId="17000" xr:uid="{B8B441B8-133C-4E66-9DE4-B5CB16E394D3}"/>
    <cellStyle name="Normal 4 4 2 8 2 3" xfId="12782" xr:uid="{8CE2A3AA-5704-4CAC-A9F4-D643D6023805}"/>
    <cellStyle name="Normal 4 4 2 8 3" xfId="6405" xr:uid="{00000000-0005-0000-0000-000061150000}"/>
    <cellStyle name="Normal 4 4 2 8 3 2" xfId="14855" xr:uid="{8BF45053-E36A-40E8-B98C-B571BE159DF3}"/>
    <cellStyle name="Normal 4 4 2 8 4" xfId="10637" xr:uid="{65FB8E27-2998-4BB1-BB6B-F500FDA0788C}"/>
    <cellStyle name="Normal 4 4 2 9" xfId="2535" xr:uid="{00000000-0005-0000-0000-000062150000}"/>
    <cellStyle name="Normal 4 4 2 9 2" xfId="6818" xr:uid="{00000000-0005-0000-0000-000063150000}"/>
    <cellStyle name="Normal 4 4 2 9 2 2" xfId="15268" xr:uid="{E45E391C-A6B6-41FB-9DFC-72B81F0FB480}"/>
    <cellStyle name="Normal 4 4 2 9 3" xfId="11050" xr:uid="{AA6433D3-2E70-403B-84B2-E0E678C96A5D}"/>
    <cellStyle name="Normal 4 4 3" xfId="387" xr:uid="{00000000-0005-0000-0000-000064150000}"/>
    <cellStyle name="Normal 4 4 3 10" xfId="8993" xr:uid="{D885082A-B533-4B9B-B236-B8E30C0E6064}"/>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15771" xr:uid="{267659FC-73CE-4615-8F5B-47815FCA2FCF}"/>
    <cellStyle name="Normal 4 4 3 2 2 2 2 3" xfId="11553" xr:uid="{E51D2D96-E160-4446-9548-8A1AAE9C0C7F}"/>
    <cellStyle name="Normal 4 4 3 2 2 2 3" xfId="5176" xr:uid="{00000000-0005-0000-0000-00006A150000}"/>
    <cellStyle name="Normal 4 4 3 2 2 2 3 2" xfId="13626" xr:uid="{337F3AE6-ECC2-4FAB-93CB-066C58866165}"/>
    <cellStyle name="Normal 4 4 3 2 2 2 4" xfId="9408" xr:uid="{5FC8E45C-CF79-45C2-9A07-525194DD1B38}"/>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16184" xr:uid="{BCCA2EC7-6AE8-47ED-A924-C91A10C425CA}"/>
    <cellStyle name="Normal 4 4 3 2 2 3 2 3" xfId="11966" xr:uid="{63E5F313-8F3B-41A5-B296-C92DAB1DAD00}"/>
    <cellStyle name="Normal 4 4 3 2 2 3 3" xfId="5589" xr:uid="{00000000-0005-0000-0000-00006E150000}"/>
    <cellStyle name="Normal 4 4 3 2 2 3 3 2" xfId="14039" xr:uid="{5FE7DF42-BD88-4209-96EC-7723D65B57AC}"/>
    <cellStyle name="Normal 4 4 3 2 2 3 4" xfId="9821" xr:uid="{8E48DA40-F4C7-442A-B15B-E788BDEC44DF}"/>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16597" xr:uid="{D0884C54-02D4-4487-B9CC-021BDCBF2B28}"/>
    <cellStyle name="Normal 4 4 3 2 2 4 2 3" xfId="12379" xr:uid="{440599E8-439C-447A-BF86-BF5133DF77AE}"/>
    <cellStyle name="Normal 4 4 3 2 2 4 3" xfId="6002" xr:uid="{00000000-0005-0000-0000-000072150000}"/>
    <cellStyle name="Normal 4 4 3 2 2 4 3 2" xfId="14452" xr:uid="{AC8832C2-F8F7-4606-9996-C65D2BBC668B}"/>
    <cellStyle name="Normal 4 4 3 2 2 4 4" xfId="10234" xr:uid="{C6BC2368-D997-4571-B1E4-EF6AFEADB747}"/>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17010" xr:uid="{4F4114FD-0E05-4500-8C8C-699F936ACDC6}"/>
    <cellStyle name="Normal 4 4 3 2 2 5 2 3" xfId="12792" xr:uid="{D9158A4F-0DD1-4C62-BE6A-6D9A103A46A3}"/>
    <cellStyle name="Normal 4 4 3 2 2 5 3" xfId="6415" xr:uid="{00000000-0005-0000-0000-000076150000}"/>
    <cellStyle name="Normal 4 4 3 2 2 5 3 2" xfId="14865" xr:uid="{E40759AD-572D-408C-8914-3D3B170A4B11}"/>
    <cellStyle name="Normal 4 4 3 2 2 5 4" xfId="10647" xr:uid="{A1912FE9-7E46-49A9-A708-E5567F86670D}"/>
    <cellStyle name="Normal 4 4 3 2 2 6" xfId="2545" xr:uid="{00000000-0005-0000-0000-000077150000}"/>
    <cellStyle name="Normal 4 4 3 2 2 6 2" xfId="6828" xr:uid="{00000000-0005-0000-0000-000078150000}"/>
    <cellStyle name="Normal 4 4 3 2 2 6 2 2" xfId="15278" xr:uid="{7821B935-2CFA-44C0-9591-7818F3068CBA}"/>
    <cellStyle name="Normal 4 4 3 2 2 6 3" xfId="11060" xr:uid="{784D9278-CA30-4F5C-B456-98B87A8525ED}"/>
    <cellStyle name="Normal 4 4 3 2 2 7" xfId="4763" xr:uid="{00000000-0005-0000-0000-000079150000}"/>
    <cellStyle name="Normal 4 4 3 2 2 7 2" xfId="13213" xr:uid="{F58F5DA1-9D38-4638-9A34-182096D3A238}"/>
    <cellStyle name="Normal 4 4 3 2 2 8" xfId="8995" xr:uid="{5C567947-1BB8-4450-904A-32F001430909}"/>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15770" xr:uid="{095BA96A-210A-4E08-B07B-1DE1C4C6D150}"/>
    <cellStyle name="Normal 4 4 3 2 3 2 3" xfId="11552" xr:uid="{1EEB4AA0-EC26-48B6-8780-1527DE7FE3E8}"/>
    <cellStyle name="Normal 4 4 3 2 3 3" xfId="5175" xr:uid="{00000000-0005-0000-0000-00007D150000}"/>
    <cellStyle name="Normal 4 4 3 2 3 3 2" xfId="13625" xr:uid="{6A2EFF43-2DCA-4F60-852E-E493F28094B9}"/>
    <cellStyle name="Normal 4 4 3 2 3 4" xfId="9407" xr:uid="{F6C64E38-7B17-4E28-97BD-531AB35BFE33}"/>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16183" xr:uid="{8139670A-EE9B-4927-85E0-EFBA1FB23058}"/>
    <cellStyle name="Normal 4 4 3 2 4 2 3" xfId="11965" xr:uid="{C17CC9C1-998A-4E53-9245-1769736F522D}"/>
    <cellStyle name="Normal 4 4 3 2 4 3" xfId="5588" xr:uid="{00000000-0005-0000-0000-000081150000}"/>
    <cellStyle name="Normal 4 4 3 2 4 3 2" xfId="14038" xr:uid="{C68740BE-C997-44C6-94B4-C1C912F1F4D2}"/>
    <cellStyle name="Normal 4 4 3 2 4 4" xfId="9820" xr:uid="{38433F5A-F4D2-4158-811F-FE63F043CB2C}"/>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16596" xr:uid="{2B3F4DC8-EC55-4908-8574-9D012322C688}"/>
    <cellStyle name="Normal 4 4 3 2 5 2 3" xfId="12378" xr:uid="{ADBFCF02-7C73-43D1-A227-127499766D09}"/>
    <cellStyle name="Normal 4 4 3 2 5 3" xfId="6001" xr:uid="{00000000-0005-0000-0000-000085150000}"/>
    <cellStyle name="Normal 4 4 3 2 5 3 2" xfId="14451" xr:uid="{07C76777-CB85-48FC-BB04-854B29771EC0}"/>
    <cellStyle name="Normal 4 4 3 2 5 4" xfId="10233" xr:uid="{CA70321F-E0F7-425B-A0A3-4D94445DAAF8}"/>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17009" xr:uid="{1EC97E76-7608-4554-8FF3-F8BD7644CDBE}"/>
    <cellStyle name="Normal 4 4 3 2 6 2 3" xfId="12791" xr:uid="{546EB6AE-05CA-4AA4-9513-6D8BEAC67159}"/>
    <cellStyle name="Normal 4 4 3 2 6 3" xfId="6414" xr:uid="{00000000-0005-0000-0000-000089150000}"/>
    <cellStyle name="Normal 4 4 3 2 6 3 2" xfId="14864" xr:uid="{ED78986E-76C2-41EB-A59E-88BE6CFE64CC}"/>
    <cellStyle name="Normal 4 4 3 2 6 4" xfId="10646" xr:uid="{8E9272FF-DD94-408A-9194-4876E50BCDD6}"/>
    <cellStyle name="Normal 4 4 3 2 7" xfId="2544" xr:uid="{00000000-0005-0000-0000-00008A150000}"/>
    <cellStyle name="Normal 4 4 3 2 7 2" xfId="6827" xr:uid="{00000000-0005-0000-0000-00008B150000}"/>
    <cellStyle name="Normal 4 4 3 2 7 2 2" xfId="15277" xr:uid="{02175691-0E03-4F27-A4C0-CE175834A096}"/>
    <cellStyle name="Normal 4 4 3 2 7 3" xfId="11059" xr:uid="{10AA10F8-8338-4181-9320-DD6B96D719AA}"/>
    <cellStyle name="Normal 4 4 3 2 8" xfId="4762" xr:uid="{00000000-0005-0000-0000-00008C150000}"/>
    <cellStyle name="Normal 4 4 3 2 8 2" xfId="13212" xr:uid="{F44C18C9-5F47-415D-851F-A23B4E4F49C5}"/>
    <cellStyle name="Normal 4 4 3 2 9" xfId="8994" xr:uid="{2637F489-1F72-49A5-8138-D21523D822E1}"/>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15772" xr:uid="{DCD0349B-E76B-4398-9A68-94BA1A632FB8}"/>
    <cellStyle name="Normal 4 4 3 3 2 2 3" xfId="11554" xr:uid="{78E4AED8-6555-4662-875C-D4E9097320D9}"/>
    <cellStyle name="Normal 4 4 3 3 2 3" xfId="5177" xr:uid="{00000000-0005-0000-0000-000091150000}"/>
    <cellStyle name="Normal 4 4 3 3 2 3 2" xfId="13627" xr:uid="{6F5F8220-C736-4874-B525-BB20EFA0417C}"/>
    <cellStyle name="Normal 4 4 3 3 2 4" xfId="9409" xr:uid="{E6AD5E2F-5BAC-4538-8EA3-0F811C1AFF0E}"/>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16185" xr:uid="{16A9CFB2-905A-4A00-9AF4-ED1E7C2750A4}"/>
    <cellStyle name="Normal 4 4 3 3 3 2 3" xfId="11967" xr:uid="{FAB6867C-BF72-4123-8FA1-5FDF4BED5654}"/>
    <cellStyle name="Normal 4 4 3 3 3 3" xfId="5590" xr:uid="{00000000-0005-0000-0000-000095150000}"/>
    <cellStyle name="Normal 4 4 3 3 3 3 2" xfId="14040" xr:uid="{DB5AF607-DC7B-4168-AB89-FF7593500F23}"/>
    <cellStyle name="Normal 4 4 3 3 3 4" xfId="9822" xr:uid="{8266272F-2405-4B5D-A0B3-96F4AC1C5ED9}"/>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16598" xr:uid="{DE2C5D2C-F294-4B39-B9DA-6BE806393585}"/>
    <cellStyle name="Normal 4 4 3 3 4 2 3" xfId="12380" xr:uid="{57A00D80-975D-49B2-89DC-3C42A924354F}"/>
    <cellStyle name="Normal 4 4 3 3 4 3" xfId="6003" xr:uid="{00000000-0005-0000-0000-000099150000}"/>
    <cellStyle name="Normal 4 4 3 3 4 3 2" xfId="14453" xr:uid="{14A9450A-6C85-428D-A716-C739B4EA00A3}"/>
    <cellStyle name="Normal 4 4 3 3 4 4" xfId="10235" xr:uid="{D5F9A9E4-470F-48B0-B642-562FF12301BD}"/>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17011" xr:uid="{919AEF37-B8EE-434A-BECF-DF224E84F05A}"/>
    <cellStyle name="Normal 4 4 3 3 5 2 3" xfId="12793" xr:uid="{348E4093-3652-49C3-8F71-1C8C916D7C5E}"/>
    <cellStyle name="Normal 4 4 3 3 5 3" xfId="6416" xr:uid="{00000000-0005-0000-0000-00009D150000}"/>
    <cellStyle name="Normal 4 4 3 3 5 3 2" xfId="14866" xr:uid="{DD98E320-A045-438B-86A3-00321D17AFE2}"/>
    <cellStyle name="Normal 4 4 3 3 5 4" xfId="10648" xr:uid="{D0154563-D7AE-4A1F-88E4-CB7CB2954214}"/>
    <cellStyle name="Normal 4 4 3 3 6" xfId="2546" xr:uid="{00000000-0005-0000-0000-00009E150000}"/>
    <cellStyle name="Normal 4 4 3 3 6 2" xfId="6829" xr:uid="{00000000-0005-0000-0000-00009F150000}"/>
    <cellStyle name="Normal 4 4 3 3 6 2 2" xfId="15279" xr:uid="{4A3C4182-190E-459E-AC7A-903A1A9E62F9}"/>
    <cellStyle name="Normal 4 4 3 3 6 3" xfId="11061" xr:uid="{77EE12B7-0145-4E06-844B-E33D361B1515}"/>
    <cellStyle name="Normal 4 4 3 3 7" xfId="4764" xr:uid="{00000000-0005-0000-0000-0000A0150000}"/>
    <cellStyle name="Normal 4 4 3 3 7 2" xfId="13214" xr:uid="{026E2963-DED8-4121-A78C-E1CD6FCF506D}"/>
    <cellStyle name="Normal 4 4 3 3 8" xfId="8996" xr:uid="{B3ECCD52-F306-4BDF-AE86-C971CE39EF46}"/>
    <cellStyle name="Normal 4 4 3 4" xfId="862" xr:uid="{00000000-0005-0000-0000-0000A1150000}"/>
    <cellStyle name="Normal 4 4 3 4 2" xfId="3097" xr:uid="{00000000-0005-0000-0000-0000A2150000}"/>
    <cellStyle name="Normal 4 4 3 4 2 2" xfId="7319" xr:uid="{00000000-0005-0000-0000-0000A3150000}"/>
    <cellStyle name="Normal 4 4 3 4 2 2 2" xfId="15769" xr:uid="{427F4AF4-D034-4AD1-9562-A0E1515898FC}"/>
    <cellStyle name="Normal 4 4 3 4 2 3" xfId="11551" xr:uid="{2292A37F-A0F4-4DFC-B09D-87A24C199BED}"/>
    <cellStyle name="Normal 4 4 3 4 3" xfId="5174" xr:uid="{00000000-0005-0000-0000-0000A4150000}"/>
    <cellStyle name="Normal 4 4 3 4 3 2" xfId="13624" xr:uid="{7AB820FA-F2CD-44A0-A5A0-78AA97F67860}"/>
    <cellStyle name="Normal 4 4 3 4 4" xfId="9406" xr:uid="{B16FFEC0-B543-4686-9E98-F5DC420CAE5F}"/>
    <cellStyle name="Normal 4 4 3 5" xfId="1280" xr:uid="{00000000-0005-0000-0000-0000A5150000}"/>
    <cellStyle name="Normal 4 4 3 5 2" xfId="3510" xr:uid="{00000000-0005-0000-0000-0000A6150000}"/>
    <cellStyle name="Normal 4 4 3 5 2 2" xfId="7732" xr:uid="{00000000-0005-0000-0000-0000A7150000}"/>
    <cellStyle name="Normal 4 4 3 5 2 2 2" xfId="16182" xr:uid="{00F18F68-1E87-44E8-9BE9-914DA12D839C}"/>
    <cellStyle name="Normal 4 4 3 5 2 3" xfId="11964" xr:uid="{57559EF1-66C2-4759-82B1-DC600F5927F2}"/>
    <cellStyle name="Normal 4 4 3 5 3" xfId="5587" xr:uid="{00000000-0005-0000-0000-0000A8150000}"/>
    <cellStyle name="Normal 4 4 3 5 3 2" xfId="14037" xr:uid="{F13DDACE-180A-4406-A3EF-4C5E99C1A4E7}"/>
    <cellStyle name="Normal 4 4 3 5 4" xfId="9819" xr:uid="{9D593915-34C1-4B5C-96B4-E079A0E5F107}"/>
    <cellStyle name="Normal 4 4 3 6" xfId="1693" xr:uid="{00000000-0005-0000-0000-0000A9150000}"/>
    <cellStyle name="Normal 4 4 3 6 2" xfId="3923" xr:uid="{00000000-0005-0000-0000-0000AA150000}"/>
    <cellStyle name="Normal 4 4 3 6 2 2" xfId="8145" xr:uid="{00000000-0005-0000-0000-0000AB150000}"/>
    <cellStyle name="Normal 4 4 3 6 2 2 2" xfId="16595" xr:uid="{EC0AFCDF-E242-4F64-91BC-469B99514A26}"/>
    <cellStyle name="Normal 4 4 3 6 2 3" xfId="12377" xr:uid="{D3ABD2A9-3C97-40BC-AEF3-6FA58BFE7EE1}"/>
    <cellStyle name="Normal 4 4 3 6 3" xfId="6000" xr:uid="{00000000-0005-0000-0000-0000AC150000}"/>
    <cellStyle name="Normal 4 4 3 6 3 2" xfId="14450" xr:uid="{332FE7F4-2CA0-46B7-B84D-87B1C8740E24}"/>
    <cellStyle name="Normal 4 4 3 6 4" xfId="10232" xr:uid="{00E53A75-E26D-46D2-B304-81243B41CDA0}"/>
    <cellStyle name="Normal 4 4 3 7" xfId="2107" xr:uid="{00000000-0005-0000-0000-0000AD150000}"/>
    <cellStyle name="Normal 4 4 3 7 2" xfId="4336" xr:uid="{00000000-0005-0000-0000-0000AE150000}"/>
    <cellStyle name="Normal 4 4 3 7 2 2" xfId="8558" xr:uid="{00000000-0005-0000-0000-0000AF150000}"/>
    <cellStyle name="Normal 4 4 3 7 2 2 2" xfId="17008" xr:uid="{0CB48A7B-0CC4-4EA2-AEC8-F030721588B5}"/>
    <cellStyle name="Normal 4 4 3 7 2 3" xfId="12790" xr:uid="{CE583629-99DB-4895-8537-E1CFA65B72CB}"/>
    <cellStyle name="Normal 4 4 3 7 3" xfId="6413" xr:uid="{00000000-0005-0000-0000-0000B0150000}"/>
    <cellStyle name="Normal 4 4 3 7 3 2" xfId="14863" xr:uid="{66506DBC-A71F-46D2-A144-80B0D3F83990}"/>
    <cellStyle name="Normal 4 4 3 7 4" xfId="10645" xr:uid="{2B40DAEA-22CA-4DC8-8E05-2ABD717EA700}"/>
    <cellStyle name="Normal 4 4 3 8" xfId="2543" xr:uid="{00000000-0005-0000-0000-0000B1150000}"/>
    <cellStyle name="Normal 4 4 3 8 2" xfId="6826" xr:uid="{00000000-0005-0000-0000-0000B2150000}"/>
    <cellStyle name="Normal 4 4 3 8 2 2" xfId="15276" xr:uid="{ABB0D7C3-079E-4E70-B2A9-CB1AC2EF6D6F}"/>
    <cellStyle name="Normal 4 4 3 8 3" xfId="11058" xr:uid="{E8AF8B99-8BA7-4E76-95AD-647B65CB54FB}"/>
    <cellStyle name="Normal 4 4 3 9" xfId="4761" xr:uid="{00000000-0005-0000-0000-0000B3150000}"/>
    <cellStyle name="Normal 4 4 3 9 2" xfId="13211" xr:uid="{B59E9C0D-FC9B-451A-8466-FE13847C0E84}"/>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15774" xr:uid="{A7B8702E-9EF6-4A8D-9F01-ABAD6422F1AB}"/>
    <cellStyle name="Normal 4 4 4 2 2 2 3" xfId="11556" xr:uid="{A7178FAD-0385-4B92-AA07-40E30EEE0C51}"/>
    <cellStyle name="Normal 4 4 4 2 2 3" xfId="5179" xr:uid="{00000000-0005-0000-0000-0000B9150000}"/>
    <cellStyle name="Normal 4 4 4 2 2 3 2" xfId="13629" xr:uid="{3B4BB809-3E2E-456D-A92E-6652661DB279}"/>
    <cellStyle name="Normal 4 4 4 2 2 4" xfId="9411" xr:uid="{DF911E55-159D-4BA9-985F-26D810B584E5}"/>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16187" xr:uid="{30384A7E-F2CE-40F6-A0CA-EE695D961C75}"/>
    <cellStyle name="Normal 4 4 4 2 3 2 3" xfId="11969" xr:uid="{0BB83D33-93DB-40AF-8D2D-85204861EC8D}"/>
    <cellStyle name="Normal 4 4 4 2 3 3" xfId="5592" xr:uid="{00000000-0005-0000-0000-0000BD150000}"/>
    <cellStyle name="Normal 4 4 4 2 3 3 2" xfId="14042" xr:uid="{5D30349E-4300-40F4-A350-432CE1D8A5C4}"/>
    <cellStyle name="Normal 4 4 4 2 3 4" xfId="9824" xr:uid="{E413C2F1-570F-4123-91E1-BA03A64C81BA}"/>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16600" xr:uid="{06A0F072-41F5-47FD-8306-C2BEDF128E93}"/>
    <cellStyle name="Normal 4 4 4 2 4 2 3" xfId="12382" xr:uid="{82C15B51-F435-40C6-9DE1-D60B299BA55A}"/>
    <cellStyle name="Normal 4 4 4 2 4 3" xfId="6005" xr:uid="{00000000-0005-0000-0000-0000C1150000}"/>
    <cellStyle name="Normal 4 4 4 2 4 3 2" xfId="14455" xr:uid="{6DEDDAA9-1434-40A8-8BD6-A0A9A9A2C97E}"/>
    <cellStyle name="Normal 4 4 4 2 4 4" xfId="10237" xr:uid="{9CACD7DD-F124-4BC0-9302-5456FD6914F2}"/>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17013" xr:uid="{D8DABF87-72C3-4482-A233-3C2429BC033C}"/>
    <cellStyle name="Normal 4 4 4 2 5 2 3" xfId="12795" xr:uid="{60D05CC4-0C0F-4A79-939A-95E9680411F7}"/>
    <cellStyle name="Normal 4 4 4 2 5 3" xfId="6418" xr:uid="{00000000-0005-0000-0000-0000C5150000}"/>
    <cellStyle name="Normal 4 4 4 2 5 3 2" xfId="14868" xr:uid="{E43CB52A-ACBA-48B9-BC7A-177A6557A153}"/>
    <cellStyle name="Normal 4 4 4 2 5 4" xfId="10650" xr:uid="{CBAE3FAF-122D-4833-B92B-542A2C45E919}"/>
    <cellStyle name="Normal 4 4 4 2 6" xfId="2548" xr:uid="{00000000-0005-0000-0000-0000C6150000}"/>
    <cellStyle name="Normal 4 4 4 2 6 2" xfId="6831" xr:uid="{00000000-0005-0000-0000-0000C7150000}"/>
    <cellStyle name="Normal 4 4 4 2 6 2 2" xfId="15281" xr:uid="{F3E61E58-F8F8-40A3-AFB3-32303CF5127B}"/>
    <cellStyle name="Normal 4 4 4 2 6 3" xfId="11063" xr:uid="{74F9FFCD-D7D9-45BF-A66F-BB348231918A}"/>
    <cellStyle name="Normal 4 4 4 2 7" xfId="4766" xr:uid="{00000000-0005-0000-0000-0000C8150000}"/>
    <cellStyle name="Normal 4 4 4 2 7 2" xfId="13216" xr:uid="{4EEB6159-A2FF-4488-8797-00BD125A1317}"/>
    <cellStyle name="Normal 4 4 4 2 8" xfId="8998" xr:uid="{2CAE1B6B-F99B-46D6-B132-E0FF4249712C}"/>
    <cellStyle name="Normal 4 4 4 3" xfId="866" xr:uid="{00000000-0005-0000-0000-0000C9150000}"/>
    <cellStyle name="Normal 4 4 4 3 2" xfId="3101" xr:uid="{00000000-0005-0000-0000-0000CA150000}"/>
    <cellStyle name="Normal 4 4 4 3 2 2" xfId="7323" xr:uid="{00000000-0005-0000-0000-0000CB150000}"/>
    <cellStyle name="Normal 4 4 4 3 2 2 2" xfId="15773" xr:uid="{026ED24E-016F-449E-8040-125D1FB1F026}"/>
    <cellStyle name="Normal 4 4 4 3 2 3" xfId="11555" xr:uid="{DE438502-F2D3-4E7F-BD7B-AB329525EFF8}"/>
    <cellStyle name="Normal 4 4 4 3 3" xfId="5178" xr:uid="{00000000-0005-0000-0000-0000CC150000}"/>
    <cellStyle name="Normal 4 4 4 3 3 2" xfId="13628" xr:uid="{E199FF0A-03D3-4121-952C-70FFCFF818AF}"/>
    <cellStyle name="Normal 4 4 4 3 4" xfId="9410" xr:uid="{971530C5-36E6-4B94-808F-9DB6CCF22FAD}"/>
    <cellStyle name="Normal 4 4 4 4" xfId="1284" xr:uid="{00000000-0005-0000-0000-0000CD150000}"/>
    <cellStyle name="Normal 4 4 4 4 2" xfId="3514" xr:uid="{00000000-0005-0000-0000-0000CE150000}"/>
    <cellStyle name="Normal 4 4 4 4 2 2" xfId="7736" xr:uid="{00000000-0005-0000-0000-0000CF150000}"/>
    <cellStyle name="Normal 4 4 4 4 2 2 2" xfId="16186" xr:uid="{E8832419-5020-4BD5-969B-2E5EC06301A9}"/>
    <cellStyle name="Normal 4 4 4 4 2 3" xfId="11968" xr:uid="{F127428F-12FA-4A0F-9C7B-E92B2B96CB3C}"/>
    <cellStyle name="Normal 4 4 4 4 3" xfId="5591" xr:uid="{00000000-0005-0000-0000-0000D0150000}"/>
    <cellStyle name="Normal 4 4 4 4 3 2" xfId="14041" xr:uid="{942DF4E3-5228-4CAD-87AE-DA1EB961C576}"/>
    <cellStyle name="Normal 4 4 4 4 4" xfId="9823" xr:uid="{35471802-5F22-4195-8751-2380BD4C0440}"/>
    <cellStyle name="Normal 4 4 4 5" xfId="1697" xr:uid="{00000000-0005-0000-0000-0000D1150000}"/>
    <cellStyle name="Normal 4 4 4 5 2" xfId="3927" xr:uid="{00000000-0005-0000-0000-0000D2150000}"/>
    <cellStyle name="Normal 4 4 4 5 2 2" xfId="8149" xr:uid="{00000000-0005-0000-0000-0000D3150000}"/>
    <cellStyle name="Normal 4 4 4 5 2 2 2" xfId="16599" xr:uid="{38013E55-62C7-4EA8-832C-EB4A8B038333}"/>
    <cellStyle name="Normal 4 4 4 5 2 3" xfId="12381" xr:uid="{D3393518-9D97-4085-8409-2B3B47A985C4}"/>
    <cellStyle name="Normal 4 4 4 5 3" xfId="6004" xr:uid="{00000000-0005-0000-0000-0000D4150000}"/>
    <cellStyle name="Normal 4 4 4 5 3 2" xfId="14454" xr:uid="{4CF831F9-D028-42DD-810A-1F22F15F0057}"/>
    <cellStyle name="Normal 4 4 4 5 4" xfId="10236" xr:uid="{09876F34-824A-48D0-999B-94546F12E150}"/>
    <cellStyle name="Normal 4 4 4 6" xfId="2111" xr:uid="{00000000-0005-0000-0000-0000D5150000}"/>
    <cellStyle name="Normal 4 4 4 6 2" xfId="4340" xr:uid="{00000000-0005-0000-0000-0000D6150000}"/>
    <cellStyle name="Normal 4 4 4 6 2 2" xfId="8562" xr:uid="{00000000-0005-0000-0000-0000D7150000}"/>
    <cellStyle name="Normal 4 4 4 6 2 2 2" xfId="17012" xr:uid="{C2B931F9-DEEA-4640-B5CE-B3B9650CB01C}"/>
    <cellStyle name="Normal 4 4 4 6 2 3" xfId="12794" xr:uid="{3D65DE9A-6AC5-4826-ABF2-7FA9CC2C1BA8}"/>
    <cellStyle name="Normal 4 4 4 6 3" xfId="6417" xr:uid="{00000000-0005-0000-0000-0000D8150000}"/>
    <cellStyle name="Normal 4 4 4 6 3 2" xfId="14867" xr:uid="{34DB0DB4-E5A1-4A2D-A61B-732992C8D749}"/>
    <cellStyle name="Normal 4 4 4 6 4" xfId="10649" xr:uid="{1C60CC57-6321-4E73-BEE4-1B65AC77F612}"/>
    <cellStyle name="Normal 4 4 4 7" xfId="2547" xr:uid="{00000000-0005-0000-0000-0000D9150000}"/>
    <cellStyle name="Normal 4 4 4 7 2" xfId="6830" xr:uid="{00000000-0005-0000-0000-0000DA150000}"/>
    <cellStyle name="Normal 4 4 4 7 2 2" xfId="15280" xr:uid="{66E99F7B-EE5F-4222-921A-3CC5109A9E75}"/>
    <cellStyle name="Normal 4 4 4 7 3" xfId="11062" xr:uid="{4E6D6FAF-0138-4873-8481-A060A536D81B}"/>
    <cellStyle name="Normal 4 4 4 8" xfId="4765" xr:uid="{00000000-0005-0000-0000-0000DB150000}"/>
    <cellStyle name="Normal 4 4 4 8 2" xfId="13215" xr:uid="{2FC7FDC0-7EB7-461F-B531-E9E1209DF547}"/>
    <cellStyle name="Normal 4 4 4 9" xfId="8997" xr:uid="{618AA03F-A314-43B8-BE07-50662299E667}"/>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2 2 2" xfId="15775" xr:uid="{D2063A4C-FB12-43F1-BEF0-F9F48AF2929F}"/>
    <cellStyle name="Normal 4 4 5 2 2 3" xfId="11557" xr:uid="{00A6115C-D36F-4E0C-87EF-3396BDD9D9FB}"/>
    <cellStyle name="Normal 4 4 5 2 3" xfId="5180" xr:uid="{00000000-0005-0000-0000-0000E0150000}"/>
    <cellStyle name="Normal 4 4 5 2 3 2" xfId="13630" xr:uid="{F1281EF9-0DF0-4133-8592-39DDC0E831EF}"/>
    <cellStyle name="Normal 4 4 5 2 4" xfId="9412" xr:uid="{C9D811A0-0BEB-41A5-8704-EC58BC26C642}"/>
    <cellStyle name="Normal 4 4 5 3" xfId="1286" xr:uid="{00000000-0005-0000-0000-0000E1150000}"/>
    <cellStyle name="Normal 4 4 5 3 2" xfId="3516" xr:uid="{00000000-0005-0000-0000-0000E2150000}"/>
    <cellStyle name="Normal 4 4 5 3 2 2" xfId="7738" xr:uid="{00000000-0005-0000-0000-0000E3150000}"/>
    <cellStyle name="Normal 4 4 5 3 2 2 2" xfId="16188" xr:uid="{D1A3558B-7FA8-4271-BDD0-C55A3C12B42F}"/>
    <cellStyle name="Normal 4 4 5 3 2 3" xfId="11970" xr:uid="{7AD40736-088A-408E-ABAA-05644D08B05F}"/>
    <cellStyle name="Normal 4 4 5 3 3" xfId="5593" xr:uid="{00000000-0005-0000-0000-0000E4150000}"/>
    <cellStyle name="Normal 4 4 5 3 3 2" xfId="14043" xr:uid="{A49C6CA9-8C1C-4412-9EF4-107BD8E050EC}"/>
    <cellStyle name="Normal 4 4 5 3 4" xfId="9825" xr:uid="{4AA85E11-A876-4D0C-8E66-82888CA92241}"/>
    <cellStyle name="Normal 4 4 5 4" xfId="1699" xr:uid="{00000000-0005-0000-0000-0000E5150000}"/>
    <cellStyle name="Normal 4 4 5 4 2" xfId="3929" xr:uid="{00000000-0005-0000-0000-0000E6150000}"/>
    <cellStyle name="Normal 4 4 5 4 2 2" xfId="8151" xr:uid="{00000000-0005-0000-0000-0000E7150000}"/>
    <cellStyle name="Normal 4 4 5 4 2 2 2" xfId="16601" xr:uid="{1F311FFF-E118-4209-932A-76097FD556DC}"/>
    <cellStyle name="Normal 4 4 5 4 2 3" xfId="12383" xr:uid="{80A05BA0-12A0-4551-B27C-D4A9DC65D017}"/>
    <cellStyle name="Normal 4 4 5 4 3" xfId="6006" xr:uid="{00000000-0005-0000-0000-0000E8150000}"/>
    <cellStyle name="Normal 4 4 5 4 3 2" xfId="14456" xr:uid="{81BDA406-84AA-4857-BFFF-2A963423B721}"/>
    <cellStyle name="Normal 4 4 5 4 4" xfId="10238" xr:uid="{E88BDEC2-CF4A-44FD-A4AB-F3782494CE1E}"/>
    <cellStyle name="Normal 4 4 5 5" xfId="2113" xr:uid="{00000000-0005-0000-0000-0000E9150000}"/>
    <cellStyle name="Normal 4 4 5 5 2" xfId="4342" xr:uid="{00000000-0005-0000-0000-0000EA150000}"/>
    <cellStyle name="Normal 4 4 5 5 2 2" xfId="8564" xr:uid="{00000000-0005-0000-0000-0000EB150000}"/>
    <cellStyle name="Normal 4 4 5 5 2 2 2" xfId="17014" xr:uid="{D2D48348-8EF6-475F-A0F4-06C254CEECEE}"/>
    <cellStyle name="Normal 4 4 5 5 2 3" xfId="12796" xr:uid="{FBA5156B-CA36-4208-B985-2D16D3D96EFC}"/>
    <cellStyle name="Normal 4 4 5 5 3" xfId="6419" xr:uid="{00000000-0005-0000-0000-0000EC150000}"/>
    <cellStyle name="Normal 4 4 5 5 3 2" xfId="14869" xr:uid="{9FDEA5C5-86E8-4563-BBAC-D8952BF5AE78}"/>
    <cellStyle name="Normal 4 4 5 5 4" xfId="10651" xr:uid="{BE5D67E4-F582-4B0E-99D3-D4E21D65014C}"/>
    <cellStyle name="Normal 4 4 5 6" xfId="2549" xr:uid="{00000000-0005-0000-0000-0000ED150000}"/>
    <cellStyle name="Normal 4 4 5 6 2" xfId="6832" xr:uid="{00000000-0005-0000-0000-0000EE150000}"/>
    <cellStyle name="Normal 4 4 5 6 2 2" xfId="15282" xr:uid="{6D8B9CC1-55AF-40BB-90A7-96894CE56C7A}"/>
    <cellStyle name="Normal 4 4 5 6 3" xfId="11064" xr:uid="{47601800-57F3-4F57-ACDD-BA05B57A9785}"/>
    <cellStyle name="Normal 4 4 5 7" xfId="4767" xr:uid="{00000000-0005-0000-0000-0000EF150000}"/>
    <cellStyle name="Normal 4 4 5 7 2" xfId="13217" xr:uid="{2AC51A0B-D577-4B5A-80E7-56331BC48965}"/>
    <cellStyle name="Normal 4 4 5 8" xfId="8999" xr:uid="{2B72CECF-FD3D-4F19-BB7A-7D119D4DC6D9}"/>
    <cellStyle name="Normal 4 4 6" xfId="853" xr:uid="{00000000-0005-0000-0000-0000F0150000}"/>
    <cellStyle name="Normal 4 4 6 2" xfId="3088" xr:uid="{00000000-0005-0000-0000-0000F1150000}"/>
    <cellStyle name="Normal 4 4 6 2 2" xfId="7310" xr:uid="{00000000-0005-0000-0000-0000F2150000}"/>
    <cellStyle name="Normal 4 4 6 2 2 2" xfId="15760" xr:uid="{362F0CC1-8D5D-4509-9C3F-C37BF3EC0538}"/>
    <cellStyle name="Normal 4 4 6 2 3" xfId="11542" xr:uid="{035D2380-C12E-4A9F-84AD-9DA0D64AFA07}"/>
    <cellStyle name="Normal 4 4 6 3" xfId="5165" xr:uid="{00000000-0005-0000-0000-0000F3150000}"/>
    <cellStyle name="Normal 4 4 6 3 2" xfId="13615" xr:uid="{6C124A82-1EA2-4BC5-BEC2-C68A239AEF42}"/>
    <cellStyle name="Normal 4 4 6 4" xfId="9397" xr:uid="{C443302B-3628-429A-93A7-5FD0079397F5}"/>
    <cellStyle name="Normal 4 4 7" xfId="1271" xr:uid="{00000000-0005-0000-0000-0000F4150000}"/>
    <cellStyle name="Normal 4 4 7 2" xfId="3501" xr:uid="{00000000-0005-0000-0000-0000F5150000}"/>
    <cellStyle name="Normal 4 4 7 2 2" xfId="7723" xr:uid="{00000000-0005-0000-0000-0000F6150000}"/>
    <cellStyle name="Normal 4 4 7 2 2 2" xfId="16173" xr:uid="{5E434DBB-E5A4-4A49-A154-D13DD903C48B}"/>
    <cellStyle name="Normal 4 4 7 2 3" xfId="11955" xr:uid="{0A912B37-8B76-4ADF-8361-5D26B4B95012}"/>
    <cellStyle name="Normal 4 4 7 3" xfId="5578" xr:uid="{00000000-0005-0000-0000-0000F7150000}"/>
    <cellStyle name="Normal 4 4 7 3 2" xfId="14028" xr:uid="{44320636-234A-4747-BA2E-AD14E22BD639}"/>
    <cellStyle name="Normal 4 4 7 4" xfId="9810" xr:uid="{15D5B48C-7EB6-4DD1-8B77-6CC995F41343}"/>
    <cellStyle name="Normal 4 4 8" xfId="1684" xr:uid="{00000000-0005-0000-0000-0000F8150000}"/>
    <cellStyle name="Normal 4 4 8 2" xfId="3914" xr:uid="{00000000-0005-0000-0000-0000F9150000}"/>
    <cellStyle name="Normal 4 4 8 2 2" xfId="8136" xr:uid="{00000000-0005-0000-0000-0000FA150000}"/>
    <cellStyle name="Normal 4 4 8 2 2 2" xfId="16586" xr:uid="{E5B1A68B-A3AA-4EA1-9520-AA8E60E7EDDB}"/>
    <cellStyle name="Normal 4 4 8 2 3" xfId="12368" xr:uid="{25C2380E-EA1A-4A38-866B-54B70FE3F052}"/>
    <cellStyle name="Normal 4 4 8 3" xfId="5991" xr:uid="{00000000-0005-0000-0000-0000FB150000}"/>
    <cellStyle name="Normal 4 4 8 3 2" xfId="14441" xr:uid="{FCD24CC9-E53A-4F4C-AD34-D929A88A5FF2}"/>
    <cellStyle name="Normal 4 4 8 4" xfId="10223" xr:uid="{1977701F-93B2-4D05-9C6D-ACB86035B5E1}"/>
    <cellStyle name="Normal 4 4 9" xfId="2098" xr:uid="{00000000-0005-0000-0000-0000FC150000}"/>
    <cellStyle name="Normal 4 4 9 2" xfId="4327" xr:uid="{00000000-0005-0000-0000-0000FD150000}"/>
    <cellStyle name="Normal 4 4 9 2 2" xfId="8549" xr:uid="{00000000-0005-0000-0000-0000FE150000}"/>
    <cellStyle name="Normal 4 4 9 2 2 2" xfId="16999" xr:uid="{4198D689-D38E-414E-B5AE-0C687AC6575C}"/>
    <cellStyle name="Normal 4 4 9 2 3" xfId="12781" xr:uid="{DAFE205B-CFD0-4260-AB94-1295E3D3AA2D}"/>
    <cellStyle name="Normal 4 4 9 3" xfId="6404" xr:uid="{00000000-0005-0000-0000-0000FF150000}"/>
    <cellStyle name="Normal 4 4 9 3 2" xfId="14854" xr:uid="{E818C71B-93F0-4D45-B9B4-95FFBD2F79BA}"/>
    <cellStyle name="Normal 4 4 9 4" xfId="10636" xr:uid="{3E715FB1-9FA8-4EE3-A86C-1AE676007292}"/>
    <cellStyle name="Normal 4 5" xfId="394" xr:uid="{00000000-0005-0000-0000-000000160000}"/>
    <cellStyle name="Normal 4 6" xfId="395" xr:uid="{00000000-0005-0000-0000-000001160000}"/>
    <cellStyle name="Normal 4 6 10" xfId="4768" xr:uid="{00000000-0005-0000-0000-000002160000}"/>
    <cellStyle name="Normal 4 6 10 2" xfId="13218" xr:uid="{DC6F231E-2F79-49E5-BF39-28117AD6E057}"/>
    <cellStyle name="Normal 4 6 11" xfId="9000" xr:uid="{6B34A064-59D9-49C3-B162-F4E8C7887ECA}"/>
    <cellStyle name="Normal 4 6 2" xfId="396" xr:uid="{00000000-0005-0000-0000-000003160000}"/>
    <cellStyle name="Normal 4 6 2 10" xfId="9001" xr:uid="{16FF857B-7A78-482F-9333-8BFD19F45A04}"/>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15779" xr:uid="{9FFA1B0D-2F81-46BA-920E-37BADBB3F0B7}"/>
    <cellStyle name="Normal 4 6 2 2 2 2 2 3" xfId="11561" xr:uid="{D0CEF65F-20F1-4C34-B52B-2F51C8402228}"/>
    <cellStyle name="Normal 4 6 2 2 2 2 3" xfId="5184" xr:uid="{00000000-0005-0000-0000-000009160000}"/>
    <cellStyle name="Normal 4 6 2 2 2 2 3 2" xfId="13634" xr:uid="{A2821E6A-CD96-43B5-845B-C38C7B885B26}"/>
    <cellStyle name="Normal 4 6 2 2 2 2 4" xfId="9416" xr:uid="{E46FE060-264A-479F-A0C3-81B1A148825F}"/>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16192" xr:uid="{674625D7-6D29-4C2B-A937-6B6D307C718E}"/>
    <cellStyle name="Normal 4 6 2 2 2 3 2 3" xfId="11974" xr:uid="{C0BD6C05-9098-46BB-9362-54340D498A01}"/>
    <cellStyle name="Normal 4 6 2 2 2 3 3" xfId="5597" xr:uid="{00000000-0005-0000-0000-00000D160000}"/>
    <cellStyle name="Normal 4 6 2 2 2 3 3 2" xfId="14047" xr:uid="{7914AF84-A4E6-4B28-A799-60C8099455E9}"/>
    <cellStyle name="Normal 4 6 2 2 2 3 4" xfId="9829" xr:uid="{49D24DBE-3FF7-4AF0-AC61-C7A82C1210F3}"/>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16605" xr:uid="{82386C33-9282-4BE7-AE41-CEA32D1E65B5}"/>
    <cellStyle name="Normal 4 6 2 2 2 4 2 3" xfId="12387" xr:uid="{CCE89CC4-B9AB-4F49-BB49-3B20A0F490E2}"/>
    <cellStyle name="Normal 4 6 2 2 2 4 3" xfId="6010" xr:uid="{00000000-0005-0000-0000-000011160000}"/>
    <cellStyle name="Normal 4 6 2 2 2 4 3 2" xfId="14460" xr:uid="{EF27ACA9-0906-487B-BA50-521893AC34E9}"/>
    <cellStyle name="Normal 4 6 2 2 2 4 4" xfId="10242" xr:uid="{E25F2CCF-576E-478F-9304-C8649824FD36}"/>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17018" xr:uid="{2F8B8505-3B33-48A2-9E3D-2BB294798E9E}"/>
    <cellStyle name="Normal 4 6 2 2 2 5 2 3" xfId="12800" xr:uid="{29CC8738-F6CC-4D20-AE0D-943867C5CF5D}"/>
    <cellStyle name="Normal 4 6 2 2 2 5 3" xfId="6423" xr:uid="{00000000-0005-0000-0000-000015160000}"/>
    <cellStyle name="Normal 4 6 2 2 2 5 3 2" xfId="14873" xr:uid="{0C4D5748-7D8B-444B-B1DC-27F2C4666673}"/>
    <cellStyle name="Normal 4 6 2 2 2 5 4" xfId="10655" xr:uid="{CD74907A-EDF1-4B62-B655-E7BC5A463B09}"/>
    <cellStyle name="Normal 4 6 2 2 2 6" xfId="2553" xr:uid="{00000000-0005-0000-0000-000016160000}"/>
    <cellStyle name="Normal 4 6 2 2 2 6 2" xfId="6836" xr:uid="{00000000-0005-0000-0000-000017160000}"/>
    <cellStyle name="Normal 4 6 2 2 2 6 2 2" xfId="15286" xr:uid="{E99E60D7-E122-4D2B-9072-8916D45D6DA1}"/>
    <cellStyle name="Normal 4 6 2 2 2 6 3" xfId="11068" xr:uid="{97E4D635-AE93-459B-A850-58C9D547A1FF}"/>
    <cellStyle name="Normal 4 6 2 2 2 7" xfId="4771" xr:uid="{00000000-0005-0000-0000-000018160000}"/>
    <cellStyle name="Normal 4 6 2 2 2 7 2" xfId="13221" xr:uid="{B9B4E0B9-27D4-47E4-8F4D-18947DACB9B0}"/>
    <cellStyle name="Normal 4 6 2 2 2 8" xfId="9003" xr:uid="{B200115D-6279-4F77-8D26-73E5A6F26B38}"/>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15778" xr:uid="{BD8D1312-5827-4F1E-9912-A96C25E1A5DD}"/>
    <cellStyle name="Normal 4 6 2 2 3 2 3" xfId="11560" xr:uid="{D5381CA6-4E14-46A8-BFF7-739A1F2F00D7}"/>
    <cellStyle name="Normal 4 6 2 2 3 3" xfId="5183" xr:uid="{00000000-0005-0000-0000-00001C160000}"/>
    <cellStyle name="Normal 4 6 2 2 3 3 2" xfId="13633" xr:uid="{0E4083F9-6EA6-426E-BCCB-79FDAC264F85}"/>
    <cellStyle name="Normal 4 6 2 2 3 4" xfId="9415" xr:uid="{80F362BD-675D-452D-9DF3-C37C9270F951}"/>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16191" xr:uid="{570400F2-A4CE-45F1-8D6B-9A58C4947236}"/>
    <cellStyle name="Normal 4 6 2 2 4 2 3" xfId="11973" xr:uid="{3290E4EE-C2D8-4406-B4F4-A61A545371F3}"/>
    <cellStyle name="Normal 4 6 2 2 4 3" xfId="5596" xr:uid="{00000000-0005-0000-0000-000020160000}"/>
    <cellStyle name="Normal 4 6 2 2 4 3 2" xfId="14046" xr:uid="{D4A61FFB-43AC-45D6-A6BD-0101589113BA}"/>
    <cellStyle name="Normal 4 6 2 2 4 4" xfId="9828" xr:uid="{E4A8358E-DF01-417C-BC79-7E8962BD74D0}"/>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16604" xr:uid="{8EA9BBAE-0055-4852-89C3-58D849F1ABFA}"/>
    <cellStyle name="Normal 4 6 2 2 5 2 3" xfId="12386" xr:uid="{FC0D72D1-E814-48A7-9549-D7804B9952E9}"/>
    <cellStyle name="Normal 4 6 2 2 5 3" xfId="6009" xr:uid="{00000000-0005-0000-0000-000024160000}"/>
    <cellStyle name="Normal 4 6 2 2 5 3 2" xfId="14459" xr:uid="{05CAA7A9-1A75-41EC-818D-B3A077B4A28F}"/>
    <cellStyle name="Normal 4 6 2 2 5 4" xfId="10241" xr:uid="{EFBCA37A-2769-4629-BEF9-B11930190311}"/>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17017" xr:uid="{680D8FC5-DCB7-4825-8126-3BE9DFDBF542}"/>
    <cellStyle name="Normal 4 6 2 2 6 2 3" xfId="12799" xr:uid="{4B169507-DF74-471F-AA4D-7589DEF6E86D}"/>
    <cellStyle name="Normal 4 6 2 2 6 3" xfId="6422" xr:uid="{00000000-0005-0000-0000-000028160000}"/>
    <cellStyle name="Normal 4 6 2 2 6 3 2" xfId="14872" xr:uid="{EBE00CC4-3BCA-4DC7-B27D-286A9223478D}"/>
    <cellStyle name="Normal 4 6 2 2 6 4" xfId="10654" xr:uid="{BB7D24B2-0BCC-41B7-9828-EC0E19AD1C78}"/>
    <cellStyle name="Normal 4 6 2 2 7" xfId="2552" xr:uid="{00000000-0005-0000-0000-000029160000}"/>
    <cellStyle name="Normal 4 6 2 2 7 2" xfId="6835" xr:uid="{00000000-0005-0000-0000-00002A160000}"/>
    <cellStyle name="Normal 4 6 2 2 7 2 2" xfId="15285" xr:uid="{73396E63-D3A4-4B1F-94B1-7D911DC07F31}"/>
    <cellStyle name="Normal 4 6 2 2 7 3" xfId="11067" xr:uid="{3A9F8C13-FFE2-4BA1-9729-246DCFE6A8FB}"/>
    <cellStyle name="Normal 4 6 2 2 8" xfId="4770" xr:uid="{00000000-0005-0000-0000-00002B160000}"/>
    <cellStyle name="Normal 4 6 2 2 8 2" xfId="13220" xr:uid="{9CEBBF8F-A972-4569-8C55-1E9ACB034C04}"/>
    <cellStyle name="Normal 4 6 2 2 9" xfId="9002" xr:uid="{C2689ECF-2474-4727-B880-19E1DE0524E1}"/>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15780" xr:uid="{2B0F6E88-D57B-4B01-88C6-93B3A64D1008}"/>
    <cellStyle name="Normal 4 6 2 3 2 2 3" xfId="11562" xr:uid="{F804CEB6-B14C-4231-90E6-D527821D701C}"/>
    <cellStyle name="Normal 4 6 2 3 2 3" xfId="5185" xr:uid="{00000000-0005-0000-0000-000030160000}"/>
    <cellStyle name="Normal 4 6 2 3 2 3 2" xfId="13635" xr:uid="{DCAC4B07-F1F7-4EB7-ABF2-3FA40FEF9EDC}"/>
    <cellStyle name="Normal 4 6 2 3 2 4" xfId="9417" xr:uid="{006C9B11-6065-43BA-B113-D4CF95B7ABF6}"/>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16193" xr:uid="{63BBD2AA-3491-4C0C-8A31-7787AEC2C59A}"/>
    <cellStyle name="Normal 4 6 2 3 3 2 3" xfId="11975" xr:uid="{4050D23A-0608-44A7-A07B-BA975263BA71}"/>
    <cellStyle name="Normal 4 6 2 3 3 3" xfId="5598" xr:uid="{00000000-0005-0000-0000-000034160000}"/>
    <cellStyle name="Normal 4 6 2 3 3 3 2" xfId="14048" xr:uid="{E9EF5341-7154-4F01-9FE3-3EB4444CBA3D}"/>
    <cellStyle name="Normal 4 6 2 3 3 4" xfId="9830" xr:uid="{2EB0E389-5C47-4C72-8839-69F01032284E}"/>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16606" xr:uid="{FC46A4BA-73DF-489E-8D2F-116CEA201F9A}"/>
    <cellStyle name="Normal 4 6 2 3 4 2 3" xfId="12388" xr:uid="{460350B6-502A-4464-89B3-7EE98446D830}"/>
    <cellStyle name="Normal 4 6 2 3 4 3" xfId="6011" xr:uid="{00000000-0005-0000-0000-000038160000}"/>
    <cellStyle name="Normal 4 6 2 3 4 3 2" xfId="14461" xr:uid="{E8AC7E9B-6C10-469B-9944-44D3B1CD24F5}"/>
    <cellStyle name="Normal 4 6 2 3 4 4" xfId="10243" xr:uid="{398FC89F-C9D2-44A5-BDCA-1A32618BDDEA}"/>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17019" xr:uid="{54E70794-B09D-452E-B5E8-6D911F03B91A}"/>
    <cellStyle name="Normal 4 6 2 3 5 2 3" xfId="12801" xr:uid="{C7A30733-AA0F-4CF1-BA23-6393C291850D}"/>
    <cellStyle name="Normal 4 6 2 3 5 3" xfId="6424" xr:uid="{00000000-0005-0000-0000-00003C160000}"/>
    <cellStyle name="Normal 4 6 2 3 5 3 2" xfId="14874" xr:uid="{0DBA5977-DA47-43C5-990B-D620744A61CB}"/>
    <cellStyle name="Normal 4 6 2 3 5 4" xfId="10656" xr:uid="{F3290321-B746-4C4B-9D0E-F6FACB68E6DD}"/>
    <cellStyle name="Normal 4 6 2 3 6" xfId="2554" xr:uid="{00000000-0005-0000-0000-00003D160000}"/>
    <cellStyle name="Normal 4 6 2 3 6 2" xfId="6837" xr:uid="{00000000-0005-0000-0000-00003E160000}"/>
    <cellStyle name="Normal 4 6 2 3 6 2 2" xfId="15287" xr:uid="{85C9EB81-A2EC-495F-836A-FF004076341D}"/>
    <cellStyle name="Normal 4 6 2 3 6 3" xfId="11069" xr:uid="{E3DC8A9F-B5EB-4213-9F2C-57FDD239E09C}"/>
    <cellStyle name="Normal 4 6 2 3 7" xfId="4772" xr:uid="{00000000-0005-0000-0000-00003F160000}"/>
    <cellStyle name="Normal 4 6 2 3 7 2" xfId="13222" xr:uid="{50D7DF10-E38C-4E46-A298-96712F2E6ED8}"/>
    <cellStyle name="Normal 4 6 2 3 8" xfId="9004" xr:uid="{8048A462-0E15-4E98-A87A-FF077E4A3C2C}"/>
    <cellStyle name="Normal 4 6 2 4" xfId="870" xr:uid="{00000000-0005-0000-0000-000040160000}"/>
    <cellStyle name="Normal 4 6 2 4 2" xfId="3105" xr:uid="{00000000-0005-0000-0000-000041160000}"/>
    <cellStyle name="Normal 4 6 2 4 2 2" xfId="7327" xr:uid="{00000000-0005-0000-0000-000042160000}"/>
    <cellStyle name="Normal 4 6 2 4 2 2 2" xfId="15777" xr:uid="{00CF6D98-C0AB-4E5F-A867-5B0AC4D73D77}"/>
    <cellStyle name="Normal 4 6 2 4 2 3" xfId="11559" xr:uid="{B4BF3580-6A20-4FC7-8E12-3E2D9150DE05}"/>
    <cellStyle name="Normal 4 6 2 4 3" xfId="5182" xr:uid="{00000000-0005-0000-0000-000043160000}"/>
    <cellStyle name="Normal 4 6 2 4 3 2" xfId="13632" xr:uid="{BD742E1F-D565-4FEA-AAC0-754D6C6A4D8A}"/>
    <cellStyle name="Normal 4 6 2 4 4" xfId="9414" xr:uid="{0EFD679D-21A2-4998-8DD3-815139745DAE}"/>
    <cellStyle name="Normal 4 6 2 5" xfId="1288" xr:uid="{00000000-0005-0000-0000-000044160000}"/>
    <cellStyle name="Normal 4 6 2 5 2" xfId="3518" xr:uid="{00000000-0005-0000-0000-000045160000}"/>
    <cellStyle name="Normal 4 6 2 5 2 2" xfId="7740" xr:uid="{00000000-0005-0000-0000-000046160000}"/>
    <cellStyle name="Normal 4 6 2 5 2 2 2" xfId="16190" xr:uid="{8CE0C398-D785-4BD8-A7F7-34EE3B6C2330}"/>
    <cellStyle name="Normal 4 6 2 5 2 3" xfId="11972" xr:uid="{8D163945-63EB-4E30-9E4E-3294B1D080BE}"/>
    <cellStyle name="Normal 4 6 2 5 3" xfId="5595" xr:uid="{00000000-0005-0000-0000-000047160000}"/>
    <cellStyle name="Normal 4 6 2 5 3 2" xfId="14045" xr:uid="{537518E8-A5F4-4BA9-8B58-EA74DD0B3F10}"/>
    <cellStyle name="Normal 4 6 2 5 4" xfId="9827" xr:uid="{E40BB049-C200-4CAF-922A-95A39D20B462}"/>
    <cellStyle name="Normal 4 6 2 6" xfId="1701" xr:uid="{00000000-0005-0000-0000-000048160000}"/>
    <cellStyle name="Normal 4 6 2 6 2" xfId="3931" xr:uid="{00000000-0005-0000-0000-000049160000}"/>
    <cellStyle name="Normal 4 6 2 6 2 2" xfId="8153" xr:uid="{00000000-0005-0000-0000-00004A160000}"/>
    <cellStyle name="Normal 4 6 2 6 2 2 2" xfId="16603" xr:uid="{E4009FC1-FB5C-4DB5-8B85-4CB061D13412}"/>
    <cellStyle name="Normal 4 6 2 6 2 3" xfId="12385" xr:uid="{3EBF85FC-F158-4E10-B31C-CFDAA76689DC}"/>
    <cellStyle name="Normal 4 6 2 6 3" xfId="6008" xr:uid="{00000000-0005-0000-0000-00004B160000}"/>
    <cellStyle name="Normal 4 6 2 6 3 2" xfId="14458" xr:uid="{D8064B9C-185B-48FB-A3B4-C07BC212EF70}"/>
    <cellStyle name="Normal 4 6 2 6 4" xfId="10240" xr:uid="{F3703F4C-4EFF-4676-89F3-D05069ABD940}"/>
    <cellStyle name="Normal 4 6 2 7" xfId="2115" xr:uid="{00000000-0005-0000-0000-00004C160000}"/>
    <cellStyle name="Normal 4 6 2 7 2" xfId="4344" xr:uid="{00000000-0005-0000-0000-00004D160000}"/>
    <cellStyle name="Normal 4 6 2 7 2 2" xfId="8566" xr:uid="{00000000-0005-0000-0000-00004E160000}"/>
    <cellStyle name="Normal 4 6 2 7 2 2 2" xfId="17016" xr:uid="{306D350B-40D0-44D1-AF94-8A433B9E9C4A}"/>
    <cellStyle name="Normal 4 6 2 7 2 3" xfId="12798" xr:uid="{AE04D1F0-A672-489A-B5A2-7C9158B0ACC9}"/>
    <cellStyle name="Normal 4 6 2 7 3" xfId="6421" xr:uid="{00000000-0005-0000-0000-00004F160000}"/>
    <cellStyle name="Normal 4 6 2 7 3 2" xfId="14871" xr:uid="{A34B222B-B97E-41B4-B10A-ABA7FE3AF8E5}"/>
    <cellStyle name="Normal 4 6 2 7 4" xfId="10653" xr:uid="{CFA4C5BB-F2CF-4C47-828D-5EEA2CDA90DC}"/>
    <cellStyle name="Normal 4 6 2 8" xfId="2551" xr:uid="{00000000-0005-0000-0000-000050160000}"/>
    <cellStyle name="Normal 4 6 2 8 2" xfId="6834" xr:uid="{00000000-0005-0000-0000-000051160000}"/>
    <cellStyle name="Normal 4 6 2 8 2 2" xfId="15284" xr:uid="{E6257B1C-5017-490B-AA86-F07E036C0743}"/>
    <cellStyle name="Normal 4 6 2 8 3" xfId="11066" xr:uid="{EF2E0E30-83A2-4FAF-88A7-052EA030EB07}"/>
    <cellStyle name="Normal 4 6 2 9" xfId="4769" xr:uid="{00000000-0005-0000-0000-000052160000}"/>
    <cellStyle name="Normal 4 6 2 9 2" xfId="13219" xr:uid="{981C4C7D-B403-4335-84C5-1FFD935E362C}"/>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15782" xr:uid="{0E847202-EB24-4559-9A80-2CA28059EAE6}"/>
    <cellStyle name="Normal 4 6 3 2 2 2 3" xfId="11564" xr:uid="{9FA3F502-BFDF-41C4-B851-AA8E03530E7F}"/>
    <cellStyle name="Normal 4 6 3 2 2 3" xfId="5187" xr:uid="{00000000-0005-0000-0000-000058160000}"/>
    <cellStyle name="Normal 4 6 3 2 2 3 2" xfId="13637" xr:uid="{14C85B75-6AE9-4A8E-8171-3206FE0A7D4E}"/>
    <cellStyle name="Normal 4 6 3 2 2 4" xfId="9419" xr:uid="{12832330-6A55-46DC-85D0-8AD8537D08D0}"/>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16195" xr:uid="{723381A5-784B-420A-A560-9AE3D4640DE4}"/>
    <cellStyle name="Normal 4 6 3 2 3 2 3" xfId="11977" xr:uid="{7E4D7A3E-646D-482A-9E4B-83D7E0889961}"/>
    <cellStyle name="Normal 4 6 3 2 3 3" xfId="5600" xr:uid="{00000000-0005-0000-0000-00005C160000}"/>
    <cellStyle name="Normal 4 6 3 2 3 3 2" xfId="14050" xr:uid="{B7AE042E-6780-44AF-8D1C-B9DAE10C0F2B}"/>
    <cellStyle name="Normal 4 6 3 2 3 4" xfId="9832" xr:uid="{6F33A004-D92D-4EF2-8D59-3276ABCE125C}"/>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16608" xr:uid="{16B1597A-BE51-45D8-9258-9F93698A62AE}"/>
    <cellStyle name="Normal 4 6 3 2 4 2 3" xfId="12390" xr:uid="{DDB60F4A-DE22-4FC2-93EA-1A22C7FD9A1F}"/>
    <cellStyle name="Normal 4 6 3 2 4 3" xfId="6013" xr:uid="{00000000-0005-0000-0000-000060160000}"/>
    <cellStyle name="Normal 4 6 3 2 4 3 2" xfId="14463" xr:uid="{9BB81A97-DAB4-4D19-8CA7-396D3A669EC8}"/>
    <cellStyle name="Normal 4 6 3 2 4 4" xfId="10245" xr:uid="{8692E13E-797F-416E-99EF-570C0CEE61BA}"/>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17021" xr:uid="{98C4FBFE-15B7-4777-A514-52FF6B56FF90}"/>
    <cellStyle name="Normal 4 6 3 2 5 2 3" xfId="12803" xr:uid="{C2DB64E3-EE5A-4ED7-9D53-E0B4602BE50D}"/>
    <cellStyle name="Normal 4 6 3 2 5 3" xfId="6426" xr:uid="{00000000-0005-0000-0000-000064160000}"/>
    <cellStyle name="Normal 4 6 3 2 5 3 2" xfId="14876" xr:uid="{0DF93EDA-0841-464B-98CB-317E193CA906}"/>
    <cellStyle name="Normal 4 6 3 2 5 4" xfId="10658" xr:uid="{6A3D2588-FE53-46C9-BD36-DE4237EA29B0}"/>
    <cellStyle name="Normal 4 6 3 2 6" xfId="2556" xr:uid="{00000000-0005-0000-0000-000065160000}"/>
    <cellStyle name="Normal 4 6 3 2 6 2" xfId="6839" xr:uid="{00000000-0005-0000-0000-000066160000}"/>
    <cellStyle name="Normal 4 6 3 2 6 2 2" xfId="15289" xr:uid="{F9858123-1FBA-4CB6-A5D1-E12EDD1DBD49}"/>
    <cellStyle name="Normal 4 6 3 2 6 3" xfId="11071" xr:uid="{85E7CE38-191B-4B21-83F3-23E4EF87B199}"/>
    <cellStyle name="Normal 4 6 3 2 7" xfId="4774" xr:uid="{00000000-0005-0000-0000-000067160000}"/>
    <cellStyle name="Normal 4 6 3 2 7 2" xfId="13224" xr:uid="{D4FD91B4-0ED9-4690-9444-F1F9B891DDC7}"/>
    <cellStyle name="Normal 4 6 3 2 8" xfId="9006" xr:uid="{214802C7-1292-4237-A69D-37A47A230A02}"/>
    <cellStyle name="Normal 4 6 3 3" xfId="874" xr:uid="{00000000-0005-0000-0000-000068160000}"/>
    <cellStyle name="Normal 4 6 3 3 2" xfId="3109" xr:uid="{00000000-0005-0000-0000-000069160000}"/>
    <cellStyle name="Normal 4 6 3 3 2 2" xfId="7331" xr:uid="{00000000-0005-0000-0000-00006A160000}"/>
    <cellStyle name="Normal 4 6 3 3 2 2 2" xfId="15781" xr:uid="{71BC91CE-B4D6-4293-9B49-476A7EAC82E5}"/>
    <cellStyle name="Normal 4 6 3 3 2 3" xfId="11563" xr:uid="{DD90E39C-B89E-4A1D-A71E-C6B953BA996A}"/>
    <cellStyle name="Normal 4 6 3 3 3" xfId="5186" xr:uid="{00000000-0005-0000-0000-00006B160000}"/>
    <cellStyle name="Normal 4 6 3 3 3 2" xfId="13636" xr:uid="{33C08670-EDBC-4EA5-89CF-FDA2820BA5B5}"/>
    <cellStyle name="Normal 4 6 3 3 4" xfId="9418" xr:uid="{A2FD7957-862E-481F-91F5-A80F3A043D8C}"/>
    <cellStyle name="Normal 4 6 3 4" xfId="1292" xr:uid="{00000000-0005-0000-0000-00006C160000}"/>
    <cellStyle name="Normal 4 6 3 4 2" xfId="3522" xr:uid="{00000000-0005-0000-0000-00006D160000}"/>
    <cellStyle name="Normal 4 6 3 4 2 2" xfId="7744" xr:uid="{00000000-0005-0000-0000-00006E160000}"/>
    <cellStyle name="Normal 4 6 3 4 2 2 2" xfId="16194" xr:uid="{39AE1241-8C4C-4CF3-85BA-BA85D9B1E0F0}"/>
    <cellStyle name="Normal 4 6 3 4 2 3" xfId="11976" xr:uid="{2D206C0A-6068-4847-AAE7-55632DDB81EC}"/>
    <cellStyle name="Normal 4 6 3 4 3" xfId="5599" xr:uid="{00000000-0005-0000-0000-00006F160000}"/>
    <cellStyle name="Normal 4 6 3 4 3 2" xfId="14049" xr:uid="{68325803-10E0-4CD1-ACAD-831E5F198EDA}"/>
    <cellStyle name="Normal 4 6 3 4 4" xfId="9831" xr:uid="{F0CF0442-19BA-41D6-80AB-3F5D82B952AD}"/>
    <cellStyle name="Normal 4 6 3 5" xfId="1705" xr:uid="{00000000-0005-0000-0000-000070160000}"/>
    <cellStyle name="Normal 4 6 3 5 2" xfId="3935" xr:uid="{00000000-0005-0000-0000-000071160000}"/>
    <cellStyle name="Normal 4 6 3 5 2 2" xfId="8157" xr:uid="{00000000-0005-0000-0000-000072160000}"/>
    <cellStyle name="Normal 4 6 3 5 2 2 2" xfId="16607" xr:uid="{00BAA328-C506-4E75-A47C-6A1831CEBB8A}"/>
    <cellStyle name="Normal 4 6 3 5 2 3" xfId="12389" xr:uid="{DE5998ED-AB5C-4D36-8F53-AE03305316C0}"/>
    <cellStyle name="Normal 4 6 3 5 3" xfId="6012" xr:uid="{00000000-0005-0000-0000-000073160000}"/>
    <cellStyle name="Normal 4 6 3 5 3 2" xfId="14462" xr:uid="{27F5A30A-FCA8-4B7E-9A4F-BCA7A36C510C}"/>
    <cellStyle name="Normal 4 6 3 5 4" xfId="10244" xr:uid="{7935E21F-E4DF-4432-93C0-25883FBE3209}"/>
    <cellStyle name="Normal 4 6 3 6" xfId="2119" xr:uid="{00000000-0005-0000-0000-000074160000}"/>
    <cellStyle name="Normal 4 6 3 6 2" xfId="4348" xr:uid="{00000000-0005-0000-0000-000075160000}"/>
    <cellStyle name="Normal 4 6 3 6 2 2" xfId="8570" xr:uid="{00000000-0005-0000-0000-000076160000}"/>
    <cellStyle name="Normal 4 6 3 6 2 2 2" xfId="17020" xr:uid="{EF081599-C442-4F9B-B923-F80C8D5A58CC}"/>
    <cellStyle name="Normal 4 6 3 6 2 3" xfId="12802" xr:uid="{6C53CA1B-CEF5-4E3B-A1A8-DC91EA989284}"/>
    <cellStyle name="Normal 4 6 3 6 3" xfId="6425" xr:uid="{00000000-0005-0000-0000-000077160000}"/>
    <cellStyle name="Normal 4 6 3 6 3 2" xfId="14875" xr:uid="{3736492E-EF02-4740-AFAE-86F32CF64461}"/>
    <cellStyle name="Normal 4 6 3 6 4" xfId="10657" xr:uid="{F182BDC1-A46B-4C07-A70C-E9C42065E803}"/>
    <cellStyle name="Normal 4 6 3 7" xfId="2555" xr:uid="{00000000-0005-0000-0000-000078160000}"/>
    <cellStyle name="Normal 4 6 3 7 2" xfId="6838" xr:uid="{00000000-0005-0000-0000-000079160000}"/>
    <cellStyle name="Normal 4 6 3 7 2 2" xfId="15288" xr:uid="{6181CC46-211F-4C20-B4C6-086D9F6A842C}"/>
    <cellStyle name="Normal 4 6 3 7 3" xfId="11070" xr:uid="{DEA92B52-65D3-4DB5-90A9-919D1A0DB05D}"/>
    <cellStyle name="Normal 4 6 3 8" xfId="4773" xr:uid="{00000000-0005-0000-0000-00007A160000}"/>
    <cellStyle name="Normal 4 6 3 8 2" xfId="13223" xr:uid="{29BB91F0-7358-4483-8265-E348D9CBF2CD}"/>
    <cellStyle name="Normal 4 6 3 9" xfId="9005" xr:uid="{700196FE-16E0-4B92-9236-B8B0DD8D23C5}"/>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2 2 2" xfId="15783" xr:uid="{AC199F49-0891-4E99-8621-45D701B1C1BF}"/>
    <cellStyle name="Normal 4 6 4 2 2 3" xfId="11565" xr:uid="{D969C920-A54B-4D99-A68D-2AC56EBB80FE}"/>
    <cellStyle name="Normal 4 6 4 2 3" xfId="5188" xr:uid="{00000000-0005-0000-0000-00007F160000}"/>
    <cellStyle name="Normal 4 6 4 2 3 2" xfId="13638" xr:uid="{8ACCE0D6-CE59-410D-83A5-C7DCF4BCC410}"/>
    <cellStyle name="Normal 4 6 4 2 4" xfId="9420" xr:uid="{331EC173-5532-4BF2-8B8B-B93B79200425}"/>
    <cellStyle name="Normal 4 6 4 3" xfId="1294" xr:uid="{00000000-0005-0000-0000-000080160000}"/>
    <cellStyle name="Normal 4 6 4 3 2" xfId="3524" xr:uid="{00000000-0005-0000-0000-000081160000}"/>
    <cellStyle name="Normal 4 6 4 3 2 2" xfId="7746" xr:uid="{00000000-0005-0000-0000-000082160000}"/>
    <cellStyle name="Normal 4 6 4 3 2 2 2" xfId="16196" xr:uid="{C8A264E6-5376-4C93-8566-2F267E9E3E04}"/>
    <cellStyle name="Normal 4 6 4 3 2 3" xfId="11978" xr:uid="{CEEA5294-AC2D-4845-A628-9E5122E47CE2}"/>
    <cellStyle name="Normal 4 6 4 3 3" xfId="5601" xr:uid="{00000000-0005-0000-0000-000083160000}"/>
    <cellStyle name="Normal 4 6 4 3 3 2" xfId="14051" xr:uid="{1F199737-0F11-4377-95C5-F10413447E23}"/>
    <cellStyle name="Normal 4 6 4 3 4" xfId="9833" xr:uid="{E3FC1A74-0A54-4BD0-8578-048A9E775FF6}"/>
    <cellStyle name="Normal 4 6 4 4" xfId="1707" xr:uid="{00000000-0005-0000-0000-000084160000}"/>
    <cellStyle name="Normal 4 6 4 4 2" xfId="3937" xr:uid="{00000000-0005-0000-0000-000085160000}"/>
    <cellStyle name="Normal 4 6 4 4 2 2" xfId="8159" xr:uid="{00000000-0005-0000-0000-000086160000}"/>
    <cellStyle name="Normal 4 6 4 4 2 2 2" xfId="16609" xr:uid="{DF1B1243-091D-49EE-A6CD-9C88213788B3}"/>
    <cellStyle name="Normal 4 6 4 4 2 3" xfId="12391" xr:uid="{1D87F672-EC4C-4ACC-888E-4B143C72F006}"/>
    <cellStyle name="Normal 4 6 4 4 3" xfId="6014" xr:uid="{00000000-0005-0000-0000-000087160000}"/>
    <cellStyle name="Normal 4 6 4 4 3 2" xfId="14464" xr:uid="{85F2276D-3E4D-45E9-9D92-4F90AB303E30}"/>
    <cellStyle name="Normal 4 6 4 4 4" xfId="10246" xr:uid="{397C0A57-B3F1-4C32-8671-F140F9FB576F}"/>
    <cellStyle name="Normal 4 6 4 5" xfId="2121" xr:uid="{00000000-0005-0000-0000-000088160000}"/>
    <cellStyle name="Normal 4 6 4 5 2" xfId="4350" xr:uid="{00000000-0005-0000-0000-000089160000}"/>
    <cellStyle name="Normal 4 6 4 5 2 2" xfId="8572" xr:uid="{00000000-0005-0000-0000-00008A160000}"/>
    <cellStyle name="Normal 4 6 4 5 2 2 2" xfId="17022" xr:uid="{0678696E-E2A6-4F0B-93D4-8C4C73DE2F64}"/>
    <cellStyle name="Normal 4 6 4 5 2 3" xfId="12804" xr:uid="{3035D71C-31C4-48A0-8758-5FCAD77193E8}"/>
    <cellStyle name="Normal 4 6 4 5 3" xfId="6427" xr:uid="{00000000-0005-0000-0000-00008B160000}"/>
    <cellStyle name="Normal 4 6 4 5 3 2" xfId="14877" xr:uid="{7E6914CB-68E9-43CB-8720-32D85D8051BA}"/>
    <cellStyle name="Normal 4 6 4 5 4" xfId="10659" xr:uid="{EE0EF1E5-C71B-430E-86C8-1F60C6FAAC7D}"/>
    <cellStyle name="Normal 4 6 4 6" xfId="2557" xr:uid="{00000000-0005-0000-0000-00008C160000}"/>
    <cellStyle name="Normal 4 6 4 6 2" xfId="6840" xr:uid="{00000000-0005-0000-0000-00008D160000}"/>
    <cellStyle name="Normal 4 6 4 6 2 2" xfId="15290" xr:uid="{E29226CC-3747-4267-A7AD-A32C6D814F5E}"/>
    <cellStyle name="Normal 4 6 4 6 3" xfId="11072" xr:uid="{8268A465-FB3C-4B6C-8E9F-DDCF10195E98}"/>
    <cellStyle name="Normal 4 6 4 7" xfId="4775" xr:uid="{00000000-0005-0000-0000-00008E160000}"/>
    <cellStyle name="Normal 4 6 4 7 2" xfId="13225" xr:uid="{F49E2602-CF14-4A9D-89AD-8456EE4A58CC}"/>
    <cellStyle name="Normal 4 6 4 8" xfId="9007" xr:uid="{3903F1D1-F59B-443C-96A2-D1BBDD1A2B1C}"/>
    <cellStyle name="Normal 4 6 5" xfId="869" xr:uid="{00000000-0005-0000-0000-00008F160000}"/>
    <cellStyle name="Normal 4 6 5 2" xfId="3104" xr:uid="{00000000-0005-0000-0000-000090160000}"/>
    <cellStyle name="Normal 4 6 5 2 2" xfId="7326" xr:uid="{00000000-0005-0000-0000-000091160000}"/>
    <cellStyle name="Normal 4 6 5 2 2 2" xfId="15776" xr:uid="{499FA202-632B-4785-9092-BBC00098F244}"/>
    <cellStyle name="Normal 4 6 5 2 3" xfId="11558" xr:uid="{D3BC2523-33C0-4F1C-8B72-E9CE34265B7C}"/>
    <cellStyle name="Normal 4 6 5 3" xfId="5181" xr:uid="{00000000-0005-0000-0000-000092160000}"/>
    <cellStyle name="Normal 4 6 5 3 2" xfId="13631" xr:uid="{6EFAD66E-1A71-42CE-9F2F-EB5B404E7424}"/>
    <cellStyle name="Normal 4 6 5 4" xfId="9413" xr:uid="{BF3FF01B-7B4E-4CE6-9F2B-DD31D7491D81}"/>
    <cellStyle name="Normal 4 6 6" xfId="1287" xr:uid="{00000000-0005-0000-0000-000093160000}"/>
    <cellStyle name="Normal 4 6 6 2" xfId="3517" xr:uid="{00000000-0005-0000-0000-000094160000}"/>
    <cellStyle name="Normal 4 6 6 2 2" xfId="7739" xr:uid="{00000000-0005-0000-0000-000095160000}"/>
    <cellStyle name="Normal 4 6 6 2 2 2" xfId="16189" xr:uid="{B9B2A54C-2E61-4ECC-84AF-58EC9DF26453}"/>
    <cellStyle name="Normal 4 6 6 2 3" xfId="11971" xr:uid="{34F3FF23-8C05-4A2C-8526-B51EAD5550BE}"/>
    <cellStyle name="Normal 4 6 6 3" xfId="5594" xr:uid="{00000000-0005-0000-0000-000096160000}"/>
    <cellStyle name="Normal 4 6 6 3 2" xfId="14044" xr:uid="{BD9ABFEA-89EE-4E80-AE39-4CF760A9AAA0}"/>
    <cellStyle name="Normal 4 6 6 4" xfId="9826" xr:uid="{9A625DFD-17C3-49D7-B9FA-9C9397C42D0E}"/>
    <cellStyle name="Normal 4 6 7" xfId="1700" xr:uid="{00000000-0005-0000-0000-000097160000}"/>
    <cellStyle name="Normal 4 6 7 2" xfId="3930" xr:uid="{00000000-0005-0000-0000-000098160000}"/>
    <cellStyle name="Normal 4 6 7 2 2" xfId="8152" xr:uid="{00000000-0005-0000-0000-000099160000}"/>
    <cellStyle name="Normal 4 6 7 2 2 2" xfId="16602" xr:uid="{7C07E4FE-DB70-49A5-9FB5-D9A39E8F98E0}"/>
    <cellStyle name="Normal 4 6 7 2 3" xfId="12384" xr:uid="{0B16EEB0-F8A1-4D7F-B25C-FFAFF1F12995}"/>
    <cellStyle name="Normal 4 6 7 3" xfId="6007" xr:uid="{00000000-0005-0000-0000-00009A160000}"/>
    <cellStyle name="Normal 4 6 7 3 2" xfId="14457" xr:uid="{0CD3A9C5-29B3-40EF-80D9-60AD3794F0D2}"/>
    <cellStyle name="Normal 4 6 7 4" xfId="10239" xr:uid="{CA93D8F5-8CBC-4642-8365-BFA18BCFD099}"/>
    <cellStyle name="Normal 4 6 8" xfId="2114" xr:uid="{00000000-0005-0000-0000-00009B160000}"/>
    <cellStyle name="Normal 4 6 8 2" xfId="4343" xr:uid="{00000000-0005-0000-0000-00009C160000}"/>
    <cellStyle name="Normal 4 6 8 2 2" xfId="8565" xr:uid="{00000000-0005-0000-0000-00009D160000}"/>
    <cellStyle name="Normal 4 6 8 2 2 2" xfId="17015" xr:uid="{A130CF29-495C-47C1-A164-C37CC9120BE5}"/>
    <cellStyle name="Normal 4 6 8 2 3" xfId="12797" xr:uid="{02580E63-92BA-400D-BC02-719CA0E22AF3}"/>
    <cellStyle name="Normal 4 6 8 3" xfId="6420" xr:uid="{00000000-0005-0000-0000-00009E160000}"/>
    <cellStyle name="Normal 4 6 8 3 2" xfId="14870" xr:uid="{74F59CED-1A29-477A-9AF5-D6217803CE5C}"/>
    <cellStyle name="Normal 4 6 8 4" xfId="10652" xr:uid="{163CB489-B554-4762-AAC0-A032C8614F0F}"/>
    <cellStyle name="Normal 4 6 9" xfId="2550" xr:uid="{00000000-0005-0000-0000-00009F160000}"/>
    <cellStyle name="Normal 4 6 9 2" xfId="6833" xr:uid="{00000000-0005-0000-0000-0000A0160000}"/>
    <cellStyle name="Normal 4 6 9 2 2" xfId="15283" xr:uid="{364D78A4-5742-4527-8E54-C9EAD2DCD5C7}"/>
    <cellStyle name="Normal 4 6 9 3" xfId="11065" xr:uid="{57CCFC76-05CB-4155-B533-1E7EC6AD4869}"/>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2 2 2" xfId="15785" xr:uid="{49BF2F5A-8D21-4EFA-8FE8-CECCA2F25ABA}"/>
    <cellStyle name="Normal 4 7 2 2 2 3" xfId="11567" xr:uid="{AEB2F81B-0920-4ACE-9550-22A9CC9A607C}"/>
    <cellStyle name="Normal 4 7 2 2 3" xfId="5190" xr:uid="{00000000-0005-0000-0000-0000A6160000}"/>
    <cellStyle name="Normal 4 7 2 2 3 2" xfId="13640" xr:uid="{46F7E930-64AE-42B2-ABC3-1BD0A8942CF8}"/>
    <cellStyle name="Normal 4 7 2 2 4" xfId="9422" xr:uid="{1BBF9C70-2CF1-45E6-8957-336B044EB0D0}"/>
    <cellStyle name="Normal 4 7 2 3" xfId="1296" xr:uid="{00000000-0005-0000-0000-0000A7160000}"/>
    <cellStyle name="Normal 4 7 2 3 2" xfId="3526" xr:uid="{00000000-0005-0000-0000-0000A8160000}"/>
    <cellStyle name="Normal 4 7 2 3 2 2" xfId="7748" xr:uid="{00000000-0005-0000-0000-0000A9160000}"/>
    <cellStyle name="Normal 4 7 2 3 2 2 2" xfId="16198" xr:uid="{E8AD808B-3093-43AD-8E48-E828CF34D502}"/>
    <cellStyle name="Normal 4 7 2 3 2 3" xfId="11980" xr:uid="{5C752A00-D580-4D59-A337-522870BA80C3}"/>
    <cellStyle name="Normal 4 7 2 3 3" xfId="5603" xr:uid="{00000000-0005-0000-0000-0000AA160000}"/>
    <cellStyle name="Normal 4 7 2 3 3 2" xfId="14053" xr:uid="{22D009D5-B391-4192-A5A4-B1E92D1F4700}"/>
    <cellStyle name="Normal 4 7 2 3 4" xfId="9835" xr:uid="{444ADBF7-0B17-49E5-B24D-28F6541117D7}"/>
    <cellStyle name="Normal 4 7 2 4" xfId="1709" xr:uid="{00000000-0005-0000-0000-0000AB160000}"/>
    <cellStyle name="Normal 4 7 2 4 2" xfId="3939" xr:uid="{00000000-0005-0000-0000-0000AC160000}"/>
    <cellStyle name="Normal 4 7 2 4 2 2" xfId="8161" xr:uid="{00000000-0005-0000-0000-0000AD160000}"/>
    <cellStyle name="Normal 4 7 2 4 2 2 2" xfId="16611" xr:uid="{8A0E2182-CBDC-45DC-834E-D2F000079D4D}"/>
    <cellStyle name="Normal 4 7 2 4 2 3" xfId="12393" xr:uid="{E47683A7-4463-45A1-B36C-90F017578371}"/>
    <cellStyle name="Normal 4 7 2 4 3" xfId="6016" xr:uid="{00000000-0005-0000-0000-0000AE160000}"/>
    <cellStyle name="Normal 4 7 2 4 3 2" xfId="14466" xr:uid="{47FAF03B-CB7F-40E3-8352-38E0F5FDBE55}"/>
    <cellStyle name="Normal 4 7 2 4 4" xfId="10248" xr:uid="{FE20E935-A04E-4624-B1BD-5A2868A99E45}"/>
    <cellStyle name="Normal 4 7 2 5" xfId="2123" xr:uid="{00000000-0005-0000-0000-0000AF160000}"/>
    <cellStyle name="Normal 4 7 2 5 2" xfId="4352" xr:uid="{00000000-0005-0000-0000-0000B0160000}"/>
    <cellStyle name="Normal 4 7 2 5 2 2" xfId="8574" xr:uid="{00000000-0005-0000-0000-0000B1160000}"/>
    <cellStyle name="Normal 4 7 2 5 2 2 2" xfId="17024" xr:uid="{53970219-8F09-44D3-A3F6-B3699E66E584}"/>
    <cellStyle name="Normal 4 7 2 5 2 3" xfId="12806" xr:uid="{E6F53987-5895-4E08-9A74-C5EFD9660BA7}"/>
    <cellStyle name="Normal 4 7 2 5 3" xfId="6429" xr:uid="{00000000-0005-0000-0000-0000B2160000}"/>
    <cellStyle name="Normal 4 7 2 5 3 2" xfId="14879" xr:uid="{05430F4E-6D53-4092-B7A7-88831424CA32}"/>
    <cellStyle name="Normal 4 7 2 5 4" xfId="10661" xr:uid="{B81CD0CD-557C-4A5B-9BB6-8711D5B62AF4}"/>
    <cellStyle name="Normal 4 7 2 6" xfId="2559" xr:uid="{00000000-0005-0000-0000-0000B3160000}"/>
    <cellStyle name="Normal 4 7 2 6 2" xfId="6842" xr:uid="{00000000-0005-0000-0000-0000B4160000}"/>
    <cellStyle name="Normal 4 7 2 6 2 2" xfId="15292" xr:uid="{DE1DBA80-8125-40E6-B399-CDB576A31C64}"/>
    <cellStyle name="Normal 4 7 2 6 3" xfId="11074" xr:uid="{378F9EB3-320E-4ADC-B54B-5E6ABAB528F9}"/>
    <cellStyle name="Normal 4 7 2 7" xfId="4777" xr:uid="{00000000-0005-0000-0000-0000B5160000}"/>
    <cellStyle name="Normal 4 7 2 7 2" xfId="13227" xr:uid="{E5FC0A11-1D63-48FF-9ACD-3D914ACFAB16}"/>
    <cellStyle name="Normal 4 7 2 8" xfId="9009" xr:uid="{138A57FC-8BCD-4292-ABF5-1BB9D25E52E3}"/>
    <cellStyle name="Normal 4 7 3" xfId="877" xr:uid="{00000000-0005-0000-0000-0000B6160000}"/>
    <cellStyle name="Normal 4 7 3 2" xfId="3112" xr:uid="{00000000-0005-0000-0000-0000B7160000}"/>
    <cellStyle name="Normal 4 7 3 2 2" xfId="7334" xr:uid="{00000000-0005-0000-0000-0000B8160000}"/>
    <cellStyle name="Normal 4 7 3 2 2 2" xfId="15784" xr:uid="{C0DC1B30-2659-4E4A-A243-D82624CFBF9D}"/>
    <cellStyle name="Normal 4 7 3 2 3" xfId="11566" xr:uid="{8EFCEB1B-F06B-4E5E-A123-0E1CAA3D011D}"/>
    <cellStyle name="Normal 4 7 3 3" xfId="5189" xr:uid="{00000000-0005-0000-0000-0000B9160000}"/>
    <cellStyle name="Normal 4 7 3 3 2" xfId="13639" xr:uid="{49E0CF06-F08C-4953-AAAE-415CB3EE6307}"/>
    <cellStyle name="Normal 4 7 3 4" xfId="9421" xr:uid="{2A3E9FAD-E5EB-4FA6-B5BD-20C9897E23F7}"/>
    <cellStyle name="Normal 4 7 4" xfId="1295" xr:uid="{00000000-0005-0000-0000-0000BA160000}"/>
    <cellStyle name="Normal 4 7 4 2" xfId="3525" xr:uid="{00000000-0005-0000-0000-0000BB160000}"/>
    <cellStyle name="Normal 4 7 4 2 2" xfId="7747" xr:uid="{00000000-0005-0000-0000-0000BC160000}"/>
    <cellStyle name="Normal 4 7 4 2 2 2" xfId="16197" xr:uid="{E74963E8-A675-455E-91C1-B9B040FEC8E9}"/>
    <cellStyle name="Normal 4 7 4 2 3" xfId="11979" xr:uid="{53BCD2BF-6D43-465E-A97A-8DD47F8F196F}"/>
    <cellStyle name="Normal 4 7 4 3" xfId="5602" xr:uid="{00000000-0005-0000-0000-0000BD160000}"/>
    <cellStyle name="Normal 4 7 4 3 2" xfId="14052" xr:uid="{3D29F251-7878-4B57-A904-6C208789257B}"/>
    <cellStyle name="Normal 4 7 4 4" xfId="9834" xr:uid="{ABE70298-9CC6-4C58-A58B-E71377885D48}"/>
    <cellStyle name="Normal 4 7 5" xfId="1708" xr:uid="{00000000-0005-0000-0000-0000BE160000}"/>
    <cellStyle name="Normal 4 7 5 2" xfId="3938" xr:uid="{00000000-0005-0000-0000-0000BF160000}"/>
    <cellStyle name="Normal 4 7 5 2 2" xfId="8160" xr:uid="{00000000-0005-0000-0000-0000C0160000}"/>
    <cellStyle name="Normal 4 7 5 2 2 2" xfId="16610" xr:uid="{EBBA8147-EAC2-4AF8-A2B6-BA120155C65E}"/>
    <cellStyle name="Normal 4 7 5 2 3" xfId="12392" xr:uid="{5B8BCE38-B06E-4FB0-9AD1-D83484C08AB2}"/>
    <cellStyle name="Normal 4 7 5 3" xfId="6015" xr:uid="{00000000-0005-0000-0000-0000C1160000}"/>
    <cellStyle name="Normal 4 7 5 3 2" xfId="14465" xr:uid="{865EC124-17AC-4914-B0BA-2754145AF4A2}"/>
    <cellStyle name="Normal 4 7 5 4" xfId="10247" xr:uid="{6728CCBE-2CEA-4881-8937-43DCDC11D6E4}"/>
    <cellStyle name="Normal 4 7 6" xfId="2122" xr:uid="{00000000-0005-0000-0000-0000C2160000}"/>
    <cellStyle name="Normal 4 7 6 2" xfId="4351" xr:uid="{00000000-0005-0000-0000-0000C3160000}"/>
    <cellStyle name="Normal 4 7 6 2 2" xfId="8573" xr:uid="{00000000-0005-0000-0000-0000C4160000}"/>
    <cellStyle name="Normal 4 7 6 2 2 2" xfId="17023" xr:uid="{38725014-B490-4BF6-9314-217EAD4D6344}"/>
    <cellStyle name="Normal 4 7 6 2 3" xfId="12805" xr:uid="{C505BCDA-1A57-4E97-8E5F-D44F5A22F7A1}"/>
    <cellStyle name="Normal 4 7 6 3" xfId="6428" xr:uid="{00000000-0005-0000-0000-0000C5160000}"/>
    <cellStyle name="Normal 4 7 6 3 2" xfId="14878" xr:uid="{AABAD798-6334-4C6F-B424-063D2392EB2F}"/>
    <cellStyle name="Normal 4 7 6 4" xfId="10660" xr:uid="{756F1B31-B85E-4D23-AAE3-7C7B4B6DC5DD}"/>
    <cellStyle name="Normal 4 7 7" xfId="2558" xr:uid="{00000000-0005-0000-0000-0000C6160000}"/>
    <cellStyle name="Normal 4 7 7 2" xfId="6841" xr:uid="{00000000-0005-0000-0000-0000C7160000}"/>
    <cellStyle name="Normal 4 7 7 2 2" xfId="15291" xr:uid="{7CB8C0E4-5C14-416B-9EA9-373518468872}"/>
    <cellStyle name="Normal 4 7 7 3" xfId="11073" xr:uid="{E6C903C9-4F67-4E51-8A24-8E0DEAF487A1}"/>
    <cellStyle name="Normal 4 7 8" xfId="4776" xr:uid="{00000000-0005-0000-0000-0000C8160000}"/>
    <cellStyle name="Normal 4 7 8 2" xfId="13226" xr:uid="{599FD8B7-0FFA-49A1-9157-11EA0106F8A8}"/>
    <cellStyle name="Normal 4 7 9" xfId="9008" xr:uid="{601E3AB1-442A-4207-9D2F-798B778F747A}"/>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2 2 2" xfId="15786" xr:uid="{432B0AD0-A9E2-441A-9E5A-D0A933EC2DF1}"/>
    <cellStyle name="Normal 4 8 2 2 3" xfId="11568" xr:uid="{93B27B38-B6D2-4AC1-BB22-F55DA0F7E3F9}"/>
    <cellStyle name="Normal 4 8 2 3" xfId="5191" xr:uid="{00000000-0005-0000-0000-0000CD160000}"/>
    <cellStyle name="Normal 4 8 2 3 2" xfId="13641" xr:uid="{DA61DEFE-504D-48B4-AB0E-4F4B8E8F4D4C}"/>
    <cellStyle name="Normal 4 8 2 4" xfId="9423" xr:uid="{2704CD5C-54EE-41C6-8B33-E2DA9CC8F541}"/>
    <cellStyle name="Normal 4 8 3" xfId="1297" xr:uid="{00000000-0005-0000-0000-0000CE160000}"/>
    <cellStyle name="Normal 4 8 3 2" xfId="3527" xr:uid="{00000000-0005-0000-0000-0000CF160000}"/>
    <cellStyle name="Normal 4 8 3 2 2" xfId="7749" xr:uid="{00000000-0005-0000-0000-0000D0160000}"/>
    <cellStyle name="Normal 4 8 3 2 2 2" xfId="16199" xr:uid="{380AFA32-5387-4172-9CF4-E01F4F7847CE}"/>
    <cellStyle name="Normal 4 8 3 2 3" xfId="11981" xr:uid="{39EA0365-8CFA-4920-B01C-09CE40195FD0}"/>
    <cellStyle name="Normal 4 8 3 3" xfId="5604" xr:uid="{00000000-0005-0000-0000-0000D1160000}"/>
    <cellStyle name="Normal 4 8 3 3 2" xfId="14054" xr:uid="{748C71CD-AEE8-42EB-99F3-83FEBBC54363}"/>
    <cellStyle name="Normal 4 8 3 4" xfId="9836" xr:uid="{666B7E02-A45C-4FEC-9D2A-D51F97795998}"/>
    <cellStyle name="Normal 4 8 4" xfId="1710" xr:uid="{00000000-0005-0000-0000-0000D2160000}"/>
    <cellStyle name="Normal 4 8 4 2" xfId="3940" xr:uid="{00000000-0005-0000-0000-0000D3160000}"/>
    <cellStyle name="Normal 4 8 4 2 2" xfId="8162" xr:uid="{00000000-0005-0000-0000-0000D4160000}"/>
    <cellStyle name="Normal 4 8 4 2 2 2" xfId="16612" xr:uid="{0BD6B427-62E7-4329-8060-D48514566DDB}"/>
    <cellStyle name="Normal 4 8 4 2 3" xfId="12394" xr:uid="{30EA36F2-36E7-4E17-8AAE-E1DA4C02758E}"/>
    <cellStyle name="Normal 4 8 4 3" xfId="6017" xr:uid="{00000000-0005-0000-0000-0000D5160000}"/>
    <cellStyle name="Normal 4 8 4 3 2" xfId="14467" xr:uid="{6C1D1B74-FFE3-49FA-A174-659DF104811B}"/>
    <cellStyle name="Normal 4 8 4 4" xfId="10249" xr:uid="{BAE3AF59-FDA3-4A58-9034-B0EDA655246C}"/>
    <cellStyle name="Normal 4 8 5" xfId="2124" xr:uid="{00000000-0005-0000-0000-0000D6160000}"/>
    <cellStyle name="Normal 4 8 5 2" xfId="4353" xr:uid="{00000000-0005-0000-0000-0000D7160000}"/>
    <cellStyle name="Normal 4 8 5 2 2" xfId="8575" xr:uid="{00000000-0005-0000-0000-0000D8160000}"/>
    <cellStyle name="Normal 4 8 5 2 2 2" xfId="17025" xr:uid="{ADF8E66D-5485-4658-98A2-3299ED1FA823}"/>
    <cellStyle name="Normal 4 8 5 2 3" xfId="12807" xr:uid="{2C3A6366-1939-431C-982B-F81CA98F80D3}"/>
    <cellStyle name="Normal 4 8 5 3" xfId="6430" xr:uid="{00000000-0005-0000-0000-0000D9160000}"/>
    <cellStyle name="Normal 4 8 5 3 2" xfId="14880" xr:uid="{1B280C5F-BC63-41A0-AABB-DFC28200ABFB}"/>
    <cellStyle name="Normal 4 8 5 4" xfId="10662" xr:uid="{D87CBFD4-8C61-4F4F-B0B8-F11C3757B897}"/>
    <cellStyle name="Normal 4 8 6" xfId="2560" xr:uid="{00000000-0005-0000-0000-0000DA160000}"/>
    <cellStyle name="Normal 4 8 6 2" xfId="6843" xr:uid="{00000000-0005-0000-0000-0000DB160000}"/>
    <cellStyle name="Normal 4 8 6 2 2" xfId="15293" xr:uid="{FBB5F7D6-79E7-4485-BB00-9F703B33115B}"/>
    <cellStyle name="Normal 4 8 6 3" xfId="11075" xr:uid="{3F3B93F5-5066-4105-9E3F-0AA0AEC5F7E5}"/>
    <cellStyle name="Normal 4 8 7" xfId="4778" xr:uid="{00000000-0005-0000-0000-0000DC160000}"/>
    <cellStyle name="Normal 4 8 7 2" xfId="13228" xr:uid="{26C58745-2E56-4A19-A594-80E680A1AE2D}"/>
    <cellStyle name="Normal 4 8 8" xfId="9010" xr:uid="{38539C4E-5309-4321-AFB2-F43C974F553A}"/>
    <cellStyle name="Normal 4 9" xfId="4715" xr:uid="{00000000-0005-0000-0000-0000DD160000}"/>
    <cellStyle name="Normal 4 9 2" xfId="13165" xr:uid="{1185F5B2-B82E-4823-99A1-D594BB2EE605}"/>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16613" xr:uid="{CAD60117-4D8E-4CB0-B626-854EB30218F2}"/>
    <cellStyle name="Normal 5 10 2 3" xfId="12395" xr:uid="{4B1BDB97-A9A5-49CA-8CEC-29C2C861C3B0}"/>
    <cellStyle name="Normal 5 10 3" xfId="6018" xr:uid="{00000000-0005-0000-0000-0000E2160000}"/>
    <cellStyle name="Normal 5 10 3 2" xfId="14468" xr:uid="{4B430DDB-F008-4837-8151-47121E542E4E}"/>
    <cellStyle name="Normal 5 10 4" xfId="10250" xr:uid="{7159808B-AF18-4121-84CD-78ED131364C5}"/>
    <cellStyle name="Normal 5 11" xfId="2125" xr:uid="{00000000-0005-0000-0000-0000E3160000}"/>
    <cellStyle name="Normal 5 11 2" xfId="4354" xr:uid="{00000000-0005-0000-0000-0000E4160000}"/>
    <cellStyle name="Normal 5 11 2 2" xfId="8576" xr:uid="{00000000-0005-0000-0000-0000E5160000}"/>
    <cellStyle name="Normal 5 11 2 2 2" xfId="17026" xr:uid="{4F946884-E76D-4B5C-A5E1-E05DAA128C61}"/>
    <cellStyle name="Normal 5 11 2 3" xfId="12808" xr:uid="{732B2F6D-989F-42CE-AA54-D2B149D001A1}"/>
    <cellStyle name="Normal 5 11 3" xfId="6431" xr:uid="{00000000-0005-0000-0000-0000E6160000}"/>
    <cellStyle name="Normal 5 11 3 2" xfId="14881" xr:uid="{593E706D-65F5-419E-A49C-5A4F6382EDDA}"/>
    <cellStyle name="Normal 5 11 4" xfId="10663" xr:uid="{616311BA-2CD7-4442-83BC-C95235B29D00}"/>
    <cellStyle name="Normal 5 12" xfId="2561" xr:uid="{00000000-0005-0000-0000-0000E7160000}"/>
    <cellStyle name="Normal 5 12 2" xfId="6844" xr:uid="{00000000-0005-0000-0000-0000E8160000}"/>
    <cellStyle name="Normal 5 12 2 2" xfId="15294" xr:uid="{59A185F1-B739-430D-B3AE-7A717F313330}"/>
    <cellStyle name="Normal 5 12 3" xfId="11076" xr:uid="{5551CF0E-04FC-430D-B917-FC8EFC08072F}"/>
    <cellStyle name="Normal 5 13" xfId="4779" xr:uid="{00000000-0005-0000-0000-0000E9160000}"/>
    <cellStyle name="Normal 5 13 2" xfId="13229" xr:uid="{8977D1AE-8C6E-477A-9B2B-F94C7B84DB1F}"/>
    <cellStyle name="Normal 5 14" xfId="9011" xr:uid="{3E9A36DF-01A0-4182-8556-D6422E0E4979}"/>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17027" xr:uid="{A495304A-6C06-4D97-B594-978A541DB506}"/>
    <cellStyle name="Normal 5 2 10 2 3" xfId="12809" xr:uid="{E54431F3-25A1-4B9F-B743-9891BD740734}"/>
    <cellStyle name="Normal 5 2 10 3" xfId="6432" xr:uid="{00000000-0005-0000-0000-0000EE160000}"/>
    <cellStyle name="Normal 5 2 10 3 2" xfId="14882" xr:uid="{E55A89C3-ABE7-41E1-87D6-3380CEE7ABF2}"/>
    <cellStyle name="Normal 5 2 10 4" xfId="10664" xr:uid="{91DBF2C9-A4CE-4F6D-A4DD-1C60728604AF}"/>
    <cellStyle name="Normal 5 2 11" xfId="2562" xr:uid="{00000000-0005-0000-0000-0000EF160000}"/>
    <cellStyle name="Normal 5 2 11 2" xfId="6845" xr:uid="{00000000-0005-0000-0000-0000F0160000}"/>
    <cellStyle name="Normal 5 2 11 2 2" xfId="15295" xr:uid="{1DB33DA7-BAB4-4907-A7E9-558FBAD610A5}"/>
    <cellStyle name="Normal 5 2 11 3" xfId="11077" xr:uid="{6EF185F6-1195-4F2D-B750-F192C4468287}"/>
    <cellStyle name="Normal 5 2 12" xfId="4780" xr:uid="{00000000-0005-0000-0000-0000F1160000}"/>
    <cellStyle name="Normal 5 2 12 2" xfId="13230" xr:uid="{A617F3D2-5C6B-4AC5-A99B-2E76CEB81DBA}"/>
    <cellStyle name="Normal 5 2 13" xfId="9012" xr:uid="{3ED70D40-406D-424A-AF18-4144E698D7E0}"/>
    <cellStyle name="Normal 5 2 2" xfId="408" xr:uid="{00000000-0005-0000-0000-0000F2160000}"/>
    <cellStyle name="Normal 5 2 2 10" xfId="2563" xr:uid="{00000000-0005-0000-0000-0000F3160000}"/>
    <cellStyle name="Normal 5 2 2 10 2" xfId="6846" xr:uid="{00000000-0005-0000-0000-0000F4160000}"/>
    <cellStyle name="Normal 5 2 2 10 2 2" xfId="15296" xr:uid="{C4531838-7DEF-4925-B49A-81F0BDD1383D}"/>
    <cellStyle name="Normal 5 2 2 10 3" xfId="11078" xr:uid="{C8F1CB55-6E9F-4BD6-8D9B-349036FE2C93}"/>
    <cellStyle name="Normal 5 2 2 11" xfId="4781" xr:uid="{00000000-0005-0000-0000-0000F5160000}"/>
    <cellStyle name="Normal 5 2 2 11 2" xfId="13231" xr:uid="{DE5135AF-C5FE-41C3-AF06-54A81AAC23A8}"/>
    <cellStyle name="Normal 5 2 2 12" xfId="9013" xr:uid="{1680C174-2C1E-45E6-BFCC-7B1D1A7385B4}"/>
    <cellStyle name="Normal 5 2 2 2" xfId="409" xr:uid="{00000000-0005-0000-0000-0000F6160000}"/>
    <cellStyle name="Normal 5 2 2 2 10" xfId="4782" xr:uid="{00000000-0005-0000-0000-0000F7160000}"/>
    <cellStyle name="Normal 5 2 2 2 10 2" xfId="13232" xr:uid="{20087668-118C-4606-8F7D-35F96161A0C3}"/>
    <cellStyle name="Normal 5 2 2 2 11" xfId="9014" xr:uid="{EE4387CA-A3CB-4979-BECF-57226723F9DD}"/>
    <cellStyle name="Normal 5 2 2 2 2" xfId="410" xr:uid="{00000000-0005-0000-0000-0000F8160000}"/>
    <cellStyle name="Normal 5 2 2 2 2 10" xfId="9015" xr:uid="{E5B1C9DE-0B26-4EAC-9177-3BB132076A72}"/>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15793" xr:uid="{A9D6FF9D-75D0-4143-A2FA-AB2C26296487}"/>
    <cellStyle name="Normal 5 2 2 2 2 2 2 2 2 3" xfId="11575" xr:uid="{7E032108-7B49-494D-8D22-C0D7B6B0BC59}"/>
    <cellStyle name="Normal 5 2 2 2 2 2 2 2 3" xfId="5198" xr:uid="{00000000-0005-0000-0000-0000FE160000}"/>
    <cellStyle name="Normal 5 2 2 2 2 2 2 2 3 2" xfId="13648" xr:uid="{D4B9B1BF-038F-4583-8632-799442FE8764}"/>
    <cellStyle name="Normal 5 2 2 2 2 2 2 2 4" xfId="9430" xr:uid="{044F4172-BF13-45EA-BB86-1993B270B42D}"/>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16206" xr:uid="{5EB90B36-C58C-40A5-B2AA-84D652132DB6}"/>
    <cellStyle name="Normal 5 2 2 2 2 2 2 3 2 3" xfId="11988" xr:uid="{68265CC5-126E-4091-BA85-F00AD358BD9B}"/>
    <cellStyle name="Normal 5 2 2 2 2 2 2 3 3" xfId="5611" xr:uid="{00000000-0005-0000-0000-000002170000}"/>
    <cellStyle name="Normal 5 2 2 2 2 2 2 3 3 2" xfId="14061" xr:uid="{738BCD0C-9761-40EF-A1CA-73CCDCF77135}"/>
    <cellStyle name="Normal 5 2 2 2 2 2 2 3 4" xfId="9843" xr:uid="{8444E97E-9568-45F0-9893-0A38D8E7C024}"/>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16619" xr:uid="{3B56BAA1-46E0-4144-A99C-EE86ED782ABD}"/>
    <cellStyle name="Normal 5 2 2 2 2 2 2 4 2 3" xfId="12401" xr:uid="{EF20E739-310E-4494-8DBE-DC681F867D96}"/>
    <cellStyle name="Normal 5 2 2 2 2 2 2 4 3" xfId="6024" xr:uid="{00000000-0005-0000-0000-000006170000}"/>
    <cellStyle name="Normal 5 2 2 2 2 2 2 4 3 2" xfId="14474" xr:uid="{4096240A-D2E3-4E93-80E8-FAFC6F9A5D71}"/>
    <cellStyle name="Normal 5 2 2 2 2 2 2 4 4" xfId="10256" xr:uid="{4ABB9488-46B6-45D7-8FA8-B656242C58CE}"/>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17032" xr:uid="{4FE3C276-6277-449F-88F2-6B9B0C4D9798}"/>
    <cellStyle name="Normal 5 2 2 2 2 2 2 5 2 3" xfId="12814" xr:uid="{96F1A9FD-BAEC-4363-9EDF-9D8C957CCF4E}"/>
    <cellStyle name="Normal 5 2 2 2 2 2 2 5 3" xfId="6437" xr:uid="{00000000-0005-0000-0000-00000A170000}"/>
    <cellStyle name="Normal 5 2 2 2 2 2 2 5 3 2" xfId="14887" xr:uid="{4358BA5F-9053-4EC1-A0E1-85B699BB41C3}"/>
    <cellStyle name="Normal 5 2 2 2 2 2 2 5 4" xfId="10669" xr:uid="{87B6A582-6146-409D-9548-F52D9687FA40}"/>
    <cellStyle name="Normal 5 2 2 2 2 2 2 6" xfId="2567" xr:uid="{00000000-0005-0000-0000-00000B170000}"/>
    <cellStyle name="Normal 5 2 2 2 2 2 2 6 2" xfId="6850" xr:uid="{00000000-0005-0000-0000-00000C170000}"/>
    <cellStyle name="Normal 5 2 2 2 2 2 2 6 2 2" xfId="15300" xr:uid="{25A8B0A1-84FE-4578-A374-E0F4E87BA7B6}"/>
    <cellStyle name="Normal 5 2 2 2 2 2 2 6 3" xfId="11082" xr:uid="{B4BFEB5A-B658-4507-94EA-CBB8C2A2EC58}"/>
    <cellStyle name="Normal 5 2 2 2 2 2 2 7" xfId="4785" xr:uid="{00000000-0005-0000-0000-00000D170000}"/>
    <cellStyle name="Normal 5 2 2 2 2 2 2 7 2" xfId="13235" xr:uid="{705F89AB-63E7-46FD-AB16-6706FBA75ECD}"/>
    <cellStyle name="Normal 5 2 2 2 2 2 2 8" xfId="9017" xr:uid="{439143BF-CEBA-4695-976F-1E3672DAB0A6}"/>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15792" xr:uid="{92274D58-DB76-4212-8BE2-4D9697F6C220}"/>
    <cellStyle name="Normal 5 2 2 2 2 2 3 2 3" xfId="11574" xr:uid="{A1660D65-91D2-465D-9B77-81A891B6DBC9}"/>
    <cellStyle name="Normal 5 2 2 2 2 2 3 3" xfId="5197" xr:uid="{00000000-0005-0000-0000-000011170000}"/>
    <cellStyle name="Normal 5 2 2 2 2 2 3 3 2" xfId="13647" xr:uid="{776FD5A5-5D78-4AC9-8DAD-9CF11B7CE204}"/>
    <cellStyle name="Normal 5 2 2 2 2 2 3 4" xfId="9429" xr:uid="{CCF7AA43-9DE7-4C08-A4C0-774558FE07BF}"/>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16205" xr:uid="{009E0C83-861E-4D44-95E5-157EF7DC6740}"/>
    <cellStyle name="Normal 5 2 2 2 2 2 4 2 3" xfId="11987" xr:uid="{ACC52E1C-F2AF-4E2A-8055-E5B73D0EE18F}"/>
    <cellStyle name="Normal 5 2 2 2 2 2 4 3" xfId="5610" xr:uid="{00000000-0005-0000-0000-000015170000}"/>
    <cellStyle name="Normal 5 2 2 2 2 2 4 3 2" xfId="14060" xr:uid="{17515854-C36B-4285-9EBD-00E68495F9B4}"/>
    <cellStyle name="Normal 5 2 2 2 2 2 4 4" xfId="9842" xr:uid="{A2CAB16F-A8DF-4273-819F-78A7DCE6AD5D}"/>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16618" xr:uid="{A7138BE8-A225-40C9-AE5A-16FAEB1B096F}"/>
    <cellStyle name="Normal 5 2 2 2 2 2 5 2 3" xfId="12400" xr:uid="{6EFEC202-367C-4CFD-9F4B-BAD70CD3E478}"/>
    <cellStyle name="Normal 5 2 2 2 2 2 5 3" xfId="6023" xr:uid="{00000000-0005-0000-0000-000019170000}"/>
    <cellStyle name="Normal 5 2 2 2 2 2 5 3 2" xfId="14473" xr:uid="{D7698129-8B73-430A-9A6B-860826E5F362}"/>
    <cellStyle name="Normal 5 2 2 2 2 2 5 4" xfId="10255" xr:uid="{FEA1318C-2F8C-4C1B-8A24-1B633A235738}"/>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17031" xr:uid="{D504BDE4-B597-46F1-8088-44FA3DFB8A3E}"/>
    <cellStyle name="Normal 5 2 2 2 2 2 6 2 3" xfId="12813" xr:uid="{87FF917A-4E25-4EA7-9932-4CF2ED59AC15}"/>
    <cellStyle name="Normal 5 2 2 2 2 2 6 3" xfId="6436" xr:uid="{00000000-0005-0000-0000-00001D170000}"/>
    <cellStyle name="Normal 5 2 2 2 2 2 6 3 2" xfId="14886" xr:uid="{30F851B2-FE4D-4256-9CB5-FBC7FD95274C}"/>
    <cellStyle name="Normal 5 2 2 2 2 2 6 4" xfId="10668" xr:uid="{0F7FC62F-35C5-4B2F-991D-8142F312FB3B}"/>
    <cellStyle name="Normal 5 2 2 2 2 2 7" xfId="2566" xr:uid="{00000000-0005-0000-0000-00001E170000}"/>
    <cellStyle name="Normal 5 2 2 2 2 2 7 2" xfId="6849" xr:uid="{00000000-0005-0000-0000-00001F170000}"/>
    <cellStyle name="Normal 5 2 2 2 2 2 7 2 2" xfId="15299" xr:uid="{369F7BED-38EB-41F7-97E9-691C7A5CCC99}"/>
    <cellStyle name="Normal 5 2 2 2 2 2 7 3" xfId="11081" xr:uid="{A7EE1053-4499-46D7-A456-DF2DF92AB8A3}"/>
    <cellStyle name="Normal 5 2 2 2 2 2 8" xfId="4784" xr:uid="{00000000-0005-0000-0000-000020170000}"/>
    <cellStyle name="Normal 5 2 2 2 2 2 8 2" xfId="13234" xr:uid="{CEA30E8B-4005-40E9-937A-556F2A9B6F33}"/>
    <cellStyle name="Normal 5 2 2 2 2 2 9" xfId="9016" xr:uid="{787DDA14-8FEC-48BF-B96E-B52DC3659A41}"/>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15794" xr:uid="{77D4D701-96D1-4FFD-88FA-8CC0850087E3}"/>
    <cellStyle name="Normal 5 2 2 2 2 3 2 2 3" xfId="11576" xr:uid="{BC4F9638-1451-4FDC-9046-3DDCE0A0D076}"/>
    <cellStyle name="Normal 5 2 2 2 2 3 2 3" xfId="5199" xr:uid="{00000000-0005-0000-0000-000025170000}"/>
    <cellStyle name="Normal 5 2 2 2 2 3 2 3 2" xfId="13649" xr:uid="{BCA1B47D-213A-4FFD-A207-D2303805B529}"/>
    <cellStyle name="Normal 5 2 2 2 2 3 2 4" xfId="9431" xr:uid="{6DCB2DB9-D9FF-41C5-9745-292F46CFFB58}"/>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16207" xr:uid="{06076E49-BBFC-4E94-BEEC-9194245B78C0}"/>
    <cellStyle name="Normal 5 2 2 2 2 3 3 2 3" xfId="11989" xr:uid="{590C7575-CF89-4EC2-B11E-659F569EE039}"/>
    <cellStyle name="Normal 5 2 2 2 2 3 3 3" xfId="5612" xr:uid="{00000000-0005-0000-0000-000029170000}"/>
    <cellStyle name="Normal 5 2 2 2 2 3 3 3 2" xfId="14062" xr:uid="{3B09CEF3-A273-4B8E-83EB-B9A52967EAAF}"/>
    <cellStyle name="Normal 5 2 2 2 2 3 3 4" xfId="9844" xr:uid="{2B24FFDB-9238-404F-93D8-138238219B0B}"/>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16620" xr:uid="{D1206305-357F-44DA-9BE3-268E224B3EE9}"/>
    <cellStyle name="Normal 5 2 2 2 2 3 4 2 3" xfId="12402" xr:uid="{CE1F9303-F032-41F5-8973-231E6DF80687}"/>
    <cellStyle name="Normal 5 2 2 2 2 3 4 3" xfId="6025" xr:uid="{00000000-0005-0000-0000-00002D170000}"/>
    <cellStyle name="Normal 5 2 2 2 2 3 4 3 2" xfId="14475" xr:uid="{50017904-EC15-423A-AB31-8FFB68D3D789}"/>
    <cellStyle name="Normal 5 2 2 2 2 3 4 4" xfId="10257" xr:uid="{F263EF60-FE67-4656-8CE9-815A7E0B86F6}"/>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17033" xr:uid="{0C7CACBC-A876-4958-A8D4-516B24574EB8}"/>
    <cellStyle name="Normal 5 2 2 2 2 3 5 2 3" xfId="12815" xr:uid="{58E49B14-B6D3-40EF-B2BD-549BBAA1B2CD}"/>
    <cellStyle name="Normal 5 2 2 2 2 3 5 3" xfId="6438" xr:uid="{00000000-0005-0000-0000-000031170000}"/>
    <cellStyle name="Normal 5 2 2 2 2 3 5 3 2" xfId="14888" xr:uid="{6C5D1D3D-024F-4030-BA09-176E2DF1E301}"/>
    <cellStyle name="Normal 5 2 2 2 2 3 5 4" xfId="10670" xr:uid="{86586956-327C-4271-BA54-E37B88842055}"/>
    <cellStyle name="Normal 5 2 2 2 2 3 6" xfId="2568" xr:uid="{00000000-0005-0000-0000-000032170000}"/>
    <cellStyle name="Normal 5 2 2 2 2 3 6 2" xfId="6851" xr:uid="{00000000-0005-0000-0000-000033170000}"/>
    <cellStyle name="Normal 5 2 2 2 2 3 6 2 2" xfId="15301" xr:uid="{1988ABFB-6856-469B-82BF-620906CABD7E}"/>
    <cellStyle name="Normal 5 2 2 2 2 3 6 3" xfId="11083" xr:uid="{88BA4E6E-A2D9-476E-85FA-6F909C5A9BC0}"/>
    <cellStyle name="Normal 5 2 2 2 2 3 7" xfId="4786" xr:uid="{00000000-0005-0000-0000-000034170000}"/>
    <cellStyle name="Normal 5 2 2 2 2 3 7 2" xfId="13236" xr:uid="{B2B1522D-E80B-4745-97EC-B27FD9F9AA7C}"/>
    <cellStyle name="Normal 5 2 2 2 2 3 8" xfId="9018" xr:uid="{AEC1B009-FA5C-4FA6-8839-918067823C1A}"/>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15791" xr:uid="{B07E2BAC-6170-48A2-8572-EED0D8D0E2D1}"/>
    <cellStyle name="Normal 5 2 2 2 2 4 2 3" xfId="11573" xr:uid="{B31D62C6-A600-4AD9-B646-127AD2A7EBAF}"/>
    <cellStyle name="Normal 5 2 2 2 2 4 3" xfId="5196" xr:uid="{00000000-0005-0000-0000-000038170000}"/>
    <cellStyle name="Normal 5 2 2 2 2 4 3 2" xfId="13646" xr:uid="{55689A46-76ED-4AD6-BCFA-7A67F82AE59F}"/>
    <cellStyle name="Normal 5 2 2 2 2 4 4" xfId="9428" xr:uid="{3DAD9916-796A-4A34-9340-9074B670AEE4}"/>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16204" xr:uid="{22CCBFDD-3404-4EF7-A36F-7C8B9420D25F}"/>
    <cellStyle name="Normal 5 2 2 2 2 5 2 3" xfId="11986" xr:uid="{AEF05042-5AC0-48DC-9569-AC351484F888}"/>
    <cellStyle name="Normal 5 2 2 2 2 5 3" xfId="5609" xr:uid="{00000000-0005-0000-0000-00003C170000}"/>
    <cellStyle name="Normal 5 2 2 2 2 5 3 2" xfId="14059" xr:uid="{C2E98722-95A6-49FB-8EAB-464816E8D1BC}"/>
    <cellStyle name="Normal 5 2 2 2 2 5 4" xfId="9841" xr:uid="{F21D5B1B-7539-4E4B-845E-F23C5F16CE2B}"/>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16617" xr:uid="{E2885849-EF8D-4776-8C1D-F07A92D1AE44}"/>
    <cellStyle name="Normal 5 2 2 2 2 6 2 3" xfId="12399" xr:uid="{B826EEAC-A09F-4A78-84F1-6F0DEDF1F834}"/>
    <cellStyle name="Normal 5 2 2 2 2 6 3" xfId="6022" xr:uid="{00000000-0005-0000-0000-000040170000}"/>
    <cellStyle name="Normal 5 2 2 2 2 6 3 2" xfId="14472" xr:uid="{047324B0-C580-428C-B24F-9DAD6CBD422E}"/>
    <cellStyle name="Normal 5 2 2 2 2 6 4" xfId="10254" xr:uid="{77A59B91-CB71-4CD1-A922-76952F04FA0A}"/>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17030" xr:uid="{604C7B3A-BDD4-46EF-B56E-7218F0CE7070}"/>
    <cellStyle name="Normal 5 2 2 2 2 7 2 3" xfId="12812" xr:uid="{ECAF2FA6-CD4E-4A9B-AD3F-5D79D2B6C44F}"/>
    <cellStyle name="Normal 5 2 2 2 2 7 3" xfId="6435" xr:uid="{00000000-0005-0000-0000-000044170000}"/>
    <cellStyle name="Normal 5 2 2 2 2 7 3 2" xfId="14885" xr:uid="{03C6FCB0-9700-4ABA-8BED-88C889A9944D}"/>
    <cellStyle name="Normal 5 2 2 2 2 7 4" xfId="10667" xr:uid="{9EBDE7DF-3B70-46CE-9141-7DA6A4C36EDE}"/>
    <cellStyle name="Normal 5 2 2 2 2 8" xfId="2565" xr:uid="{00000000-0005-0000-0000-000045170000}"/>
    <cellStyle name="Normal 5 2 2 2 2 8 2" xfId="6848" xr:uid="{00000000-0005-0000-0000-000046170000}"/>
    <cellStyle name="Normal 5 2 2 2 2 8 2 2" xfId="15298" xr:uid="{FD5063DE-0635-43D6-97BE-2A3E7C384718}"/>
    <cellStyle name="Normal 5 2 2 2 2 8 3" xfId="11080" xr:uid="{69B88BDE-F6D9-4D30-A046-17D3668A2FD6}"/>
    <cellStyle name="Normal 5 2 2 2 2 9" xfId="4783" xr:uid="{00000000-0005-0000-0000-000047170000}"/>
    <cellStyle name="Normal 5 2 2 2 2 9 2" xfId="13233" xr:uid="{4557CB14-3120-4C93-A124-9AE4D31D0449}"/>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15796" xr:uid="{4D8EAAEC-4F70-4E39-8A8F-01AE76E6C1A9}"/>
    <cellStyle name="Normal 5 2 2 2 3 2 2 2 3" xfId="11578" xr:uid="{2EEAE316-1D7E-479E-83F1-BF2E1300F465}"/>
    <cellStyle name="Normal 5 2 2 2 3 2 2 3" xfId="5201" xr:uid="{00000000-0005-0000-0000-00004D170000}"/>
    <cellStyle name="Normal 5 2 2 2 3 2 2 3 2" xfId="13651" xr:uid="{59C60649-2850-4E1C-8FFD-20E91DDA2B0F}"/>
    <cellStyle name="Normal 5 2 2 2 3 2 2 4" xfId="9433" xr:uid="{2E41268A-B76A-4D38-9FBB-B3E0BCB104CF}"/>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16209" xr:uid="{E4F90BF1-AAF3-4320-A0F8-C18A1F071A22}"/>
    <cellStyle name="Normal 5 2 2 2 3 2 3 2 3" xfId="11991" xr:uid="{6B54DC98-FB8A-4F26-AE18-CFDD6318A111}"/>
    <cellStyle name="Normal 5 2 2 2 3 2 3 3" xfId="5614" xr:uid="{00000000-0005-0000-0000-000051170000}"/>
    <cellStyle name="Normal 5 2 2 2 3 2 3 3 2" xfId="14064" xr:uid="{F68EA205-4721-430F-B057-24672127B106}"/>
    <cellStyle name="Normal 5 2 2 2 3 2 3 4" xfId="9846" xr:uid="{12EA96F9-5C13-4B84-A7D3-176B7A43A36B}"/>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16622" xr:uid="{2D2B4914-6F1F-460F-8CF0-529552DC1639}"/>
    <cellStyle name="Normal 5 2 2 2 3 2 4 2 3" xfId="12404" xr:uid="{0D59DD22-FD78-406C-B826-A236E09CF672}"/>
    <cellStyle name="Normal 5 2 2 2 3 2 4 3" xfId="6027" xr:uid="{00000000-0005-0000-0000-000055170000}"/>
    <cellStyle name="Normal 5 2 2 2 3 2 4 3 2" xfId="14477" xr:uid="{2BC9CFF7-C13E-4C3D-8826-58BBE89469D9}"/>
    <cellStyle name="Normal 5 2 2 2 3 2 4 4" xfId="10259" xr:uid="{EEE7E2C1-5435-48F5-A725-3279419BB296}"/>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17035" xr:uid="{5156C93C-E311-4287-9785-8202715CD430}"/>
    <cellStyle name="Normal 5 2 2 2 3 2 5 2 3" xfId="12817" xr:uid="{1DF148AA-0382-4377-8E3D-2546270B219D}"/>
    <cellStyle name="Normal 5 2 2 2 3 2 5 3" xfId="6440" xr:uid="{00000000-0005-0000-0000-000059170000}"/>
    <cellStyle name="Normal 5 2 2 2 3 2 5 3 2" xfId="14890" xr:uid="{020E13CF-BBDA-43D8-A966-48B854163219}"/>
    <cellStyle name="Normal 5 2 2 2 3 2 5 4" xfId="10672" xr:uid="{B296D993-B1D6-4883-9576-BA89C2AF0C7B}"/>
    <cellStyle name="Normal 5 2 2 2 3 2 6" xfId="2570" xr:uid="{00000000-0005-0000-0000-00005A170000}"/>
    <cellStyle name="Normal 5 2 2 2 3 2 6 2" xfId="6853" xr:uid="{00000000-0005-0000-0000-00005B170000}"/>
    <cellStyle name="Normal 5 2 2 2 3 2 6 2 2" xfId="15303" xr:uid="{04F195D1-55D4-4992-91D9-25DEC4D2500E}"/>
    <cellStyle name="Normal 5 2 2 2 3 2 6 3" xfId="11085" xr:uid="{75FB4B3D-B32B-458E-A6E8-EFB4563FEB8E}"/>
    <cellStyle name="Normal 5 2 2 2 3 2 7" xfId="4788" xr:uid="{00000000-0005-0000-0000-00005C170000}"/>
    <cellStyle name="Normal 5 2 2 2 3 2 7 2" xfId="13238" xr:uid="{CFFC2B0A-B843-4450-B49F-D557A9252809}"/>
    <cellStyle name="Normal 5 2 2 2 3 2 8" xfId="9020" xr:uid="{9FC1084A-9E64-4310-B1FC-99DEA7E64773}"/>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15795" xr:uid="{02E49AE0-7CDF-4958-B072-4FBD31D95012}"/>
    <cellStyle name="Normal 5 2 2 2 3 3 2 3" xfId="11577" xr:uid="{24F73238-0270-482E-ADC7-61CCDC90A1D1}"/>
    <cellStyle name="Normal 5 2 2 2 3 3 3" xfId="5200" xr:uid="{00000000-0005-0000-0000-000060170000}"/>
    <cellStyle name="Normal 5 2 2 2 3 3 3 2" xfId="13650" xr:uid="{6A8CC736-F827-46B0-A6A9-F62A2114716B}"/>
    <cellStyle name="Normal 5 2 2 2 3 3 4" xfId="9432" xr:uid="{66D1AFD9-E1E0-42D8-B52B-79E1BFE7992D}"/>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16208" xr:uid="{DE04A6D6-415F-45F3-9DA7-0CA7AF7E4886}"/>
    <cellStyle name="Normal 5 2 2 2 3 4 2 3" xfId="11990" xr:uid="{4E87F8CB-3719-429A-B2FE-95B9E6B62D45}"/>
    <cellStyle name="Normal 5 2 2 2 3 4 3" xfId="5613" xr:uid="{00000000-0005-0000-0000-000064170000}"/>
    <cellStyle name="Normal 5 2 2 2 3 4 3 2" xfId="14063" xr:uid="{7355C8E1-432B-4553-80F6-68BB273BF006}"/>
    <cellStyle name="Normal 5 2 2 2 3 4 4" xfId="9845" xr:uid="{5EC2CA6C-7466-4B26-B728-CBD7CBAA6E02}"/>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16621" xr:uid="{7D460D42-7B9E-4226-A8E8-8B5A527DBE2F}"/>
    <cellStyle name="Normal 5 2 2 2 3 5 2 3" xfId="12403" xr:uid="{20FFFAA7-1FE7-4E5B-AF1C-059378E08271}"/>
    <cellStyle name="Normal 5 2 2 2 3 5 3" xfId="6026" xr:uid="{00000000-0005-0000-0000-000068170000}"/>
    <cellStyle name="Normal 5 2 2 2 3 5 3 2" xfId="14476" xr:uid="{8181A22B-7CF5-4368-A49A-50B59C4789CB}"/>
    <cellStyle name="Normal 5 2 2 2 3 5 4" xfId="10258" xr:uid="{803344D9-91D8-4967-828C-FF51FE457FF6}"/>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17034" xr:uid="{3A81DA8F-64C2-4FF7-9305-F5E98F624A0B}"/>
    <cellStyle name="Normal 5 2 2 2 3 6 2 3" xfId="12816" xr:uid="{9FB92B5D-872B-4109-9F1C-25EA4F9A3F00}"/>
    <cellStyle name="Normal 5 2 2 2 3 6 3" xfId="6439" xr:uid="{00000000-0005-0000-0000-00006C170000}"/>
    <cellStyle name="Normal 5 2 2 2 3 6 3 2" xfId="14889" xr:uid="{A355F69C-41C8-4DAE-81D2-6471D5F5461C}"/>
    <cellStyle name="Normal 5 2 2 2 3 6 4" xfId="10671" xr:uid="{B710A419-0FE6-4FA9-A9A7-71DA2D561C18}"/>
    <cellStyle name="Normal 5 2 2 2 3 7" xfId="2569" xr:uid="{00000000-0005-0000-0000-00006D170000}"/>
    <cellStyle name="Normal 5 2 2 2 3 7 2" xfId="6852" xr:uid="{00000000-0005-0000-0000-00006E170000}"/>
    <cellStyle name="Normal 5 2 2 2 3 7 2 2" xfId="15302" xr:uid="{97527041-CDB4-4240-94B1-15AF52D3C10D}"/>
    <cellStyle name="Normal 5 2 2 2 3 7 3" xfId="11084" xr:uid="{AE90C482-4E7B-442F-BFA2-70F7DC16C54D}"/>
    <cellStyle name="Normal 5 2 2 2 3 8" xfId="4787" xr:uid="{00000000-0005-0000-0000-00006F170000}"/>
    <cellStyle name="Normal 5 2 2 2 3 8 2" xfId="13237" xr:uid="{2DD2B5C5-5354-42C8-9519-8B9E361CB4EE}"/>
    <cellStyle name="Normal 5 2 2 2 3 9" xfId="9019" xr:uid="{9CD716DF-BDEA-407F-A19B-6519211A0A3E}"/>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15797" xr:uid="{585B4E55-396B-4893-B835-59BBE45547F7}"/>
    <cellStyle name="Normal 5 2 2 2 4 2 2 3" xfId="11579" xr:uid="{B20AD0EA-C1CC-4AAA-B7D9-CABBCE518BCC}"/>
    <cellStyle name="Normal 5 2 2 2 4 2 3" xfId="5202" xr:uid="{00000000-0005-0000-0000-000074170000}"/>
    <cellStyle name="Normal 5 2 2 2 4 2 3 2" xfId="13652" xr:uid="{8EB51F60-B611-4379-A3B3-76F6E1B35402}"/>
    <cellStyle name="Normal 5 2 2 2 4 2 4" xfId="9434" xr:uid="{916540EA-DEC9-48B6-8EAB-0A6D80E6C375}"/>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16210" xr:uid="{126AAF24-84B2-4B92-A0A9-790DE9D28819}"/>
    <cellStyle name="Normal 5 2 2 2 4 3 2 3" xfId="11992" xr:uid="{F8CCC224-981A-4D98-806E-6C0A105226EF}"/>
    <cellStyle name="Normal 5 2 2 2 4 3 3" xfId="5615" xr:uid="{00000000-0005-0000-0000-000078170000}"/>
    <cellStyle name="Normal 5 2 2 2 4 3 3 2" xfId="14065" xr:uid="{945C1911-6498-4E18-8838-F2C52C9B9C7D}"/>
    <cellStyle name="Normal 5 2 2 2 4 3 4" xfId="9847" xr:uid="{CDFC2521-4252-41AD-BA2F-85022E77410E}"/>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16623" xr:uid="{EC6D455B-2D18-4DC4-8513-0D91C7FD19C6}"/>
    <cellStyle name="Normal 5 2 2 2 4 4 2 3" xfId="12405" xr:uid="{11933FFB-C207-4D60-B026-E6DEEADD6135}"/>
    <cellStyle name="Normal 5 2 2 2 4 4 3" xfId="6028" xr:uid="{00000000-0005-0000-0000-00007C170000}"/>
    <cellStyle name="Normal 5 2 2 2 4 4 3 2" xfId="14478" xr:uid="{1F405466-DB32-4040-BD64-E01E6D7DBE5D}"/>
    <cellStyle name="Normal 5 2 2 2 4 4 4" xfId="10260" xr:uid="{C018746F-B062-41B7-B7AB-F9DAE70B6006}"/>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17036" xr:uid="{A5B6695F-9489-46B2-A8ED-0B5039E86342}"/>
    <cellStyle name="Normal 5 2 2 2 4 5 2 3" xfId="12818" xr:uid="{EBDA6A0E-012A-4A2B-9077-904C3990C764}"/>
    <cellStyle name="Normal 5 2 2 2 4 5 3" xfId="6441" xr:uid="{00000000-0005-0000-0000-000080170000}"/>
    <cellStyle name="Normal 5 2 2 2 4 5 3 2" xfId="14891" xr:uid="{E75A737F-A5FB-4465-A4D1-FB231B80DB99}"/>
    <cellStyle name="Normal 5 2 2 2 4 5 4" xfId="10673" xr:uid="{B3191A39-A55A-429E-BF0E-DA27F429C6D9}"/>
    <cellStyle name="Normal 5 2 2 2 4 6" xfId="2571" xr:uid="{00000000-0005-0000-0000-000081170000}"/>
    <cellStyle name="Normal 5 2 2 2 4 6 2" xfId="6854" xr:uid="{00000000-0005-0000-0000-000082170000}"/>
    <cellStyle name="Normal 5 2 2 2 4 6 2 2" xfId="15304" xr:uid="{1BDAAB8B-F880-4B49-B3FC-B664B6F8A734}"/>
    <cellStyle name="Normal 5 2 2 2 4 6 3" xfId="11086" xr:uid="{923096B3-E83B-4242-9103-52F371DFC9FE}"/>
    <cellStyle name="Normal 5 2 2 2 4 7" xfId="4789" xr:uid="{00000000-0005-0000-0000-000083170000}"/>
    <cellStyle name="Normal 5 2 2 2 4 7 2" xfId="13239" xr:uid="{1D4C2098-3D74-4A3B-AB4A-7864A8176FD9}"/>
    <cellStyle name="Normal 5 2 2 2 4 8" xfId="9021" xr:uid="{79356D96-8310-465D-8FC2-9BE692FE49E1}"/>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15790" xr:uid="{6E704A9A-DE93-47A6-B620-7D4825E75CB3}"/>
    <cellStyle name="Normal 5 2 2 2 5 2 3" xfId="11572" xr:uid="{C25F6EEF-EB66-45F6-A6CF-7DC3121F7BC6}"/>
    <cellStyle name="Normal 5 2 2 2 5 3" xfId="5195" xr:uid="{00000000-0005-0000-0000-000087170000}"/>
    <cellStyle name="Normal 5 2 2 2 5 3 2" xfId="13645" xr:uid="{D1989DED-7488-4325-A476-68BCD493E947}"/>
    <cellStyle name="Normal 5 2 2 2 5 4" xfId="9427" xr:uid="{C7457350-82B0-46E5-A71C-FC9FF58631DA}"/>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16203" xr:uid="{BE0E2604-A453-4C12-AD82-605B044795A2}"/>
    <cellStyle name="Normal 5 2 2 2 6 2 3" xfId="11985" xr:uid="{BDF82D02-5575-40D1-86D1-DADE77965186}"/>
    <cellStyle name="Normal 5 2 2 2 6 3" xfId="5608" xr:uid="{00000000-0005-0000-0000-00008B170000}"/>
    <cellStyle name="Normal 5 2 2 2 6 3 2" xfId="14058" xr:uid="{33E0DC4C-4015-4A80-A500-567F65C6CC37}"/>
    <cellStyle name="Normal 5 2 2 2 6 4" xfId="9840" xr:uid="{F101EAB8-033E-480B-B8E8-89E067D6E473}"/>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16616" xr:uid="{6A4B8657-00C2-4E12-A4EF-6F7C26548F72}"/>
    <cellStyle name="Normal 5 2 2 2 7 2 3" xfId="12398" xr:uid="{14D07FB1-C68E-4DD5-83BE-ADF3E4589BA6}"/>
    <cellStyle name="Normal 5 2 2 2 7 3" xfId="6021" xr:uid="{00000000-0005-0000-0000-00008F170000}"/>
    <cellStyle name="Normal 5 2 2 2 7 3 2" xfId="14471" xr:uid="{922C61CB-3B82-4A84-964A-33BB13C8CFAE}"/>
    <cellStyle name="Normal 5 2 2 2 7 4" xfId="10253" xr:uid="{9460DBD9-A2E5-4EFD-A9C2-7313C9DA14C4}"/>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17029" xr:uid="{44589EDC-4A0B-4CAC-925A-3D85F25B2400}"/>
    <cellStyle name="Normal 5 2 2 2 8 2 3" xfId="12811" xr:uid="{1535C834-B755-4E3E-B05E-BEACB9160730}"/>
    <cellStyle name="Normal 5 2 2 2 8 3" xfId="6434" xr:uid="{00000000-0005-0000-0000-000093170000}"/>
    <cellStyle name="Normal 5 2 2 2 8 3 2" xfId="14884" xr:uid="{9A8F3749-51C9-4B4D-BEB7-CAD432FC890A}"/>
    <cellStyle name="Normal 5 2 2 2 8 4" xfId="10666" xr:uid="{02F0C1BE-BDA5-469C-922D-CED47BFFA6C9}"/>
    <cellStyle name="Normal 5 2 2 2 9" xfId="2564" xr:uid="{00000000-0005-0000-0000-000094170000}"/>
    <cellStyle name="Normal 5 2 2 2 9 2" xfId="6847" xr:uid="{00000000-0005-0000-0000-000095170000}"/>
    <cellStyle name="Normal 5 2 2 2 9 2 2" xfId="15297" xr:uid="{83A256A5-4741-44F3-840A-0845AFBAA611}"/>
    <cellStyle name="Normal 5 2 2 2 9 3" xfId="11079" xr:uid="{02706028-3EC5-49B0-BFC7-BFCC96A72244}"/>
    <cellStyle name="Normal 5 2 2 3" xfId="417" xr:uid="{00000000-0005-0000-0000-000096170000}"/>
    <cellStyle name="Normal 5 2 2 3 10" xfId="9022" xr:uid="{E8C6D81C-B35F-4908-A6E9-BB37B28672F4}"/>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15800" xr:uid="{2940A611-462F-488C-8C57-EB85DFE9C062}"/>
    <cellStyle name="Normal 5 2 2 3 2 2 2 2 3" xfId="11582" xr:uid="{A6959B90-A826-4A7B-AFB3-3C411CD084A4}"/>
    <cellStyle name="Normal 5 2 2 3 2 2 2 3" xfId="5205" xr:uid="{00000000-0005-0000-0000-00009C170000}"/>
    <cellStyle name="Normal 5 2 2 3 2 2 2 3 2" xfId="13655" xr:uid="{427EC91D-C907-4393-9498-AC70DF796915}"/>
    <cellStyle name="Normal 5 2 2 3 2 2 2 4" xfId="9437" xr:uid="{C866F352-D816-46AB-962F-14DF55CC959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16213" xr:uid="{83445626-B1C9-45DC-AEEB-320300BC660D}"/>
    <cellStyle name="Normal 5 2 2 3 2 2 3 2 3" xfId="11995" xr:uid="{9B00962E-3DBA-4860-855F-7B0EEEC3203A}"/>
    <cellStyle name="Normal 5 2 2 3 2 2 3 3" xfId="5618" xr:uid="{00000000-0005-0000-0000-0000A0170000}"/>
    <cellStyle name="Normal 5 2 2 3 2 2 3 3 2" xfId="14068" xr:uid="{E90C0A3A-3F4B-4F2F-87C6-89B2E82C3BF4}"/>
    <cellStyle name="Normal 5 2 2 3 2 2 3 4" xfId="9850" xr:uid="{030AC7F0-0562-457A-8F13-2E86C31BF9D8}"/>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16626" xr:uid="{CDB74688-9373-4D54-A61E-20A41EEEDF5F}"/>
    <cellStyle name="Normal 5 2 2 3 2 2 4 2 3" xfId="12408" xr:uid="{6385A784-6D34-44C2-887C-5462754C6D3A}"/>
    <cellStyle name="Normal 5 2 2 3 2 2 4 3" xfId="6031" xr:uid="{00000000-0005-0000-0000-0000A4170000}"/>
    <cellStyle name="Normal 5 2 2 3 2 2 4 3 2" xfId="14481" xr:uid="{919EDC79-418E-4186-B3DC-80B3DC2689D3}"/>
    <cellStyle name="Normal 5 2 2 3 2 2 4 4" xfId="10263" xr:uid="{8BD8EDE4-5188-4A96-82A0-1503C79C3E1C}"/>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17039" xr:uid="{44CF747A-3AB3-4481-85D7-053159921E9E}"/>
    <cellStyle name="Normal 5 2 2 3 2 2 5 2 3" xfId="12821" xr:uid="{4992E5B9-38FA-4C21-8BF3-DD8CA2FCB493}"/>
    <cellStyle name="Normal 5 2 2 3 2 2 5 3" xfId="6444" xr:uid="{00000000-0005-0000-0000-0000A8170000}"/>
    <cellStyle name="Normal 5 2 2 3 2 2 5 3 2" xfId="14894" xr:uid="{FDEE3CA2-D07E-4F8C-8621-9AC43A6BF3BA}"/>
    <cellStyle name="Normal 5 2 2 3 2 2 5 4" xfId="10676" xr:uid="{6039A85C-6EEE-465A-AD97-5292091ECC91}"/>
    <cellStyle name="Normal 5 2 2 3 2 2 6" xfId="2574" xr:uid="{00000000-0005-0000-0000-0000A9170000}"/>
    <cellStyle name="Normal 5 2 2 3 2 2 6 2" xfId="6857" xr:uid="{00000000-0005-0000-0000-0000AA170000}"/>
    <cellStyle name="Normal 5 2 2 3 2 2 6 2 2" xfId="15307" xr:uid="{6CAB8582-3EFD-4FC5-96A0-F13799256529}"/>
    <cellStyle name="Normal 5 2 2 3 2 2 6 3" xfId="11089" xr:uid="{5D80EF6A-94BF-474D-A72C-6BCE4AF98D0D}"/>
    <cellStyle name="Normal 5 2 2 3 2 2 7" xfId="4792" xr:uid="{00000000-0005-0000-0000-0000AB170000}"/>
    <cellStyle name="Normal 5 2 2 3 2 2 7 2" xfId="13242" xr:uid="{FFFC181B-C72B-4C34-BC27-BDB22CE8C3E5}"/>
    <cellStyle name="Normal 5 2 2 3 2 2 8" xfId="9024" xr:uid="{35D9B848-EACD-414D-B1F9-39416405DCEA}"/>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15799" xr:uid="{6136B47A-C970-4328-BAA0-1A9E6421F864}"/>
    <cellStyle name="Normal 5 2 2 3 2 3 2 3" xfId="11581" xr:uid="{A314D9EB-5AC3-4EAC-9584-E5252F5D8CFE}"/>
    <cellStyle name="Normal 5 2 2 3 2 3 3" xfId="5204" xr:uid="{00000000-0005-0000-0000-0000AF170000}"/>
    <cellStyle name="Normal 5 2 2 3 2 3 3 2" xfId="13654" xr:uid="{326461D5-E64E-4838-BFF0-6E7F396F465E}"/>
    <cellStyle name="Normal 5 2 2 3 2 3 4" xfId="9436" xr:uid="{A938A336-E992-4163-AF41-60F83C2F5C64}"/>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16212" xr:uid="{57667A82-407D-4188-9146-4B2FB1D84070}"/>
    <cellStyle name="Normal 5 2 2 3 2 4 2 3" xfId="11994" xr:uid="{ECBC9273-B907-40F4-93C4-640D686D7595}"/>
    <cellStyle name="Normal 5 2 2 3 2 4 3" xfId="5617" xr:uid="{00000000-0005-0000-0000-0000B3170000}"/>
    <cellStyle name="Normal 5 2 2 3 2 4 3 2" xfId="14067" xr:uid="{94017414-95DD-4598-B356-F410721AC13B}"/>
    <cellStyle name="Normal 5 2 2 3 2 4 4" xfId="9849" xr:uid="{48FCB745-966F-483E-A0E7-4962CA0E5681}"/>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16625" xr:uid="{E2C14101-3111-4DA1-A953-C2047513843F}"/>
    <cellStyle name="Normal 5 2 2 3 2 5 2 3" xfId="12407" xr:uid="{E4F30FBB-A985-4706-8CA8-AFFBC5C936B5}"/>
    <cellStyle name="Normal 5 2 2 3 2 5 3" xfId="6030" xr:uid="{00000000-0005-0000-0000-0000B7170000}"/>
    <cellStyle name="Normal 5 2 2 3 2 5 3 2" xfId="14480" xr:uid="{6E8F427C-5B11-4F79-A3CD-F92EC090F121}"/>
    <cellStyle name="Normal 5 2 2 3 2 5 4" xfId="10262" xr:uid="{1A09793C-75D8-4BF8-9061-5C27BDF00B08}"/>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17038" xr:uid="{E2BF3260-1A83-4E13-8659-7E7DFAFEBDE0}"/>
    <cellStyle name="Normal 5 2 2 3 2 6 2 3" xfId="12820" xr:uid="{E4A33E8E-C79E-46E9-AF01-273B33636E23}"/>
    <cellStyle name="Normal 5 2 2 3 2 6 3" xfId="6443" xr:uid="{00000000-0005-0000-0000-0000BB170000}"/>
    <cellStyle name="Normal 5 2 2 3 2 6 3 2" xfId="14893" xr:uid="{52D0D530-49EB-4AEA-9D35-68D34AEDC6A0}"/>
    <cellStyle name="Normal 5 2 2 3 2 6 4" xfId="10675" xr:uid="{1057F12D-89A7-41BE-AD2C-7E1E26230224}"/>
    <cellStyle name="Normal 5 2 2 3 2 7" xfId="2573" xr:uid="{00000000-0005-0000-0000-0000BC170000}"/>
    <cellStyle name="Normal 5 2 2 3 2 7 2" xfId="6856" xr:uid="{00000000-0005-0000-0000-0000BD170000}"/>
    <cellStyle name="Normal 5 2 2 3 2 7 2 2" xfId="15306" xr:uid="{573E6FF2-123C-4C1B-8F20-EC7342DE9624}"/>
    <cellStyle name="Normal 5 2 2 3 2 7 3" xfId="11088" xr:uid="{3EAA7FEF-CC3E-4CC2-9E56-79E2286DC973}"/>
    <cellStyle name="Normal 5 2 2 3 2 8" xfId="4791" xr:uid="{00000000-0005-0000-0000-0000BE170000}"/>
    <cellStyle name="Normal 5 2 2 3 2 8 2" xfId="13241" xr:uid="{865EFF16-CEC7-4DB2-903A-D99FEB8B6AA6}"/>
    <cellStyle name="Normal 5 2 2 3 2 9" xfId="9023" xr:uid="{FEE3AE6F-F4EB-42E8-B68C-9E525DA074E9}"/>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15801" xr:uid="{C3F66729-C27B-4F2A-94BE-5CF7DF8B44B1}"/>
    <cellStyle name="Normal 5 2 2 3 3 2 2 3" xfId="11583" xr:uid="{DEE3210C-16A9-424F-B6DF-3C0A277E6F3B}"/>
    <cellStyle name="Normal 5 2 2 3 3 2 3" xfId="5206" xr:uid="{00000000-0005-0000-0000-0000C3170000}"/>
    <cellStyle name="Normal 5 2 2 3 3 2 3 2" xfId="13656" xr:uid="{440B46C0-BC13-4713-9EED-657E2C53F3C0}"/>
    <cellStyle name="Normal 5 2 2 3 3 2 4" xfId="9438" xr:uid="{B44A440C-A625-4331-96A1-6BA022AAF6F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16214" xr:uid="{AEDA9165-006C-4F57-8529-DDC5A9C5D1BD}"/>
    <cellStyle name="Normal 5 2 2 3 3 3 2 3" xfId="11996" xr:uid="{8CC369D1-C56C-48DD-9329-D081745242BA}"/>
    <cellStyle name="Normal 5 2 2 3 3 3 3" xfId="5619" xr:uid="{00000000-0005-0000-0000-0000C7170000}"/>
    <cellStyle name="Normal 5 2 2 3 3 3 3 2" xfId="14069" xr:uid="{49BE5DAB-345F-4499-9922-0FE2E2022232}"/>
    <cellStyle name="Normal 5 2 2 3 3 3 4" xfId="9851" xr:uid="{31610DBE-1E57-43B9-8220-7EB1C114C8D4}"/>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16627" xr:uid="{55E6CC3A-2920-4D0D-BA2F-87DE554B60A1}"/>
    <cellStyle name="Normal 5 2 2 3 3 4 2 3" xfId="12409" xr:uid="{B1A88FF9-06F5-4016-A9F4-D278C57E6841}"/>
    <cellStyle name="Normal 5 2 2 3 3 4 3" xfId="6032" xr:uid="{00000000-0005-0000-0000-0000CB170000}"/>
    <cellStyle name="Normal 5 2 2 3 3 4 3 2" xfId="14482" xr:uid="{B2E3DAF8-F8E3-44C6-9055-1D0D2039DE19}"/>
    <cellStyle name="Normal 5 2 2 3 3 4 4" xfId="10264" xr:uid="{0CBCBDAD-1EFE-4C10-90BA-8F277D60C3D7}"/>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17040" xr:uid="{281D3FAF-E995-4213-B4D7-3C8ED0153FD2}"/>
    <cellStyle name="Normal 5 2 2 3 3 5 2 3" xfId="12822" xr:uid="{D068FC4F-3798-4BE1-B48F-F81E7B89FF7C}"/>
    <cellStyle name="Normal 5 2 2 3 3 5 3" xfId="6445" xr:uid="{00000000-0005-0000-0000-0000CF170000}"/>
    <cellStyle name="Normal 5 2 2 3 3 5 3 2" xfId="14895" xr:uid="{A1F2DAC3-40E5-4785-A0F7-63F9CDA6D765}"/>
    <cellStyle name="Normal 5 2 2 3 3 5 4" xfId="10677" xr:uid="{7E5A2A25-2874-4C7C-AE8F-9DF099068F00}"/>
    <cellStyle name="Normal 5 2 2 3 3 6" xfId="2575" xr:uid="{00000000-0005-0000-0000-0000D0170000}"/>
    <cellStyle name="Normal 5 2 2 3 3 6 2" xfId="6858" xr:uid="{00000000-0005-0000-0000-0000D1170000}"/>
    <cellStyle name="Normal 5 2 2 3 3 6 2 2" xfId="15308" xr:uid="{BBA61746-5A01-4C0C-B744-660CDBCC7EA5}"/>
    <cellStyle name="Normal 5 2 2 3 3 6 3" xfId="11090" xr:uid="{A5B5812E-5168-4945-BCA2-3EAF52A65515}"/>
    <cellStyle name="Normal 5 2 2 3 3 7" xfId="4793" xr:uid="{00000000-0005-0000-0000-0000D2170000}"/>
    <cellStyle name="Normal 5 2 2 3 3 7 2" xfId="13243" xr:uid="{A6C0CE00-0474-4BDE-9C7D-091952583CEB}"/>
    <cellStyle name="Normal 5 2 2 3 3 8" xfId="9025" xr:uid="{1D64FBFB-8504-4ACD-915C-DC68C97C37F9}"/>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15798" xr:uid="{687B58B3-20C6-407A-9FD6-2EBEBEF766FA}"/>
    <cellStyle name="Normal 5 2 2 3 4 2 3" xfId="11580" xr:uid="{06857559-5D65-47FB-8796-EC27BB6CCC3A}"/>
    <cellStyle name="Normal 5 2 2 3 4 3" xfId="5203" xr:uid="{00000000-0005-0000-0000-0000D6170000}"/>
    <cellStyle name="Normal 5 2 2 3 4 3 2" xfId="13653" xr:uid="{4D6AF217-9B3D-4B23-9370-EB005B48B0DB}"/>
    <cellStyle name="Normal 5 2 2 3 4 4" xfId="9435" xr:uid="{30341B2D-09A8-47C5-9872-C5A12297893A}"/>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16211" xr:uid="{51AF0C6A-7A8A-47B6-89F6-4CA674E7A861}"/>
    <cellStyle name="Normal 5 2 2 3 5 2 3" xfId="11993" xr:uid="{9409F64E-1933-491E-8234-1D3517FF332C}"/>
    <cellStyle name="Normal 5 2 2 3 5 3" xfId="5616" xr:uid="{00000000-0005-0000-0000-0000DA170000}"/>
    <cellStyle name="Normal 5 2 2 3 5 3 2" xfId="14066" xr:uid="{D9FA57C1-EB8F-443F-B804-6CB30223D891}"/>
    <cellStyle name="Normal 5 2 2 3 5 4" xfId="9848" xr:uid="{D1BF4312-8849-4FDD-8FE3-FA7A51A8F447}"/>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16624" xr:uid="{71136B51-2A16-4BFD-A9E3-B338ADF59FCD}"/>
    <cellStyle name="Normal 5 2 2 3 6 2 3" xfId="12406" xr:uid="{26DDBC36-2AA8-4E11-A992-2E0CF91FE1BC}"/>
    <cellStyle name="Normal 5 2 2 3 6 3" xfId="6029" xr:uid="{00000000-0005-0000-0000-0000DE170000}"/>
    <cellStyle name="Normal 5 2 2 3 6 3 2" xfId="14479" xr:uid="{B4A0597E-28C8-485A-A7CE-15DBDFE4BAB2}"/>
    <cellStyle name="Normal 5 2 2 3 6 4" xfId="10261" xr:uid="{5DD40CF3-ACF1-4B89-8DFE-80CA4A3FCD2A}"/>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17037" xr:uid="{C3FB3B47-AAB7-442C-9B6E-9A4463852A99}"/>
    <cellStyle name="Normal 5 2 2 3 7 2 3" xfId="12819" xr:uid="{ABA98D6D-EB66-4E7E-B6B2-9480D3E6D368}"/>
    <cellStyle name="Normal 5 2 2 3 7 3" xfId="6442" xr:uid="{00000000-0005-0000-0000-0000E2170000}"/>
    <cellStyle name="Normal 5 2 2 3 7 3 2" xfId="14892" xr:uid="{A2213CCA-B880-4209-A256-B2127747A42D}"/>
    <cellStyle name="Normal 5 2 2 3 7 4" xfId="10674" xr:uid="{019C094C-7D37-4CAC-B668-3DA75659EB24}"/>
    <cellStyle name="Normal 5 2 2 3 8" xfId="2572" xr:uid="{00000000-0005-0000-0000-0000E3170000}"/>
    <cellStyle name="Normal 5 2 2 3 8 2" xfId="6855" xr:uid="{00000000-0005-0000-0000-0000E4170000}"/>
    <cellStyle name="Normal 5 2 2 3 8 2 2" xfId="15305" xr:uid="{CFF3B1CC-4068-46D1-B964-95AEC76F8722}"/>
    <cellStyle name="Normal 5 2 2 3 8 3" xfId="11087" xr:uid="{6795B08D-0029-487D-AD7D-54C2AC8ACF78}"/>
    <cellStyle name="Normal 5 2 2 3 9" xfId="4790" xr:uid="{00000000-0005-0000-0000-0000E5170000}"/>
    <cellStyle name="Normal 5 2 2 3 9 2" xfId="13240" xr:uid="{9790FE02-BD69-4203-AACE-942F5FB15123}"/>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15803" xr:uid="{BB485991-4083-4177-8798-A836922F95B8}"/>
    <cellStyle name="Normal 5 2 2 4 2 2 2 3" xfId="11585" xr:uid="{D36DDE26-8ADD-43DA-A88C-22464E709C1E}"/>
    <cellStyle name="Normal 5 2 2 4 2 2 3" xfId="5208" xr:uid="{00000000-0005-0000-0000-0000EB170000}"/>
    <cellStyle name="Normal 5 2 2 4 2 2 3 2" xfId="13658" xr:uid="{45DFA43E-BD20-4089-8466-A8AA26BBD63D}"/>
    <cellStyle name="Normal 5 2 2 4 2 2 4" xfId="9440" xr:uid="{1DDABFA1-1F90-41EC-A81D-C21B86B51567}"/>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16216" xr:uid="{6515056A-8AC3-4EA0-8160-DDE90EA5A0E1}"/>
    <cellStyle name="Normal 5 2 2 4 2 3 2 3" xfId="11998" xr:uid="{9D775047-784B-4806-B93A-97179595274F}"/>
    <cellStyle name="Normal 5 2 2 4 2 3 3" xfId="5621" xr:uid="{00000000-0005-0000-0000-0000EF170000}"/>
    <cellStyle name="Normal 5 2 2 4 2 3 3 2" xfId="14071" xr:uid="{33763835-7788-41B1-BFC9-4AD872D35ED2}"/>
    <cellStyle name="Normal 5 2 2 4 2 3 4" xfId="9853" xr:uid="{F332C410-BD9A-40DC-884D-D2D81EB28A1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16629" xr:uid="{9AD496AC-CCA1-423C-ABC3-46F86361B1B8}"/>
    <cellStyle name="Normal 5 2 2 4 2 4 2 3" xfId="12411" xr:uid="{08700693-B483-4651-A840-1040A953D891}"/>
    <cellStyle name="Normal 5 2 2 4 2 4 3" xfId="6034" xr:uid="{00000000-0005-0000-0000-0000F3170000}"/>
    <cellStyle name="Normal 5 2 2 4 2 4 3 2" xfId="14484" xr:uid="{9B99BB89-9D15-4A32-85F2-3EED14AD6FBF}"/>
    <cellStyle name="Normal 5 2 2 4 2 4 4" xfId="10266" xr:uid="{0E92A03B-6A5B-4714-BC3E-63B0C982305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17042" xr:uid="{D9618E94-86B8-4734-BAA4-81FC5D69046B}"/>
    <cellStyle name="Normal 5 2 2 4 2 5 2 3" xfId="12824" xr:uid="{316A9C00-6428-4BEF-99D5-8AB9D890B2CC}"/>
    <cellStyle name="Normal 5 2 2 4 2 5 3" xfId="6447" xr:uid="{00000000-0005-0000-0000-0000F7170000}"/>
    <cellStyle name="Normal 5 2 2 4 2 5 3 2" xfId="14897" xr:uid="{5D723B07-1622-43E3-9320-2065B3E453C5}"/>
    <cellStyle name="Normal 5 2 2 4 2 5 4" xfId="10679" xr:uid="{28670AFA-BBA0-47EA-BDB5-F6AFDCDDC8F2}"/>
    <cellStyle name="Normal 5 2 2 4 2 6" xfId="2577" xr:uid="{00000000-0005-0000-0000-0000F8170000}"/>
    <cellStyle name="Normal 5 2 2 4 2 6 2" xfId="6860" xr:uid="{00000000-0005-0000-0000-0000F9170000}"/>
    <cellStyle name="Normal 5 2 2 4 2 6 2 2" xfId="15310" xr:uid="{B31AB366-5CC0-463F-9C4B-C7673EBAB13E}"/>
    <cellStyle name="Normal 5 2 2 4 2 6 3" xfId="11092" xr:uid="{DF14821B-D10F-4BE5-8613-D213E452B39C}"/>
    <cellStyle name="Normal 5 2 2 4 2 7" xfId="4795" xr:uid="{00000000-0005-0000-0000-0000FA170000}"/>
    <cellStyle name="Normal 5 2 2 4 2 7 2" xfId="13245" xr:uid="{61E3617D-5FC9-41A7-A448-06B23D44C5E1}"/>
    <cellStyle name="Normal 5 2 2 4 2 8" xfId="9027" xr:uid="{3BEF96A8-F9EF-4FD8-BD77-280E2DE31B8E}"/>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15802" xr:uid="{95D90C5A-6438-451A-AFCF-2BCF142B5FD1}"/>
    <cellStyle name="Normal 5 2 2 4 3 2 3" xfId="11584" xr:uid="{A81F93A6-5F83-4767-859A-29132FF79C96}"/>
    <cellStyle name="Normal 5 2 2 4 3 3" xfId="5207" xr:uid="{00000000-0005-0000-0000-0000FE170000}"/>
    <cellStyle name="Normal 5 2 2 4 3 3 2" xfId="13657" xr:uid="{6C6CE51A-EE92-477B-A1BE-F1338D52BEA1}"/>
    <cellStyle name="Normal 5 2 2 4 3 4" xfId="9439" xr:uid="{00D175A7-BC1C-4C32-BFB4-589728B95BBB}"/>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16215" xr:uid="{E70E2FB1-BB1D-405B-AEA3-5609D4971A63}"/>
    <cellStyle name="Normal 5 2 2 4 4 2 3" xfId="11997" xr:uid="{5BD7FB18-46BC-4992-98F5-42A124CFA180}"/>
    <cellStyle name="Normal 5 2 2 4 4 3" xfId="5620" xr:uid="{00000000-0005-0000-0000-000002180000}"/>
    <cellStyle name="Normal 5 2 2 4 4 3 2" xfId="14070" xr:uid="{F9EEE324-151B-4060-98A1-5C67185A502E}"/>
    <cellStyle name="Normal 5 2 2 4 4 4" xfId="9852" xr:uid="{08238938-4F7A-4C05-AA21-DD971E7D4A28}"/>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16628" xr:uid="{879B91CA-59DF-4B20-9292-8DC45BED1B63}"/>
    <cellStyle name="Normal 5 2 2 4 5 2 3" xfId="12410" xr:uid="{B19AC6B0-F694-4C33-9488-3291F28795C9}"/>
    <cellStyle name="Normal 5 2 2 4 5 3" xfId="6033" xr:uid="{00000000-0005-0000-0000-000006180000}"/>
    <cellStyle name="Normal 5 2 2 4 5 3 2" xfId="14483" xr:uid="{B698EA1C-0E64-4789-BAD3-3E24239C3FF1}"/>
    <cellStyle name="Normal 5 2 2 4 5 4" xfId="10265" xr:uid="{71563ACE-8E9C-4E60-AC1A-55BC3BCBDA82}"/>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17041" xr:uid="{C13D1B35-DE57-405C-BA2B-250E71B4D169}"/>
    <cellStyle name="Normal 5 2 2 4 6 2 3" xfId="12823" xr:uid="{B544660F-C537-4EDE-9D2A-33312A05CFE7}"/>
    <cellStyle name="Normal 5 2 2 4 6 3" xfId="6446" xr:uid="{00000000-0005-0000-0000-00000A180000}"/>
    <cellStyle name="Normal 5 2 2 4 6 3 2" xfId="14896" xr:uid="{68EE39DF-98E1-4197-A8C5-46E099BDC422}"/>
    <cellStyle name="Normal 5 2 2 4 6 4" xfId="10678" xr:uid="{F315A290-4CD9-4AFB-8CF0-D0A444DE3AF8}"/>
    <cellStyle name="Normal 5 2 2 4 7" xfId="2576" xr:uid="{00000000-0005-0000-0000-00000B180000}"/>
    <cellStyle name="Normal 5 2 2 4 7 2" xfId="6859" xr:uid="{00000000-0005-0000-0000-00000C180000}"/>
    <cellStyle name="Normal 5 2 2 4 7 2 2" xfId="15309" xr:uid="{22CDBCF3-F2D5-493E-A497-0196DA026D78}"/>
    <cellStyle name="Normal 5 2 2 4 7 3" xfId="11091" xr:uid="{329C5E6D-28A1-4D6C-A778-7540247E8CD8}"/>
    <cellStyle name="Normal 5 2 2 4 8" xfId="4794" xr:uid="{00000000-0005-0000-0000-00000D180000}"/>
    <cellStyle name="Normal 5 2 2 4 8 2" xfId="13244" xr:uid="{3649DF0B-6DCC-4542-905C-A93B04E29996}"/>
    <cellStyle name="Normal 5 2 2 4 9" xfId="9026" xr:uid="{F3D7780B-BB5A-43F7-9EAC-DFAA37CAC441}"/>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15804" xr:uid="{229F2B69-2AE5-43B4-B3EC-09C5697F0D5C}"/>
    <cellStyle name="Normal 5 2 2 5 2 2 3" xfId="11586" xr:uid="{328C7856-4736-4748-B217-15B6561F9452}"/>
    <cellStyle name="Normal 5 2 2 5 2 3" xfId="5209" xr:uid="{00000000-0005-0000-0000-000012180000}"/>
    <cellStyle name="Normal 5 2 2 5 2 3 2" xfId="13659" xr:uid="{C3890964-7B21-4CA6-929D-DE240C6446C5}"/>
    <cellStyle name="Normal 5 2 2 5 2 4" xfId="9441" xr:uid="{8A535009-664A-4975-961E-C79EF8854F66}"/>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16217" xr:uid="{4B751051-8489-47D6-A846-5D024889F07E}"/>
    <cellStyle name="Normal 5 2 2 5 3 2 3" xfId="11999" xr:uid="{0268AB16-0900-4DB4-9B48-903271FEB286}"/>
    <cellStyle name="Normal 5 2 2 5 3 3" xfId="5622" xr:uid="{00000000-0005-0000-0000-000016180000}"/>
    <cellStyle name="Normal 5 2 2 5 3 3 2" xfId="14072" xr:uid="{0AD3950F-534E-48FC-98D9-BACA7B61237D}"/>
    <cellStyle name="Normal 5 2 2 5 3 4" xfId="9854" xr:uid="{5AFAAC3A-3C3E-4488-B2A1-6A1A7EC77912}"/>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16630" xr:uid="{2BC7EDE0-9296-4369-B185-7C1F4793E665}"/>
    <cellStyle name="Normal 5 2 2 5 4 2 3" xfId="12412" xr:uid="{532828AC-B259-4EE0-BCA4-494C3FAFD911}"/>
    <cellStyle name="Normal 5 2 2 5 4 3" xfId="6035" xr:uid="{00000000-0005-0000-0000-00001A180000}"/>
    <cellStyle name="Normal 5 2 2 5 4 3 2" xfId="14485" xr:uid="{3D9E19BD-6D9D-48FA-BBAE-6BEA1BEA7E89}"/>
    <cellStyle name="Normal 5 2 2 5 4 4" xfId="10267" xr:uid="{CFB94C22-A90E-45E3-9E90-512756C56A95}"/>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17043" xr:uid="{AE9F4BCC-6A14-4477-BC6E-D9D2E86C60EF}"/>
    <cellStyle name="Normal 5 2 2 5 5 2 3" xfId="12825" xr:uid="{7AECEFF7-A5EC-4A67-8A10-C343CBC0C628}"/>
    <cellStyle name="Normal 5 2 2 5 5 3" xfId="6448" xr:uid="{00000000-0005-0000-0000-00001E180000}"/>
    <cellStyle name="Normal 5 2 2 5 5 3 2" xfId="14898" xr:uid="{F40BC511-6146-4BE7-A01E-D51C73D4F64E}"/>
    <cellStyle name="Normal 5 2 2 5 5 4" xfId="10680" xr:uid="{9054DB76-901A-48EE-8428-A17E6D18114B}"/>
    <cellStyle name="Normal 5 2 2 5 6" xfId="2578" xr:uid="{00000000-0005-0000-0000-00001F180000}"/>
    <cellStyle name="Normal 5 2 2 5 6 2" xfId="6861" xr:uid="{00000000-0005-0000-0000-000020180000}"/>
    <cellStyle name="Normal 5 2 2 5 6 2 2" xfId="15311" xr:uid="{C2B77932-2BB3-4CC6-90F0-350019375BA5}"/>
    <cellStyle name="Normal 5 2 2 5 6 3" xfId="11093" xr:uid="{FC475C1C-6BF6-4EA8-9394-BE9DE8B35934}"/>
    <cellStyle name="Normal 5 2 2 5 7" xfId="4796" xr:uid="{00000000-0005-0000-0000-000021180000}"/>
    <cellStyle name="Normal 5 2 2 5 7 2" xfId="13246" xr:uid="{B8562E9F-1217-4279-96A1-E96DD10C7F26}"/>
    <cellStyle name="Normal 5 2 2 5 8" xfId="9028" xr:uid="{72695C37-0CDF-4586-98B3-AABA3F1BA15A}"/>
    <cellStyle name="Normal 5 2 2 6" xfId="882" xr:uid="{00000000-0005-0000-0000-000022180000}"/>
    <cellStyle name="Normal 5 2 2 6 2" xfId="3117" xr:uid="{00000000-0005-0000-0000-000023180000}"/>
    <cellStyle name="Normal 5 2 2 6 2 2" xfId="7339" xr:uid="{00000000-0005-0000-0000-000024180000}"/>
    <cellStyle name="Normal 5 2 2 6 2 2 2" xfId="15789" xr:uid="{B938E201-9926-415C-9B1D-3325A424AD3D}"/>
    <cellStyle name="Normal 5 2 2 6 2 3" xfId="11571" xr:uid="{8E156E50-B62D-4FA5-A6F9-E2A2505A8BB5}"/>
    <cellStyle name="Normal 5 2 2 6 3" xfId="5194" xr:uid="{00000000-0005-0000-0000-000025180000}"/>
    <cellStyle name="Normal 5 2 2 6 3 2" xfId="13644" xr:uid="{47FE51DD-5A20-4930-9D86-47A618AE6636}"/>
    <cellStyle name="Normal 5 2 2 6 4" xfId="9426" xr:uid="{2CC6CB0F-EAAC-483C-8F36-A7A6BDD95E8F}"/>
    <cellStyle name="Normal 5 2 2 7" xfId="1300" xr:uid="{00000000-0005-0000-0000-000026180000}"/>
    <cellStyle name="Normal 5 2 2 7 2" xfId="3530" xr:uid="{00000000-0005-0000-0000-000027180000}"/>
    <cellStyle name="Normal 5 2 2 7 2 2" xfId="7752" xr:uid="{00000000-0005-0000-0000-000028180000}"/>
    <cellStyle name="Normal 5 2 2 7 2 2 2" xfId="16202" xr:uid="{A047F747-0FB6-47B6-9F5F-3519B1D09A2C}"/>
    <cellStyle name="Normal 5 2 2 7 2 3" xfId="11984" xr:uid="{E19816A8-457B-4A60-BA2A-B486EA19BCDB}"/>
    <cellStyle name="Normal 5 2 2 7 3" xfId="5607" xr:uid="{00000000-0005-0000-0000-000029180000}"/>
    <cellStyle name="Normal 5 2 2 7 3 2" xfId="14057" xr:uid="{38305D8F-51AF-4584-B9A6-CAE7068A699C}"/>
    <cellStyle name="Normal 5 2 2 7 4" xfId="9839" xr:uid="{5809042B-6C3A-4815-AC58-8AACF224DBCC}"/>
    <cellStyle name="Normal 5 2 2 8" xfId="1713" xr:uid="{00000000-0005-0000-0000-00002A180000}"/>
    <cellStyle name="Normal 5 2 2 8 2" xfId="3943" xr:uid="{00000000-0005-0000-0000-00002B180000}"/>
    <cellStyle name="Normal 5 2 2 8 2 2" xfId="8165" xr:uid="{00000000-0005-0000-0000-00002C180000}"/>
    <cellStyle name="Normal 5 2 2 8 2 2 2" xfId="16615" xr:uid="{A47A3044-C72A-4505-8B99-D8B4A79B5002}"/>
    <cellStyle name="Normal 5 2 2 8 2 3" xfId="12397" xr:uid="{E3248051-2BD5-4FA0-B51C-C86B8BFC68A4}"/>
    <cellStyle name="Normal 5 2 2 8 3" xfId="6020" xr:uid="{00000000-0005-0000-0000-00002D180000}"/>
    <cellStyle name="Normal 5 2 2 8 3 2" xfId="14470" xr:uid="{2A644D68-2F37-4118-94AD-1ADC5EFAD3F9}"/>
    <cellStyle name="Normal 5 2 2 8 4" xfId="10252" xr:uid="{E3054807-644A-4BA3-A999-2B2C74D2766B}"/>
    <cellStyle name="Normal 5 2 2 9" xfId="2127" xr:uid="{00000000-0005-0000-0000-00002E180000}"/>
    <cellStyle name="Normal 5 2 2 9 2" xfId="4356" xr:uid="{00000000-0005-0000-0000-00002F180000}"/>
    <cellStyle name="Normal 5 2 2 9 2 2" xfId="8578" xr:uid="{00000000-0005-0000-0000-000030180000}"/>
    <cellStyle name="Normal 5 2 2 9 2 2 2" xfId="17028" xr:uid="{EA135D0A-8410-4D9A-8989-ABE4D04D195A}"/>
    <cellStyle name="Normal 5 2 2 9 2 3" xfId="12810" xr:uid="{E7E0A4C4-293B-45B0-A9E1-A2398A6A1E5B}"/>
    <cellStyle name="Normal 5 2 2 9 3" xfId="6433" xr:uid="{00000000-0005-0000-0000-000031180000}"/>
    <cellStyle name="Normal 5 2 2 9 3 2" xfId="14883" xr:uid="{FAE2B5F0-125A-4EF5-820E-ACC0D9111515}"/>
    <cellStyle name="Normal 5 2 2 9 4" xfId="10665" xr:uid="{9198D4E6-78B2-4D91-93AD-6CD522342135}"/>
    <cellStyle name="Normal 5 2 3" xfId="424" xr:uid="{00000000-0005-0000-0000-000032180000}"/>
    <cellStyle name="Normal 5 2 3 10" xfId="4797" xr:uid="{00000000-0005-0000-0000-000033180000}"/>
    <cellStyle name="Normal 5 2 3 10 2" xfId="13247" xr:uid="{2A8AD0B3-38A6-40F5-9809-3056FF25AF27}"/>
    <cellStyle name="Normal 5 2 3 11" xfId="9029" xr:uid="{1A73DC34-A9C2-43E2-9522-B8F1AD34CBD7}"/>
    <cellStyle name="Normal 5 2 3 2" xfId="425" xr:uid="{00000000-0005-0000-0000-000034180000}"/>
    <cellStyle name="Normal 5 2 3 2 10" xfId="9030" xr:uid="{F2DE006D-CF5D-4C25-97A0-8CEF186BFE08}"/>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15808" xr:uid="{4691D2D8-26B9-4601-BBF8-A1076A321B8F}"/>
    <cellStyle name="Normal 5 2 3 2 2 2 2 2 3" xfId="11590" xr:uid="{52B58E51-4E7D-4432-8BDB-4D9E59AF1A51}"/>
    <cellStyle name="Normal 5 2 3 2 2 2 2 3" xfId="5213" xr:uid="{00000000-0005-0000-0000-00003A180000}"/>
    <cellStyle name="Normal 5 2 3 2 2 2 2 3 2" xfId="13663" xr:uid="{41A38CDE-0665-4E32-9FB1-06AFB2CD61B9}"/>
    <cellStyle name="Normal 5 2 3 2 2 2 2 4" xfId="9445" xr:uid="{762714FE-E295-494F-BC77-752733A2A47D}"/>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16221" xr:uid="{04264F36-D71B-4066-898A-07F34B11778E}"/>
    <cellStyle name="Normal 5 2 3 2 2 2 3 2 3" xfId="12003" xr:uid="{2EEC23AF-EE9C-4B12-B94E-2A92B5FABFA4}"/>
    <cellStyle name="Normal 5 2 3 2 2 2 3 3" xfId="5626" xr:uid="{00000000-0005-0000-0000-00003E180000}"/>
    <cellStyle name="Normal 5 2 3 2 2 2 3 3 2" xfId="14076" xr:uid="{25F6474F-8FDC-4644-AEC9-B4C7064A1BD9}"/>
    <cellStyle name="Normal 5 2 3 2 2 2 3 4" xfId="9858" xr:uid="{B25EF647-F5B9-4AE4-8DDA-B6AE8D9337E2}"/>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16634" xr:uid="{B5E8D2F9-5EBF-4CB6-8178-70C2B71F7D48}"/>
    <cellStyle name="Normal 5 2 3 2 2 2 4 2 3" xfId="12416" xr:uid="{3DFC8F45-7EFA-41C4-809E-11753D27EC5F}"/>
    <cellStyle name="Normal 5 2 3 2 2 2 4 3" xfId="6039" xr:uid="{00000000-0005-0000-0000-000042180000}"/>
    <cellStyle name="Normal 5 2 3 2 2 2 4 3 2" xfId="14489" xr:uid="{F4EA56F1-B798-4092-AF7B-7627433A1A60}"/>
    <cellStyle name="Normal 5 2 3 2 2 2 4 4" xfId="10271" xr:uid="{B4AE9599-B1B1-4AA6-B069-A6F90F5C47B6}"/>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17047" xr:uid="{95AE88F0-0E99-438B-A324-454FD2434A31}"/>
    <cellStyle name="Normal 5 2 3 2 2 2 5 2 3" xfId="12829" xr:uid="{84B2778A-5A3A-489D-9F72-52C389760ECC}"/>
    <cellStyle name="Normal 5 2 3 2 2 2 5 3" xfId="6452" xr:uid="{00000000-0005-0000-0000-000046180000}"/>
    <cellStyle name="Normal 5 2 3 2 2 2 5 3 2" xfId="14902" xr:uid="{CD48F949-8493-4FE9-8085-8D4ADF99E34A}"/>
    <cellStyle name="Normal 5 2 3 2 2 2 5 4" xfId="10684" xr:uid="{8B125936-3338-4A69-986D-63A3187EEBE6}"/>
    <cellStyle name="Normal 5 2 3 2 2 2 6" xfId="2582" xr:uid="{00000000-0005-0000-0000-000047180000}"/>
    <cellStyle name="Normal 5 2 3 2 2 2 6 2" xfId="6865" xr:uid="{00000000-0005-0000-0000-000048180000}"/>
    <cellStyle name="Normal 5 2 3 2 2 2 6 2 2" xfId="15315" xr:uid="{8F10E995-7830-4BA6-B6C3-4FCFE0006F98}"/>
    <cellStyle name="Normal 5 2 3 2 2 2 6 3" xfId="11097" xr:uid="{09C6FD85-9FD8-4286-AAEA-B60073947E22}"/>
    <cellStyle name="Normal 5 2 3 2 2 2 7" xfId="4800" xr:uid="{00000000-0005-0000-0000-000049180000}"/>
    <cellStyle name="Normal 5 2 3 2 2 2 7 2" xfId="13250" xr:uid="{50D8A470-783D-468F-89C9-82F6E4F69513}"/>
    <cellStyle name="Normal 5 2 3 2 2 2 8" xfId="9032" xr:uid="{EFBE6B1B-73C6-432C-BB36-92EE8322F15A}"/>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15807" xr:uid="{B17C2332-8861-42C6-851C-08B7508E934C}"/>
    <cellStyle name="Normal 5 2 3 2 2 3 2 3" xfId="11589" xr:uid="{FA34A9AC-9701-40C1-A3D4-8A9E73E2CC32}"/>
    <cellStyle name="Normal 5 2 3 2 2 3 3" xfId="5212" xr:uid="{00000000-0005-0000-0000-00004D180000}"/>
    <cellStyle name="Normal 5 2 3 2 2 3 3 2" xfId="13662" xr:uid="{F2D67EB6-32EA-4AFE-AC36-CEBA3803817E}"/>
    <cellStyle name="Normal 5 2 3 2 2 3 4" xfId="9444" xr:uid="{11B1D288-6B4D-40CB-9949-52063EEB9B12}"/>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16220" xr:uid="{77748182-11DF-4409-9BF5-6601DC5A3ECE}"/>
    <cellStyle name="Normal 5 2 3 2 2 4 2 3" xfId="12002" xr:uid="{B30D871A-82A8-442B-92A8-E53810D243D2}"/>
    <cellStyle name="Normal 5 2 3 2 2 4 3" xfId="5625" xr:uid="{00000000-0005-0000-0000-000051180000}"/>
    <cellStyle name="Normal 5 2 3 2 2 4 3 2" xfId="14075" xr:uid="{5C18C23C-8964-44A6-8E69-7AF794E0CA84}"/>
    <cellStyle name="Normal 5 2 3 2 2 4 4" xfId="9857" xr:uid="{03B0B850-7461-4BB1-917A-A486376056A8}"/>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16633" xr:uid="{E3C8B44A-81EC-4470-9767-7988B0BC9AD9}"/>
    <cellStyle name="Normal 5 2 3 2 2 5 2 3" xfId="12415" xr:uid="{29F6306A-3375-441E-BA18-5F68865E3EEF}"/>
    <cellStyle name="Normal 5 2 3 2 2 5 3" xfId="6038" xr:uid="{00000000-0005-0000-0000-000055180000}"/>
    <cellStyle name="Normal 5 2 3 2 2 5 3 2" xfId="14488" xr:uid="{5F0EECBA-A7C4-4C83-A5CD-2141877B2350}"/>
    <cellStyle name="Normal 5 2 3 2 2 5 4" xfId="10270" xr:uid="{1BB3724C-16A2-4408-ADE2-ACFE1817200F}"/>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17046" xr:uid="{DFA47CEB-FFF2-4E28-A5EF-93DAB7903A06}"/>
    <cellStyle name="Normal 5 2 3 2 2 6 2 3" xfId="12828" xr:uid="{21161EC9-0915-4B70-AD82-124179ADD784}"/>
    <cellStyle name="Normal 5 2 3 2 2 6 3" xfId="6451" xr:uid="{00000000-0005-0000-0000-000059180000}"/>
    <cellStyle name="Normal 5 2 3 2 2 6 3 2" xfId="14901" xr:uid="{E73CAE68-9AE5-4D48-85CE-02DA6BABD9B3}"/>
    <cellStyle name="Normal 5 2 3 2 2 6 4" xfId="10683" xr:uid="{786FCD7C-30D6-40DE-91B6-D18259343DC6}"/>
    <cellStyle name="Normal 5 2 3 2 2 7" xfId="2581" xr:uid="{00000000-0005-0000-0000-00005A180000}"/>
    <cellStyle name="Normal 5 2 3 2 2 7 2" xfId="6864" xr:uid="{00000000-0005-0000-0000-00005B180000}"/>
    <cellStyle name="Normal 5 2 3 2 2 7 2 2" xfId="15314" xr:uid="{9309FD26-BC9B-401C-9E89-C160F79AF200}"/>
    <cellStyle name="Normal 5 2 3 2 2 7 3" xfId="11096" xr:uid="{B0B3ED6E-E413-4BE5-9207-89E289BB3ACB}"/>
    <cellStyle name="Normal 5 2 3 2 2 8" xfId="4799" xr:uid="{00000000-0005-0000-0000-00005C180000}"/>
    <cellStyle name="Normal 5 2 3 2 2 8 2" xfId="13249" xr:uid="{07F19A56-D403-4DA2-8EB3-D9B2A8238333}"/>
    <cellStyle name="Normal 5 2 3 2 2 9" xfId="9031" xr:uid="{1C60EC42-7761-4EF9-A1AF-A28278CE92EA}"/>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15809" xr:uid="{9AA4FA30-DFE2-44C7-BB27-37F6752CE248}"/>
    <cellStyle name="Normal 5 2 3 2 3 2 2 3" xfId="11591" xr:uid="{183B7C39-93CB-4364-A6B4-D5270942F6AE}"/>
    <cellStyle name="Normal 5 2 3 2 3 2 3" xfId="5214" xr:uid="{00000000-0005-0000-0000-000061180000}"/>
    <cellStyle name="Normal 5 2 3 2 3 2 3 2" xfId="13664" xr:uid="{5D279A88-4F83-43A1-919C-BE1AFFAFFB9B}"/>
    <cellStyle name="Normal 5 2 3 2 3 2 4" xfId="9446" xr:uid="{F5AC3D2F-F7B8-41F4-9660-8FDDAF6FC4BC}"/>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16222" xr:uid="{C8C34CE9-58BB-4EE0-A6A0-954A959DE10A}"/>
    <cellStyle name="Normal 5 2 3 2 3 3 2 3" xfId="12004" xr:uid="{31D1520F-B46C-4B40-8961-66AAF98E6C18}"/>
    <cellStyle name="Normal 5 2 3 2 3 3 3" xfId="5627" xr:uid="{00000000-0005-0000-0000-000065180000}"/>
    <cellStyle name="Normal 5 2 3 2 3 3 3 2" xfId="14077" xr:uid="{D7D1A044-AB37-4659-B600-6F74E2D20865}"/>
    <cellStyle name="Normal 5 2 3 2 3 3 4" xfId="9859" xr:uid="{A5123492-1A6D-4FE3-8FB0-330E2DE8CA62}"/>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16635" xr:uid="{9CAFD103-52E7-4D5C-AA6D-C15491AC77D5}"/>
    <cellStyle name="Normal 5 2 3 2 3 4 2 3" xfId="12417" xr:uid="{3387EBBB-A89C-4EEA-BBA2-34DFEF387A6C}"/>
    <cellStyle name="Normal 5 2 3 2 3 4 3" xfId="6040" xr:uid="{00000000-0005-0000-0000-000069180000}"/>
    <cellStyle name="Normal 5 2 3 2 3 4 3 2" xfId="14490" xr:uid="{93E01A81-EDFB-4DFB-8094-791F156B1FB8}"/>
    <cellStyle name="Normal 5 2 3 2 3 4 4" xfId="10272" xr:uid="{1D1D7F7B-82A2-4A0C-B8FB-3FAA962494D4}"/>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17048" xr:uid="{362DA6B4-270C-4E93-A1BA-248DD4C78496}"/>
    <cellStyle name="Normal 5 2 3 2 3 5 2 3" xfId="12830" xr:uid="{403314B6-6F95-46FA-A4F0-EFF49A3FE7FE}"/>
    <cellStyle name="Normal 5 2 3 2 3 5 3" xfId="6453" xr:uid="{00000000-0005-0000-0000-00006D180000}"/>
    <cellStyle name="Normal 5 2 3 2 3 5 3 2" xfId="14903" xr:uid="{B05A6BDB-414F-4430-92AE-011580D1AF75}"/>
    <cellStyle name="Normal 5 2 3 2 3 5 4" xfId="10685" xr:uid="{27A20D86-0184-4AD3-9681-FCFF279DB749}"/>
    <cellStyle name="Normal 5 2 3 2 3 6" xfId="2583" xr:uid="{00000000-0005-0000-0000-00006E180000}"/>
    <cellStyle name="Normal 5 2 3 2 3 6 2" xfId="6866" xr:uid="{00000000-0005-0000-0000-00006F180000}"/>
    <cellStyle name="Normal 5 2 3 2 3 6 2 2" xfId="15316" xr:uid="{DEFF5322-5969-458F-BC24-00E45E19C7B8}"/>
    <cellStyle name="Normal 5 2 3 2 3 6 3" xfId="11098" xr:uid="{67907068-0ED1-4FED-8132-1C269B88CC98}"/>
    <cellStyle name="Normal 5 2 3 2 3 7" xfId="4801" xr:uid="{00000000-0005-0000-0000-000070180000}"/>
    <cellStyle name="Normal 5 2 3 2 3 7 2" xfId="13251" xr:uid="{42BD8821-9EEB-41FA-A439-D27E3B071CA5}"/>
    <cellStyle name="Normal 5 2 3 2 3 8" xfId="9033" xr:uid="{76A24979-8995-45C1-BFD7-1286E770F524}"/>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15806" xr:uid="{D19AB8FC-9073-4E9C-9958-C9A6D344F2A9}"/>
    <cellStyle name="Normal 5 2 3 2 4 2 3" xfId="11588" xr:uid="{85D0EBB6-5813-4CB6-BDED-9B0698A5045B}"/>
    <cellStyle name="Normal 5 2 3 2 4 3" xfId="5211" xr:uid="{00000000-0005-0000-0000-000074180000}"/>
    <cellStyle name="Normal 5 2 3 2 4 3 2" xfId="13661" xr:uid="{00159872-1F3B-43DF-BDBF-8281736F4BA2}"/>
    <cellStyle name="Normal 5 2 3 2 4 4" xfId="9443" xr:uid="{DDFBFFB1-E613-46E4-9202-DE4F9D8DB839}"/>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16219" xr:uid="{292B560A-D90E-4964-BD43-4464C50C5073}"/>
    <cellStyle name="Normal 5 2 3 2 5 2 3" xfId="12001" xr:uid="{EA34C60B-8145-4F44-9689-DDB6F597FC2F}"/>
    <cellStyle name="Normal 5 2 3 2 5 3" xfId="5624" xr:uid="{00000000-0005-0000-0000-000078180000}"/>
    <cellStyle name="Normal 5 2 3 2 5 3 2" xfId="14074" xr:uid="{7D227888-0D3C-4349-97E0-99934944BC5E}"/>
    <cellStyle name="Normal 5 2 3 2 5 4" xfId="9856" xr:uid="{369D6BC4-2FF0-4D8B-8309-AEED786FAB73}"/>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16632" xr:uid="{BD20C4AB-FFA5-4D9C-AC20-61919BC3BC2A}"/>
    <cellStyle name="Normal 5 2 3 2 6 2 3" xfId="12414" xr:uid="{12B8E89D-CAA8-4E47-B771-08BEE1C36ED3}"/>
    <cellStyle name="Normal 5 2 3 2 6 3" xfId="6037" xr:uid="{00000000-0005-0000-0000-00007C180000}"/>
    <cellStyle name="Normal 5 2 3 2 6 3 2" xfId="14487" xr:uid="{8F1DB7F0-3D47-48FA-85D0-18E8590C72E4}"/>
    <cellStyle name="Normal 5 2 3 2 6 4" xfId="10269" xr:uid="{96BDBDFC-58F0-466F-B2B5-0050A8875E31}"/>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17045" xr:uid="{9857E808-20D4-4083-BC91-BD87C36A6D5F}"/>
    <cellStyle name="Normal 5 2 3 2 7 2 3" xfId="12827" xr:uid="{90BF1E52-AA49-43DB-B616-97F6AF72F43E}"/>
    <cellStyle name="Normal 5 2 3 2 7 3" xfId="6450" xr:uid="{00000000-0005-0000-0000-000080180000}"/>
    <cellStyle name="Normal 5 2 3 2 7 3 2" xfId="14900" xr:uid="{650198DA-86D9-45DA-A5D5-BA8FAF1E5273}"/>
    <cellStyle name="Normal 5 2 3 2 7 4" xfId="10682" xr:uid="{4A02CD2C-BD79-408C-B0E6-90B63C419733}"/>
    <cellStyle name="Normal 5 2 3 2 8" xfId="2580" xr:uid="{00000000-0005-0000-0000-000081180000}"/>
    <cellStyle name="Normal 5 2 3 2 8 2" xfId="6863" xr:uid="{00000000-0005-0000-0000-000082180000}"/>
    <cellStyle name="Normal 5 2 3 2 8 2 2" xfId="15313" xr:uid="{85CEB5DE-DC5E-4B84-ABF4-D303911FDE0B}"/>
    <cellStyle name="Normal 5 2 3 2 8 3" xfId="11095" xr:uid="{9D7461ED-4EF6-4D44-A194-C22FC3442DA3}"/>
    <cellStyle name="Normal 5 2 3 2 9" xfId="4798" xr:uid="{00000000-0005-0000-0000-000083180000}"/>
    <cellStyle name="Normal 5 2 3 2 9 2" xfId="13248" xr:uid="{9DB592A8-EF84-42C5-A353-FA513D3EFD4C}"/>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15811" xr:uid="{E2693200-E883-4160-9F69-A590564ABC4D}"/>
    <cellStyle name="Normal 5 2 3 3 2 2 2 3" xfId="11593" xr:uid="{6820142E-BEE2-44EC-847F-C4B8FFE06B28}"/>
    <cellStyle name="Normal 5 2 3 3 2 2 3" xfId="5216" xr:uid="{00000000-0005-0000-0000-000089180000}"/>
    <cellStyle name="Normal 5 2 3 3 2 2 3 2" xfId="13666" xr:uid="{2756B8AB-F021-4F92-8EB0-592655D4AA56}"/>
    <cellStyle name="Normal 5 2 3 3 2 2 4" xfId="9448" xr:uid="{86DDBAB8-06D8-4002-80AE-275FE06AF6D4}"/>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16224" xr:uid="{58160F23-CBF1-4181-BA5F-C4EFEDEB1A84}"/>
    <cellStyle name="Normal 5 2 3 3 2 3 2 3" xfId="12006" xr:uid="{9A4A9CC4-EAD5-4FE6-B31C-503312B157EF}"/>
    <cellStyle name="Normal 5 2 3 3 2 3 3" xfId="5629" xr:uid="{00000000-0005-0000-0000-00008D180000}"/>
    <cellStyle name="Normal 5 2 3 3 2 3 3 2" xfId="14079" xr:uid="{E224CBE8-6B09-42FD-9947-DD329ED6113E}"/>
    <cellStyle name="Normal 5 2 3 3 2 3 4" xfId="9861" xr:uid="{D2015690-022C-4198-8AE0-8BEB0878B17C}"/>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16637" xr:uid="{16E938CD-0C6E-47A0-A0AF-E5C39E395ACB}"/>
    <cellStyle name="Normal 5 2 3 3 2 4 2 3" xfId="12419" xr:uid="{C96378AA-BE9D-433A-BB5D-2083BF14FBA9}"/>
    <cellStyle name="Normal 5 2 3 3 2 4 3" xfId="6042" xr:uid="{00000000-0005-0000-0000-000091180000}"/>
    <cellStyle name="Normal 5 2 3 3 2 4 3 2" xfId="14492" xr:uid="{988B49E4-F6B6-4BC1-807B-53296FEDC063}"/>
    <cellStyle name="Normal 5 2 3 3 2 4 4" xfId="10274" xr:uid="{E8726731-BDC3-4EA7-84E4-FB7F2EDBDB49}"/>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17050" xr:uid="{5E89A2A4-030A-4C99-9592-7EEDC28FE388}"/>
    <cellStyle name="Normal 5 2 3 3 2 5 2 3" xfId="12832" xr:uid="{0E3357D7-8242-42B7-B72A-C9F6A1B2B26C}"/>
    <cellStyle name="Normal 5 2 3 3 2 5 3" xfId="6455" xr:uid="{00000000-0005-0000-0000-000095180000}"/>
    <cellStyle name="Normal 5 2 3 3 2 5 3 2" xfId="14905" xr:uid="{CF882729-F0C7-487C-9B58-D7AC43EEDFF7}"/>
    <cellStyle name="Normal 5 2 3 3 2 5 4" xfId="10687" xr:uid="{79255915-712C-401C-BFC6-018A6F994DC1}"/>
    <cellStyle name="Normal 5 2 3 3 2 6" xfId="2585" xr:uid="{00000000-0005-0000-0000-000096180000}"/>
    <cellStyle name="Normal 5 2 3 3 2 6 2" xfId="6868" xr:uid="{00000000-0005-0000-0000-000097180000}"/>
    <cellStyle name="Normal 5 2 3 3 2 6 2 2" xfId="15318" xr:uid="{7E875563-2F0F-4938-8350-65266EF29A11}"/>
    <cellStyle name="Normal 5 2 3 3 2 6 3" xfId="11100" xr:uid="{05C6570C-A020-45B5-88BC-8FFB9DF77D7B}"/>
    <cellStyle name="Normal 5 2 3 3 2 7" xfId="4803" xr:uid="{00000000-0005-0000-0000-000098180000}"/>
    <cellStyle name="Normal 5 2 3 3 2 7 2" xfId="13253" xr:uid="{3FCAA31D-2CD2-4F8D-9881-D88A47B2692C}"/>
    <cellStyle name="Normal 5 2 3 3 2 8" xfId="9035" xr:uid="{00E276C1-72F3-496A-A28C-D6E2AB007C81}"/>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15810" xr:uid="{B30241B1-61BB-401F-8B8F-4A86FECA7D0B}"/>
    <cellStyle name="Normal 5 2 3 3 3 2 3" xfId="11592" xr:uid="{D281919A-56B7-4FF5-9A93-03C16822C17A}"/>
    <cellStyle name="Normal 5 2 3 3 3 3" xfId="5215" xr:uid="{00000000-0005-0000-0000-00009C180000}"/>
    <cellStyle name="Normal 5 2 3 3 3 3 2" xfId="13665" xr:uid="{CD73FEDF-B42A-418E-A775-99BB1D45FE97}"/>
    <cellStyle name="Normal 5 2 3 3 3 4" xfId="9447" xr:uid="{9C89C324-9A73-4B8D-9521-617A479388E2}"/>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16223" xr:uid="{DCC54317-4B4E-45A5-B5B0-C89B94EF778A}"/>
    <cellStyle name="Normal 5 2 3 3 4 2 3" xfId="12005" xr:uid="{66D0508B-5E3A-40CD-9623-86C4B99BDCF4}"/>
    <cellStyle name="Normal 5 2 3 3 4 3" xfId="5628" xr:uid="{00000000-0005-0000-0000-0000A0180000}"/>
    <cellStyle name="Normal 5 2 3 3 4 3 2" xfId="14078" xr:uid="{0C1685CF-A68A-4712-BA49-3145EBF13396}"/>
    <cellStyle name="Normal 5 2 3 3 4 4" xfId="9860" xr:uid="{29615DF9-F6C3-47F2-B661-ED5DED7579A7}"/>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16636" xr:uid="{5A49BB85-4880-4DB7-A3C2-44168F99A8A0}"/>
    <cellStyle name="Normal 5 2 3 3 5 2 3" xfId="12418" xr:uid="{C0E71480-E997-43DD-B765-BC4AF1C6BDA1}"/>
    <cellStyle name="Normal 5 2 3 3 5 3" xfId="6041" xr:uid="{00000000-0005-0000-0000-0000A4180000}"/>
    <cellStyle name="Normal 5 2 3 3 5 3 2" xfId="14491" xr:uid="{7B69E3D8-3A76-4740-8457-61CA45F619F8}"/>
    <cellStyle name="Normal 5 2 3 3 5 4" xfId="10273" xr:uid="{CD0A5840-168B-4950-A9E2-AB8F8C3CB912}"/>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17049" xr:uid="{1FC4EA89-6A30-4A32-887A-B8FF4EC045B8}"/>
    <cellStyle name="Normal 5 2 3 3 6 2 3" xfId="12831" xr:uid="{D6F81E61-D224-4FCF-8938-1FE52DBB7D15}"/>
    <cellStyle name="Normal 5 2 3 3 6 3" xfId="6454" xr:uid="{00000000-0005-0000-0000-0000A8180000}"/>
    <cellStyle name="Normal 5 2 3 3 6 3 2" xfId="14904" xr:uid="{5E547A0B-3251-474D-8717-80EE482EBAB0}"/>
    <cellStyle name="Normal 5 2 3 3 6 4" xfId="10686" xr:uid="{AD04E44A-5F06-4122-9570-AA1BBEC2D3BB}"/>
    <cellStyle name="Normal 5 2 3 3 7" xfId="2584" xr:uid="{00000000-0005-0000-0000-0000A9180000}"/>
    <cellStyle name="Normal 5 2 3 3 7 2" xfId="6867" xr:uid="{00000000-0005-0000-0000-0000AA180000}"/>
    <cellStyle name="Normal 5 2 3 3 7 2 2" xfId="15317" xr:uid="{B71D796D-AA54-4411-BCB8-3A8ED416837C}"/>
    <cellStyle name="Normal 5 2 3 3 7 3" xfId="11099" xr:uid="{4E6B140D-D96F-41A2-87D8-F3E67333E9A3}"/>
    <cellStyle name="Normal 5 2 3 3 8" xfId="4802" xr:uid="{00000000-0005-0000-0000-0000AB180000}"/>
    <cellStyle name="Normal 5 2 3 3 8 2" xfId="13252" xr:uid="{D76757B4-9384-45B9-A91A-6579C105E1E8}"/>
    <cellStyle name="Normal 5 2 3 3 9" xfId="9034" xr:uid="{4BAF7BF5-6C19-4395-9DC9-5F29684CB9B4}"/>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15812" xr:uid="{B05F3A9E-C3B2-4963-823A-B3DB38389993}"/>
    <cellStyle name="Normal 5 2 3 4 2 2 3" xfId="11594" xr:uid="{D9CF6A86-C2E5-47D6-BF64-2F16033DD16C}"/>
    <cellStyle name="Normal 5 2 3 4 2 3" xfId="5217" xr:uid="{00000000-0005-0000-0000-0000B0180000}"/>
    <cellStyle name="Normal 5 2 3 4 2 3 2" xfId="13667" xr:uid="{0C369EEC-B7DF-4902-8744-8D6EE386899D}"/>
    <cellStyle name="Normal 5 2 3 4 2 4" xfId="9449" xr:uid="{41C263BB-F3F9-4043-AB73-1B19FBEC5409}"/>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16225" xr:uid="{77CD1047-5B7C-4F29-9E6C-3DE3F172B57B}"/>
    <cellStyle name="Normal 5 2 3 4 3 2 3" xfId="12007" xr:uid="{69D2D4B2-DECE-49AF-9C27-26A11ACD5B42}"/>
    <cellStyle name="Normal 5 2 3 4 3 3" xfId="5630" xr:uid="{00000000-0005-0000-0000-0000B4180000}"/>
    <cellStyle name="Normal 5 2 3 4 3 3 2" xfId="14080" xr:uid="{C997C1BE-3211-4773-850C-213136967DFC}"/>
    <cellStyle name="Normal 5 2 3 4 3 4" xfId="9862" xr:uid="{344CF171-28FE-4C24-B5F6-ED3A7B0AF7FB}"/>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16638" xr:uid="{C27E7E6B-3C59-4214-A44B-6B91E6F06590}"/>
    <cellStyle name="Normal 5 2 3 4 4 2 3" xfId="12420" xr:uid="{090EE6E3-05DD-41C7-A3D0-1DF513FBF7D8}"/>
    <cellStyle name="Normal 5 2 3 4 4 3" xfId="6043" xr:uid="{00000000-0005-0000-0000-0000B8180000}"/>
    <cellStyle name="Normal 5 2 3 4 4 3 2" xfId="14493" xr:uid="{CB0ECAAE-20F3-43AF-9AC8-7CA07B64F23E}"/>
    <cellStyle name="Normal 5 2 3 4 4 4" xfId="10275" xr:uid="{F68C4331-1CF4-4CD5-8F79-8AC52A765701}"/>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17051" xr:uid="{324ED288-5B2C-4EE7-B4E8-0170A1855A66}"/>
    <cellStyle name="Normal 5 2 3 4 5 2 3" xfId="12833" xr:uid="{70340ED3-F848-45A0-A0C1-CA1BC2011CBA}"/>
    <cellStyle name="Normal 5 2 3 4 5 3" xfId="6456" xr:uid="{00000000-0005-0000-0000-0000BC180000}"/>
    <cellStyle name="Normal 5 2 3 4 5 3 2" xfId="14906" xr:uid="{768CD9F1-C5D8-481F-BF90-5ED5BF973EB6}"/>
    <cellStyle name="Normal 5 2 3 4 5 4" xfId="10688" xr:uid="{682FD162-353E-43D8-816D-6C0694F6D71E}"/>
    <cellStyle name="Normal 5 2 3 4 6" xfId="2586" xr:uid="{00000000-0005-0000-0000-0000BD180000}"/>
    <cellStyle name="Normal 5 2 3 4 6 2" xfId="6869" xr:uid="{00000000-0005-0000-0000-0000BE180000}"/>
    <cellStyle name="Normal 5 2 3 4 6 2 2" xfId="15319" xr:uid="{66FB22D2-D34A-4C74-8A6B-F1D7D8F0BE67}"/>
    <cellStyle name="Normal 5 2 3 4 6 3" xfId="11101" xr:uid="{06FB8024-88E7-49CB-9190-032D51DD7BF3}"/>
    <cellStyle name="Normal 5 2 3 4 7" xfId="4804" xr:uid="{00000000-0005-0000-0000-0000BF180000}"/>
    <cellStyle name="Normal 5 2 3 4 7 2" xfId="13254" xr:uid="{428B42F4-0895-4F42-896E-6DA5A366E64A}"/>
    <cellStyle name="Normal 5 2 3 4 8" xfId="9036" xr:uid="{6274E333-3F5D-4093-9A00-0D8B058DC0DC}"/>
    <cellStyle name="Normal 5 2 3 5" xfId="898" xr:uid="{00000000-0005-0000-0000-0000C0180000}"/>
    <cellStyle name="Normal 5 2 3 5 2" xfId="3133" xr:uid="{00000000-0005-0000-0000-0000C1180000}"/>
    <cellStyle name="Normal 5 2 3 5 2 2" xfId="7355" xr:uid="{00000000-0005-0000-0000-0000C2180000}"/>
    <cellStyle name="Normal 5 2 3 5 2 2 2" xfId="15805" xr:uid="{FEF53646-56DE-4886-B7A0-BF461936030C}"/>
    <cellStyle name="Normal 5 2 3 5 2 3" xfId="11587" xr:uid="{F5070035-002D-4DEE-816F-421DB88A2D07}"/>
    <cellStyle name="Normal 5 2 3 5 3" xfId="5210" xr:uid="{00000000-0005-0000-0000-0000C3180000}"/>
    <cellStyle name="Normal 5 2 3 5 3 2" xfId="13660" xr:uid="{F708C372-B637-4816-A66E-424D32A976CA}"/>
    <cellStyle name="Normal 5 2 3 5 4" xfId="9442" xr:uid="{24C7648E-BF3D-4755-9206-942F8A607116}"/>
    <cellStyle name="Normal 5 2 3 6" xfId="1316" xr:uid="{00000000-0005-0000-0000-0000C4180000}"/>
    <cellStyle name="Normal 5 2 3 6 2" xfId="3546" xr:uid="{00000000-0005-0000-0000-0000C5180000}"/>
    <cellStyle name="Normal 5 2 3 6 2 2" xfId="7768" xr:uid="{00000000-0005-0000-0000-0000C6180000}"/>
    <cellStyle name="Normal 5 2 3 6 2 2 2" xfId="16218" xr:uid="{72409C75-8566-4A73-BE6E-46A42A3C0F12}"/>
    <cellStyle name="Normal 5 2 3 6 2 3" xfId="12000" xr:uid="{84E51E15-AE85-4403-B9C3-5DA71DEEA253}"/>
    <cellStyle name="Normal 5 2 3 6 3" xfId="5623" xr:uid="{00000000-0005-0000-0000-0000C7180000}"/>
    <cellStyle name="Normal 5 2 3 6 3 2" xfId="14073" xr:uid="{BE7F9FF5-F687-4D3B-A100-4D68609C45A2}"/>
    <cellStyle name="Normal 5 2 3 6 4" xfId="9855" xr:uid="{C19C13A0-03B3-45D1-8369-315CE76E6F92}"/>
    <cellStyle name="Normal 5 2 3 7" xfId="1729" xr:uid="{00000000-0005-0000-0000-0000C8180000}"/>
    <cellStyle name="Normal 5 2 3 7 2" xfId="3959" xr:uid="{00000000-0005-0000-0000-0000C9180000}"/>
    <cellStyle name="Normal 5 2 3 7 2 2" xfId="8181" xr:uid="{00000000-0005-0000-0000-0000CA180000}"/>
    <cellStyle name="Normal 5 2 3 7 2 2 2" xfId="16631" xr:uid="{4D1ECB23-81E8-4FC7-A050-3B70D510CF6D}"/>
    <cellStyle name="Normal 5 2 3 7 2 3" xfId="12413" xr:uid="{B1AF5258-AC15-4D20-99BE-5119AB96B614}"/>
    <cellStyle name="Normal 5 2 3 7 3" xfId="6036" xr:uid="{00000000-0005-0000-0000-0000CB180000}"/>
    <cellStyle name="Normal 5 2 3 7 3 2" xfId="14486" xr:uid="{863EC7BC-0E78-4534-9755-E2C3E81B74C1}"/>
    <cellStyle name="Normal 5 2 3 7 4" xfId="10268" xr:uid="{EF696D50-0AC2-4E87-8765-2DF484F3B702}"/>
    <cellStyle name="Normal 5 2 3 8" xfId="2143" xr:uid="{00000000-0005-0000-0000-0000CC180000}"/>
    <cellStyle name="Normal 5 2 3 8 2" xfId="4372" xr:uid="{00000000-0005-0000-0000-0000CD180000}"/>
    <cellStyle name="Normal 5 2 3 8 2 2" xfId="8594" xr:uid="{00000000-0005-0000-0000-0000CE180000}"/>
    <cellStyle name="Normal 5 2 3 8 2 2 2" xfId="17044" xr:uid="{D38D9E20-154D-49E5-BD46-109DBAF0D8E6}"/>
    <cellStyle name="Normal 5 2 3 8 2 3" xfId="12826" xr:uid="{C3086AAF-C611-498C-9222-26EFCE92A0F9}"/>
    <cellStyle name="Normal 5 2 3 8 3" xfId="6449" xr:uid="{00000000-0005-0000-0000-0000CF180000}"/>
    <cellStyle name="Normal 5 2 3 8 3 2" xfId="14899" xr:uid="{17011F3F-5CC5-4CEC-80CD-04108223BEAF}"/>
    <cellStyle name="Normal 5 2 3 8 4" xfId="10681" xr:uid="{0A20538B-5F32-4B5D-B11E-3414066B7B10}"/>
    <cellStyle name="Normal 5 2 3 9" xfId="2579" xr:uid="{00000000-0005-0000-0000-0000D0180000}"/>
    <cellStyle name="Normal 5 2 3 9 2" xfId="6862" xr:uid="{00000000-0005-0000-0000-0000D1180000}"/>
    <cellStyle name="Normal 5 2 3 9 2 2" xfId="15312" xr:uid="{74FDE8CC-6121-4CD9-8EAC-44E030474BCF}"/>
    <cellStyle name="Normal 5 2 3 9 3" xfId="11094" xr:uid="{40E2C51B-66FC-4B02-B1A3-8A8B54B10BA9}"/>
    <cellStyle name="Normal 5 2 4" xfId="432" xr:uid="{00000000-0005-0000-0000-0000D2180000}"/>
    <cellStyle name="Normal 5 2 4 10" xfId="9037" xr:uid="{6B91DF5C-EB59-456A-B7BF-6280C16E1AB6}"/>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15815" xr:uid="{E0D4B60D-D744-4F10-B802-0661D43D6F5D}"/>
    <cellStyle name="Normal 5 2 4 2 2 2 2 3" xfId="11597" xr:uid="{4B83E3B6-CB90-46DE-962E-B41E0935C8F9}"/>
    <cellStyle name="Normal 5 2 4 2 2 2 3" xfId="5220" xr:uid="{00000000-0005-0000-0000-0000D8180000}"/>
    <cellStyle name="Normal 5 2 4 2 2 2 3 2" xfId="13670" xr:uid="{C6B90D98-29F4-4190-BFFA-FCCA828E9FF0}"/>
    <cellStyle name="Normal 5 2 4 2 2 2 4" xfId="9452" xr:uid="{0B47CC00-1D6E-4416-BDB3-344A48F948B3}"/>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16228" xr:uid="{9232F706-2863-4B76-A208-C2ADBE5DE816}"/>
    <cellStyle name="Normal 5 2 4 2 2 3 2 3" xfId="12010" xr:uid="{DEB9C20C-F63A-47BC-87C8-99FB4CAAAABC}"/>
    <cellStyle name="Normal 5 2 4 2 2 3 3" xfId="5633" xr:uid="{00000000-0005-0000-0000-0000DC180000}"/>
    <cellStyle name="Normal 5 2 4 2 2 3 3 2" xfId="14083" xr:uid="{34D110D5-075A-4205-AF39-E273B9B1C533}"/>
    <cellStyle name="Normal 5 2 4 2 2 3 4" xfId="9865" xr:uid="{AAA2CB86-923D-4C49-BA27-F55B9A09183B}"/>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16641" xr:uid="{B812C5DD-028E-40C7-8851-6BD8901ECA40}"/>
    <cellStyle name="Normal 5 2 4 2 2 4 2 3" xfId="12423" xr:uid="{7C047A20-D464-4C4A-9C47-85BF930F1069}"/>
    <cellStyle name="Normal 5 2 4 2 2 4 3" xfId="6046" xr:uid="{00000000-0005-0000-0000-0000E0180000}"/>
    <cellStyle name="Normal 5 2 4 2 2 4 3 2" xfId="14496" xr:uid="{E2CBAD60-DFCD-41DC-81FA-AF0235271D77}"/>
    <cellStyle name="Normal 5 2 4 2 2 4 4" xfId="10278" xr:uid="{3A65DE5B-3A2A-4545-BAF0-3892E369800F}"/>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17054" xr:uid="{59D423F5-8223-4A42-B675-C09BED0E1001}"/>
    <cellStyle name="Normal 5 2 4 2 2 5 2 3" xfId="12836" xr:uid="{AB4B56EF-72BF-4892-A58F-E97D4486F956}"/>
    <cellStyle name="Normal 5 2 4 2 2 5 3" xfId="6459" xr:uid="{00000000-0005-0000-0000-0000E4180000}"/>
    <cellStyle name="Normal 5 2 4 2 2 5 3 2" xfId="14909" xr:uid="{F1AA5817-7BA0-445F-8F7B-43EEDE53EB85}"/>
    <cellStyle name="Normal 5 2 4 2 2 5 4" xfId="10691" xr:uid="{8273D79A-5177-4A3B-96C5-62338870CF71}"/>
    <cellStyle name="Normal 5 2 4 2 2 6" xfId="2589" xr:uid="{00000000-0005-0000-0000-0000E5180000}"/>
    <cellStyle name="Normal 5 2 4 2 2 6 2" xfId="6872" xr:uid="{00000000-0005-0000-0000-0000E6180000}"/>
    <cellStyle name="Normal 5 2 4 2 2 6 2 2" xfId="15322" xr:uid="{E84D455F-A0D0-43E9-A357-4CF138A82AC3}"/>
    <cellStyle name="Normal 5 2 4 2 2 6 3" xfId="11104" xr:uid="{12388B3D-3942-4385-810F-AAE1D370A590}"/>
    <cellStyle name="Normal 5 2 4 2 2 7" xfId="4807" xr:uid="{00000000-0005-0000-0000-0000E7180000}"/>
    <cellStyle name="Normal 5 2 4 2 2 7 2" xfId="13257" xr:uid="{E9460D13-C820-43BA-8762-6DFEC90A94A5}"/>
    <cellStyle name="Normal 5 2 4 2 2 8" xfId="9039" xr:uid="{79066034-64AD-4A5F-AD08-50D84B1D3785}"/>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15814" xr:uid="{583D395C-5298-446E-B96A-CDD78F4D4A6C}"/>
    <cellStyle name="Normal 5 2 4 2 3 2 3" xfId="11596" xr:uid="{9EE047F4-7C43-4A9A-8459-C021473A01BD}"/>
    <cellStyle name="Normal 5 2 4 2 3 3" xfId="5219" xr:uid="{00000000-0005-0000-0000-0000EB180000}"/>
    <cellStyle name="Normal 5 2 4 2 3 3 2" xfId="13669" xr:uid="{2035FE78-B36F-484D-BD1B-BF91963521FB}"/>
    <cellStyle name="Normal 5 2 4 2 3 4" xfId="9451" xr:uid="{BF2C3A89-DE20-4775-B158-EA2C8CD241E4}"/>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16227" xr:uid="{37797B21-2445-4138-957E-7F6C8A550E90}"/>
    <cellStyle name="Normal 5 2 4 2 4 2 3" xfId="12009" xr:uid="{1A813CDF-B7DD-4D61-B670-0882CF2EE9C8}"/>
    <cellStyle name="Normal 5 2 4 2 4 3" xfId="5632" xr:uid="{00000000-0005-0000-0000-0000EF180000}"/>
    <cellStyle name="Normal 5 2 4 2 4 3 2" xfId="14082" xr:uid="{549ADF41-D7D7-4F0F-A985-059B997A1DA7}"/>
    <cellStyle name="Normal 5 2 4 2 4 4" xfId="9864" xr:uid="{98E330E9-1B95-411E-A6DC-5E0558DF9C45}"/>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16640" xr:uid="{4CAD05AB-CE33-447D-8E3C-B1B0AE251F11}"/>
    <cellStyle name="Normal 5 2 4 2 5 2 3" xfId="12422" xr:uid="{45F9AB73-E20D-4D43-8B4E-CF5D417814A7}"/>
    <cellStyle name="Normal 5 2 4 2 5 3" xfId="6045" xr:uid="{00000000-0005-0000-0000-0000F3180000}"/>
    <cellStyle name="Normal 5 2 4 2 5 3 2" xfId="14495" xr:uid="{7672EECE-02F2-466A-8D14-1D816B04B55D}"/>
    <cellStyle name="Normal 5 2 4 2 5 4" xfId="10277" xr:uid="{291924D1-E059-4F3B-BCFF-4B53431BE6A3}"/>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17053" xr:uid="{53F16B40-A538-44FB-AEC7-B757D4836E49}"/>
    <cellStyle name="Normal 5 2 4 2 6 2 3" xfId="12835" xr:uid="{72F15FB6-2CD1-4E80-AB9F-D9D42BCC9A29}"/>
    <cellStyle name="Normal 5 2 4 2 6 3" xfId="6458" xr:uid="{00000000-0005-0000-0000-0000F7180000}"/>
    <cellStyle name="Normal 5 2 4 2 6 3 2" xfId="14908" xr:uid="{174DA985-9CE1-4E5B-998E-D7C6AE8B5649}"/>
    <cellStyle name="Normal 5 2 4 2 6 4" xfId="10690" xr:uid="{D0CF1F11-280D-4EF3-B45F-7E2F9BC87D18}"/>
    <cellStyle name="Normal 5 2 4 2 7" xfId="2588" xr:uid="{00000000-0005-0000-0000-0000F8180000}"/>
    <cellStyle name="Normal 5 2 4 2 7 2" xfId="6871" xr:uid="{00000000-0005-0000-0000-0000F9180000}"/>
    <cellStyle name="Normal 5 2 4 2 7 2 2" xfId="15321" xr:uid="{323306C4-5862-4E55-B6BB-501BD9A08BCD}"/>
    <cellStyle name="Normal 5 2 4 2 7 3" xfId="11103" xr:uid="{42FA387E-18F6-4892-8456-06E4D824AFDB}"/>
    <cellStyle name="Normal 5 2 4 2 8" xfId="4806" xr:uid="{00000000-0005-0000-0000-0000FA180000}"/>
    <cellStyle name="Normal 5 2 4 2 8 2" xfId="13256" xr:uid="{C9703C2F-A9BD-4130-8CE7-B3CC6A9F50CE}"/>
    <cellStyle name="Normal 5 2 4 2 9" xfId="9038" xr:uid="{CFC53823-E41E-41C0-8BE7-613DD9A6F177}"/>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15816" xr:uid="{2C52A65A-9A8C-46B4-B0A3-613EC7561627}"/>
    <cellStyle name="Normal 5 2 4 3 2 2 3" xfId="11598" xr:uid="{8BF482A4-12D2-4F06-9219-7279DAE8AB36}"/>
    <cellStyle name="Normal 5 2 4 3 2 3" xfId="5221" xr:uid="{00000000-0005-0000-0000-0000FF180000}"/>
    <cellStyle name="Normal 5 2 4 3 2 3 2" xfId="13671" xr:uid="{C00C688D-290A-4E69-AB7E-E01153DCCCE7}"/>
    <cellStyle name="Normal 5 2 4 3 2 4" xfId="9453" xr:uid="{6017DC9F-C9EE-44CD-8B7F-8633C5AA50B5}"/>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16229" xr:uid="{C18D2B04-C9EA-46D5-8A70-C79F0430ACE2}"/>
    <cellStyle name="Normal 5 2 4 3 3 2 3" xfId="12011" xr:uid="{471BBCB3-F1CD-457E-98A5-54A01714B9E6}"/>
    <cellStyle name="Normal 5 2 4 3 3 3" xfId="5634" xr:uid="{00000000-0005-0000-0000-000003190000}"/>
    <cellStyle name="Normal 5 2 4 3 3 3 2" xfId="14084" xr:uid="{38DE24A7-6913-4D2B-8783-AA52216CEA93}"/>
    <cellStyle name="Normal 5 2 4 3 3 4" xfId="9866" xr:uid="{9A20D661-1553-4955-A121-39202B7059F7}"/>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16642" xr:uid="{D6F6AE5D-77A4-4BBD-B61B-DE4851B6A660}"/>
    <cellStyle name="Normal 5 2 4 3 4 2 3" xfId="12424" xr:uid="{0432E955-9F34-422F-8F78-1B9160A09F8B}"/>
    <cellStyle name="Normal 5 2 4 3 4 3" xfId="6047" xr:uid="{00000000-0005-0000-0000-000007190000}"/>
    <cellStyle name="Normal 5 2 4 3 4 3 2" xfId="14497" xr:uid="{A9C8C051-7E56-4835-B2E4-A7F878E4CB1F}"/>
    <cellStyle name="Normal 5 2 4 3 4 4" xfId="10279" xr:uid="{AB24A3F5-6DE9-4FCB-BC3F-C70F897D1227}"/>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17055" xr:uid="{C2D3FAB1-2969-4A72-9FBC-68987DE8DF25}"/>
    <cellStyle name="Normal 5 2 4 3 5 2 3" xfId="12837" xr:uid="{FC63C1A9-7B6F-47D0-BE0B-226267C4F6D5}"/>
    <cellStyle name="Normal 5 2 4 3 5 3" xfId="6460" xr:uid="{00000000-0005-0000-0000-00000B190000}"/>
    <cellStyle name="Normal 5 2 4 3 5 3 2" xfId="14910" xr:uid="{2EF02DE9-413F-4ECF-B1E3-4C1865CC2C26}"/>
    <cellStyle name="Normal 5 2 4 3 5 4" xfId="10692" xr:uid="{F38563BB-B05D-4533-B0CC-DF4A53727FEE}"/>
    <cellStyle name="Normal 5 2 4 3 6" xfId="2590" xr:uid="{00000000-0005-0000-0000-00000C190000}"/>
    <cellStyle name="Normal 5 2 4 3 6 2" xfId="6873" xr:uid="{00000000-0005-0000-0000-00000D190000}"/>
    <cellStyle name="Normal 5 2 4 3 6 2 2" xfId="15323" xr:uid="{6AA0A6BD-C1AD-44B0-A3E5-EF132A212752}"/>
    <cellStyle name="Normal 5 2 4 3 6 3" xfId="11105" xr:uid="{A60A5088-1D6B-4E85-B580-2DE7FB3C5D7B}"/>
    <cellStyle name="Normal 5 2 4 3 7" xfId="4808" xr:uid="{00000000-0005-0000-0000-00000E190000}"/>
    <cellStyle name="Normal 5 2 4 3 7 2" xfId="13258" xr:uid="{F3A45D42-DFD9-41DC-B8C2-F7CEC015C935}"/>
    <cellStyle name="Normal 5 2 4 3 8" xfId="9040" xr:uid="{C55154A2-5B1A-4B85-96FE-BA87E9767EA1}"/>
    <cellStyle name="Normal 5 2 4 4" xfId="906" xr:uid="{00000000-0005-0000-0000-00000F190000}"/>
    <cellStyle name="Normal 5 2 4 4 2" xfId="3141" xr:uid="{00000000-0005-0000-0000-000010190000}"/>
    <cellStyle name="Normal 5 2 4 4 2 2" xfId="7363" xr:uid="{00000000-0005-0000-0000-000011190000}"/>
    <cellStyle name="Normal 5 2 4 4 2 2 2" xfId="15813" xr:uid="{F0FBFC39-C729-4D36-98BA-63058428AE58}"/>
    <cellStyle name="Normal 5 2 4 4 2 3" xfId="11595" xr:uid="{2FC94EF2-785A-4096-BA2B-AEB5FD7EE217}"/>
    <cellStyle name="Normal 5 2 4 4 3" xfId="5218" xr:uid="{00000000-0005-0000-0000-000012190000}"/>
    <cellStyle name="Normal 5 2 4 4 3 2" xfId="13668" xr:uid="{758DEEA6-CEAF-4A37-972F-3BD3781DFD68}"/>
    <cellStyle name="Normal 5 2 4 4 4" xfId="9450" xr:uid="{BF563381-1CD5-470B-8D75-D034D01612AC}"/>
    <cellStyle name="Normal 5 2 4 5" xfId="1324" xr:uid="{00000000-0005-0000-0000-000013190000}"/>
    <cellStyle name="Normal 5 2 4 5 2" xfId="3554" xr:uid="{00000000-0005-0000-0000-000014190000}"/>
    <cellStyle name="Normal 5 2 4 5 2 2" xfId="7776" xr:uid="{00000000-0005-0000-0000-000015190000}"/>
    <cellStyle name="Normal 5 2 4 5 2 2 2" xfId="16226" xr:uid="{C38F9AC8-3A84-4D2D-974B-5362A752F633}"/>
    <cellStyle name="Normal 5 2 4 5 2 3" xfId="12008" xr:uid="{3071FF1C-6D0E-4EAA-9F30-1C8BD37489C1}"/>
    <cellStyle name="Normal 5 2 4 5 3" xfId="5631" xr:uid="{00000000-0005-0000-0000-000016190000}"/>
    <cellStyle name="Normal 5 2 4 5 3 2" xfId="14081" xr:uid="{7F5311A7-1C93-463B-84DD-29019DC4E935}"/>
    <cellStyle name="Normal 5 2 4 5 4" xfId="9863" xr:uid="{1270A76D-B159-4317-ADD8-DFABC8702B3E}"/>
    <cellStyle name="Normal 5 2 4 6" xfId="1737" xr:uid="{00000000-0005-0000-0000-000017190000}"/>
    <cellStyle name="Normal 5 2 4 6 2" xfId="3967" xr:uid="{00000000-0005-0000-0000-000018190000}"/>
    <cellStyle name="Normal 5 2 4 6 2 2" xfId="8189" xr:uid="{00000000-0005-0000-0000-000019190000}"/>
    <cellStyle name="Normal 5 2 4 6 2 2 2" xfId="16639" xr:uid="{552A74F2-D060-4FA8-B9F9-C2A4C3F556AF}"/>
    <cellStyle name="Normal 5 2 4 6 2 3" xfId="12421" xr:uid="{5770E144-41C8-45CF-A078-25AF9948C70F}"/>
    <cellStyle name="Normal 5 2 4 6 3" xfId="6044" xr:uid="{00000000-0005-0000-0000-00001A190000}"/>
    <cellStyle name="Normal 5 2 4 6 3 2" xfId="14494" xr:uid="{9FBCCAAA-6743-4B15-A268-A33FB3F5AC70}"/>
    <cellStyle name="Normal 5 2 4 6 4" xfId="10276" xr:uid="{8039152B-AC65-4941-89BB-4735B1DA9A1A}"/>
    <cellStyle name="Normal 5 2 4 7" xfId="2151" xr:uid="{00000000-0005-0000-0000-00001B190000}"/>
    <cellStyle name="Normal 5 2 4 7 2" xfId="4380" xr:uid="{00000000-0005-0000-0000-00001C190000}"/>
    <cellStyle name="Normal 5 2 4 7 2 2" xfId="8602" xr:uid="{00000000-0005-0000-0000-00001D190000}"/>
    <cellStyle name="Normal 5 2 4 7 2 2 2" xfId="17052" xr:uid="{C5E8E40E-7F2F-4319-B0BD-D06EBA581AA3}"/>
    <cellStyle name="Normal 5 2 4 7 2 3" xfId="12834" xr:uid="{9BA3E5E1-B964-45E7-8FCC-F3E1F3C8A4E4}"/>
    <cellStyle name="Normal 5 2 4 7 3" xfId="6457" xr:uid="{00000000-0005-0000-0000-00001E190000}"/>
    <cellStyle name="Normal 5 2 4 7 3 2" xfId="14907" xr:uid="{C5707876-2065-44EB-BFD1-55E91038470F}"/>
    <cellStyle name="Normal 5 2 4 7 4" xfId="10689" xr:uid="{1282571A-DD1C-4954-9413-23C61E6A98C4}"/>
    <cellStyle name="Normal 5 2 4 8" xfId="2587" xr:uid="{00000000-0005-0000-0000-00001F190000}"/>
    <cellStyle name="Normal 5 2 4 8 2" xfId="6870" xr:uid="{00000000-0005-0000-0000-000020190000}"/>
    <cellStyle name="Normal 5 2 4 8 2 2" xfId="15320" xr:uid="{68D7CBE2-4794-4098-A83F-E1BE697C3F22}"/>
    <cellStyle name="Normal 5 2 4 8 3" xfId="11102" xr:uid="{38E3F7FB-8F33-4EF9-B45A-F573F2159A72}"/>
    <cellStyle name="Normal 5 2 4 9" xfId="4805" xr:uid="{00000000-0005-0000-0000-000021190000}"/>
    <cellStyle name="Normal 5 2 4 9 2" xfId="13255" xr:uid="{FB82BCFE-B5A2-4E5A-847F-61DBB644266F}"/>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15818" xr:uid="{7AEBF45A-5A9B-4DFD-8849-F2A9DA1EED9B}"/>
    <cellStyle name="Normal 5 2 5 2 2 2 3" xfId="11600" xr:uid="{21D53A3D-4734-4EB1-86D5-6F6FC573103E}"/>
    <cellStyle name="Normal 5 2 5 2 2 3" xfId="5223" xr:uid="{00000000-0005-0000-0000-000027190000}"/>
    <cellStyle name="Normal 5 2 5 2 2 3 2" xfId="13673" xr:uid="{3420E9E8-C6CA-4E55-9C9E-76EF312C0CE5}"/>
    <cellStyle name="Normal 5 2 5 2 2 4" xfId="9455" xr:uid="{4E167B87-009B-4FA7-9D80-A98C5D093625}"/>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16231" xr:uid="{6937FE22-FA0F-43FC-86A7-4E60BFCB808D}"/>
    <cellStyle name="Normal 5 2 5 2 3 2 3" xfId="12013" xr:uid="{20674D57-E1B7-489F-A6E8-E45ACE9D9C90}"/>
    <cellStyle name="Normal 5 2 5 2 3 3" xfId="5636" xr:uid="{00000000-0005-0000-0000-00002B190000}"/>
    <cellStyle name="Normal 5 2 5 2 3 3 2" xfId="14086" xr:uid="{E47CACEA-80B1-474F-8DD6-F8AF654C8E12}"/>
    <cellStyle name="Normal 5 2 5 2 3 4" xfId="9868" xr:uid="{A1EA1AC4-7E80-42E6-A72A-60C98EDD7643}"/>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16644" xr:uid="{B5BA56EE-F0CC-4A87-90A5-86E68E60075F}"/>
    <cellStyle name="Normal 5 2 5 2 4 2 3" xfId="12426" xr:uid="{7EDC4DDD-8666-4423-B44F-2308E055784F}"/>
    <cellStyle name="Normal 5 2 5 2 4 3" xfId="6049" xr:uid="{00000000-0005-0000-0000-00002F190000}"/>
    <cellStyle name="Normal 5 2 5 2 4 3 2" xfId="14499" xr:uid="{B4FAA111-6800-4409-8841-7B2D29E91BD2}"/>
    <cellStyle name="Normal 5 2 5 2 4 4" xfId="10281" xr:uid="{72A609C8-9C81-4DAE-8C5C-4B881A04CDD9}"/>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17057" xr:uid="{E47FB8DF-482D-46D3-A6E5-A9A7AD2A3A09}"/>
    <cellStyle name="Normal 5 2 5 2 5 2 3" xfId="12839" xr:uid="{95808870-3C0A-42A4-89BA-E3F30EEC9A0F}"/>
    <cellStyle name="Normal 5 2 5 2 5 3" xfId="6462" xr:uid="{00000000-0005-0000-0000-000033190000}"/>
    <cellStyle name="Normal 5 2 5 2 5 3 2" xfId="14912" xr:uid="{B06CA99F-9EC9-4D4E-9CA7-BBA69B6651F8}"/>
    <cellStyle name="Normal 5 2 5 2 5 4" xfId="10694" xr:uid="{F0C1BB64-BD01-4760-9264-5B25D26677D6}"/>
    <cellStyle name="Normal 5 2 5 2 6" xfId="2592" xr:uid="{00000000-0005-0000-0000-000034190000}"/>
    <cellStyle name="Normal 5 2 5 2 6 2" xfId="6875" xr:uid="{00000000-0005-0000-0000-000035190000}"/>
    <cellStyle name="Normal 5 2 5 2 6 2 2" xfId="15325" xr:uid="{91D0AF64-C3AE-4C6F-9F33-1666AC0F0DAE}"/>
    <cellStyle name="Normal 5 2 5 2 6 3" xfId="11107" xr:uid="{A12038F2-05F6-4B91-BA9F-08BEE19C01AE}"/>
    <cellStyle name="Normal 5 2 5 2 7" xfId="4810" xr:uid="{00000000-0005-0000-0000-000036190000}"/>
    <cellStyle name="Normal 5 2 5 2 7 2" xfId="13260" xr:uid="{49FF28C4-28E7-473F-BD0B-40232AFA33E1}"/>
    <cellStyle name="Normal 5 2 5 2 8" xfId="9042" xr:uid="{3B17DE16-725B-4EE4-9BA8-FBE277E84055}"/>
    <cellStyle name="Normal 5 2 5 3" xfId="910" xr:uid="{00000000-0005-0000-0000-000037190000}"/>
    <cellStyle name="Normal 5 2 5 3 2" xfId="3145" xr:uid="{00000000-0005-0000-0000-000038190000}"/>
    <cellStyle name="Normal 5 2 5 3 2 2" xfId="7367" xr:uid="{00000000-0005-0000-0000-000039190000}"/>
    <cellStyle name="Normal 5 2 5 3 2 2 2" xfId="15817" xr:uid="{2123A202-A40A-4685-AC8C-283069567346}"/>
    <cellStyle name="Normal 5 2 5 3 2 3" xfId="11599" xr:uid="{B1F6157E-CFDF-4C1B-8809-95F3118D40B5}"/>
    <cellStyle name="Normal 5 2 5 3 3" xfId="5222" xr:uid="{00000000-0005-0000-0000-00003A190000}"/>
    <cellStyle name="Normal 5 2 5 3 3 2" xfId="13672" xr:uid="{69958550-4D71-4326-985F-16010B49B2AD}"/>
    <cellStyle name="Normal 5 2 5 3 4" xfId="9454" xr:uid="{093D3988-D989-4FE3-9FC3-A62EE176F88D}"/>
    <cellStyle name="Normal 5 2 5 4" xfId="1328" xr:uid="{00000000-0005-0000-0000-00003B190000}"/>
    <cellStyle name="Normal 5 2 5 4 2" xfId="3558" xr:uid="{00000000-0005-0000-0000-00003C190000}"/>
    <cellStyle name="Normal 5 2 5 4 2 2" xfId="7780" xr:uid="{00000000-0005-0000-0000-00003D190000}"/>
    <cellStyle name="Normal 5 2 5 4 2 2 2" xfId="16230" xr:uid="{5A34C3A4-033C-48F9-90EF-ECADFA0F79F8}"/>
    <cellStyle name="Normal 5 2 5 4 2 3" xfId="12012" xr:uid="{F8CBD0F9-F132-4576-83D0-6911B8FD2401}"/>
    <cellStyle name="Normal 5 2 5 4 3" xfId="5635" xr:uid="{00000000-0005-0000-0000-00003E190000}"/>
    <cellStyle name="Normal 5 2 5 4 3 2" xfId="14085" xr:uid="{DEBF0830-BACC-4349-AE94-8406A2743C07}"/>
    <cellStyle name="Normal 5 2 5 4 4" xfId="9867" xr:uid="{0BABA657-6C04-4E18-A116-D680CD3A5E75}"/>
    <cellStyle name="Normal 5 2 5 5" xfId="1741" xr:uid="{00000000-0005-0000-0000-00003F190000}"/>
    <cellStyle name="Normal 5 2 5 5 2" xfId="3971" xr:uid="{00000000-0005-0000-0000-000040190000}"/>
    <cellStyle name="Normal 5 2 5 5 2 2" xfId="8193" xr:uid="{00000000-0005-0000-0000-000041190000}"/>
    <cellStyle name="Normal 5 2 5 5 2 2 2" xfId="16643" xr:uid="{10F58128-E71D-4784-9EA7-126351170794}"/>
    <cellStyle name="Normal 5 2 5 5 2 3" xfId="12425" xr:uid="{47F8F22C-67A3-413B-8A27-BF19FBF8A24C}"/>
    <cellStyle name="Normal 5 2 5 5 3" xfId="6048" xr:uid="{00000000-0005-0000-0000-000042190000}"/>
    <cellStyle name="Normal 5 2 5 5 3 2" xfId="14498" xr:uid="{DE349A06-A321-4C21-B370-8E69760606A8}"/>
    <cellStyle name="Normal 5 2 5 5 4" xfId="10280" xr:uid="{93C29694-9B3D-4E2C-B082-B5CEF3953B66}"/>
    <cellStyle name="Normal 5 2 5 6" xfId="2155" xr:uid="{00000000-0005-0000-0000-000043190000}"/>
    <cellStyle name="Normal 5 2 5 6 2" xfId="4384" xr:uid="{00000000-0005-0000-0000-000044190000}"/>
    <cellStyle name="Normal 5 2 5 6 2 2" xfId="8606" xr:uid="{00000000-0005-0000-0000-000045190000}"/>
    <cellStyle name="Normal 5 2 5 6 2 2 2" xfId="17056" xr:uid="{82CF0F6D-0171-4490-9DCC-25908479ED9D}"/>
    <cellStyle name="Normal 5 2 5 6 2 3" xfId="12838" xr:uid="{9AFE27BE-8920-4652-8E92-FD6CD879DA3E}"/>
    <cellStyle name="Normal 5 2 5 6 3" xfId="6461" xr:uid="{00000000-0005-0000-0000-000046190000}"/>
    <cellStyle name="Normal 5 2 5 6 3 2" xfId="14911" xr:uid="{2B58F528-60DF-483E-9C41-1BBB6DCE1A0E}"/>
    <cellStyle name="Normal 5 2 5 6 4" xfId="10693" xr:uid="{3DCE0041-0EED-41D7-860E-71BA1EEAD274}"/>
    <cellStyle name="Normal 5 2 5 7" xfId="2591" xr:uid="{00000000-0005-0000-0000-000047190000}"/>
    <cellStyle name="Normal 5 2 5 7 2" xfId="6874" xr:uid="{00000000-0005-0000-0000-000048190000}"/>
    <cellStyle name="Normal 5 2 5 7 2 2" xfId="15324" xr:uid="{3BE175F4-18AD-4464-B791-2BA91A0D0E2D}"/>
    <cellStyle name="Normal 5 2 5 7 3" xfId="11106" xr:uid="{393FCDDB-F0ED-42CB-B4FF-BE371E5DEFD6}"/>
    <cellStyle name="Normal 5 2 5 8" xfId="4809" xr:uid="{00000000-0005-0000-0000-000049190000}"/>
    <cellStyle name="Normal 5 2 5 8 2" xfId="13259" xr:uid="{E9E8387A-0964-48E1-8D22-7ADA414ABFFC}"/>
    <cellStyle name="Normal 5 2 5 9" xfId="9041" xr:uid="{BE703BEE-AEDD-4222-A956-6EA97CB8EAD5}"/>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2 2 2" xfId="15819" xr:uid="{F623A7CF-9CAB-4C76-8535-34E9D9F30458}"/>
    <cellStyle name="Normal 5 2 6 2 2 3" xfId="11601" xr:uid="{9F719A2F-E5E4-4D5A-BEC8-81EC9D40085E}"/>
    <cellStyle name="Normal 5 2 6 2 3" xfId="5224" xr:uid="{00000000-0005-0000-0000-00004E190000}"/>
    <cellStyle name="Normal 5 2 6 2 3 2" xfId="13674" xr:uid="{FF8818AB-D965-414A-ACDC-921589C3DF9C}"/>
    <cellStyle name="Normal 5 2 6 2 4" xfId="9456" xr:uid="{09CB85C7-4C6B-4906-8BF0-205150F7F433}"/>
    <cellStyle name="Normal 5 2 6 3" xfId="1330" xr:uid="{00000000-0005-0000-0000-00004F190000}"/>
    <cellStyle name="Normal 5 2 6 3 2" xfId="3560" xr:uid="{00000000-0005-0000-0000-000050190000}"/>
    <cellStyle name="Normal 5 2 6 3 2 2" xfId="7782" xr:uid="{00000000-0005-0000-0000-000051190000}"/>
    <cellStyle name="Normal 5 2 6 3 2 2 2" xfId="16232" xr:uid="{D9F53231-11FE-45B7-BE08-285443F95C22}"/>
    <cellStyle name="Normal 5 2 6 3 2 3" xfId="12014" xr:uid="{0BBDB698-FBB2-4FDA-9C46-A8B0F01C1857}"/>
    <cellStyle name="Normal 5 2 6 3 3" xfId="5637" xr:uid="{00000000-0005-0000-0000-000052190000}"/>
    <cellStyle name="Normal 5 2 6 3 3 2" xfId="14087" xr:uid="{4188BDB0-A1E4-4434-957A-6997E112A8AE}"/>
    <cellStyle name="Normal 5 2 6 3 4" xfId="9869" xr:uid="{DB4A2826-07DC-48A8-AAD3-B70D858EFEEA}"/>
    <cellStyle name="Normal 5 2 6 4" xfId="1743" xr:uid="{00000000-0005-0000-0000-000053190000}"/>
    <cellStyle name="Normal 5 2 6 4 2" xfId="3973" xr:uid="{00000000-0005-0000-0000-000054190000}"/>
    <cellStyle name="Normal 5 2 6 4 2 2" xfId="8195" xr:uid="{00000000-0005-0000-0000-000055190000}"/>
    <cellStyle name="Normal 5 2 6 4 2 2 2" xfId="16645" xr:uid="{DD2EF2E4-AC27-4F3B-A187-4AF544694567}"/>
    <cellStyle name="Normal 5 2 6 4 2 3" xfId="12427" xr:uid="{F1490275-AE25-4799-AC7E-730934B7D746}"/>
    <cellStyle name="Normal 5 2 6 4 3" xfId="6050" xr:uid="{00000000-0005-0000-0000-000056190000}"/>
    <cellStyle name="Normal 5 2 6 4 3 2" xfId="14500" xr:uid="{161ECD5F-F511-4DAD-8109-6909DF9D35A2}"/>
    <cellStyle name="Normal 5 2 6 4 4" xfId="10282" xr:uid="{FD2E20CE-ABBA-4C53-A27D-5A74A213A788}"/>
    <cellStyle name="Normal 5 2 6 5" xfId="2157" xr:uid="{00000000-0005-0000-0000-000057190000}"/>
    <cellStyle name="Normal 5 2 6 5 2" xfId="4386" xr:uid="{00000000-0005-0000-0000-000058190000}"/>
    <cellStyle name="Normal 5 2 6 5 2 2" xfId="8608" xr:uid="{00000000-0005-0000-0000-000059190000}"/>
    <cellStyle name="Normal 5 2 6 5 2 2 2" xfId="17058" xr:uid="{CF7081A1-B187-4F4F-B4C5-0468084A8260}"/>
    <cellStyle name="Normal 5 2 6 5 2 3" xfId="12840" xr:uid="{9C418A1A-10E4-4581-B984-9A18E62362AB}"/>
    <cellStyle name="Normal 5 2 6 5 3" xfId="6463" xr:uid="{00000000-0005-0000-0000-00005A190000}"/>
    <cellStyle name="Normal 5 2 6 5 3 2" xfId="14913" xr:uid="{11A65F09-3C8E-433F-AC1E-0A99DB4168B2}"/>
    <cellStyle name="Normal 5 2 6 5 4" xfId="10695" xr:uid="{2F37C903-EEF7-476C-BE76-A62A4FF306A1}"/>
    <cellStyle name="Normal 5 2 6 6" xfId="2593" xr:uid="{00000000-0005-0000-0000-00005B190000}"/>
    <cellStyle name="Normal 5 2 6 6 2" xfId="6876" xr:uid="{00000000-0005-0000-0000-00005C190000}"/>
    <cellStyle name="Normal 5 2 6 6 2 2" xfId="15326" xr:uid="{143AD790-BEB0-42B2-ACE2-071753792482}"/>
    <cellStyle name="Normal 5 2 6 6 3" xfId="11108" xr:uid="{E8FBEDF7-2175-4789-B3E8-9D9EF5C222EE}"/>
    <cellStyle name="Normal 5 2 6 7" xfId="4811" xr:uid="{00000000-0005-0000-0000-00005D190000}"/>
    <cellStyle name="Normal 5 2 6 7 2" xfId="13261" xr:uid="{55E07D95-8D7D-4D32-80AE-271864EF0075}"/>
    <cellStyle name="Normal 5 2 6 8" xfId="9043" xr:uid="{415F5BF4-E123-40C9-BE27-F981A27E1A7D}"/>
    <cellStyle name="Normal 5 2 7" xfId="881" xr:uid="{00000000-0005-0000-0000-00005E190000}"/>
    <cellStyle name="Normal 5 2 7 2" xfId="3116" xr:uid="{00000000-0005-0000-0000-00005F190000}"/>
    <cellStyle name="Normal 5 2 7 2 2" xfId="7338" xr:uid="{00000000-0005-0000-0000-000060190000}"/>
    <cellStyle name="Normal 5 2 7 2 2 2" xfId="15788" xr:uid="{C27E64A7-1A12-4C43-AF8E-C2C94E204AAA}"/>
    <cellStyle name="Normal 5 2 7 2 3" xfId="11570" xr:uid="{0EE005D4-C01F-4551-B431-468E35FF35C9}"/>
    <cellStyle name="Normal 5 2 7 3" xfId="5193" xr:uid="{00000000-0005-0000-0000-000061190000}"/>
    <cellStyle name="Normal 5 2 7 3 2" xfId="13643" xr:uid="{007AAD4C-8951-454E-B62A-DB63F4BB8555}"/>
    <cellStyle name="Normal 5 2 7 4" xfId="9425" xr:uid="{FA2284BF-0E58-4FAB-BCA7-262CA09E87D1}"/>
    <cellStyle name="Normal 5 2 8" xfId="1299" xr:uid="{00000000-0005-0000-0000-000062190000}"/>
    <cellStyle name="Normal 5 2 8 2" xfId="3529" xr:uid="{00000000-0005-0000-0000-000063190000}"/>
    <cellStyle name="Normal 5 2 8 2 2" xfId="7751" xr:uid="{00000000-0005-0000-0000-000064190000}"/>
    <cellStyle name="Normal 5 2 8 2 2 2" xfId="16201" xr:uid="{71BCCF72-0F4D-460E-9B8A-1E8ABF0578E2}"/>
    <cellStyle name="Normal 5 2 8 2 3" xfId="11983" xr:uid="{5530F2B3-A98F-44FA-8AD7-C788DE4D7D39}"/>
    <cellStyle name="Normal 5 2 8 3" xfId="5606" xr:uid="{00000000-0005-0000-0000-000065190000}"/>
    <cellStyle name="Normal 5 2 8 3 2" xfId="14056" xr:uid="{AD9DC448-6565-439C-A69D-B02EF9E03D64}"/>
    <cellStyle name="Normal 5 2 8 4" xfId="9838" xr:uid="{A482495B-A0D1-4A9F-93C8-B186BA964F53}"/>
    <cellStyle name="Normal 5 2 9" xfId="1712" xr:uid="{00000000-0005-0000-0000-000066190000}"/>
    <cellStyle name="Normal 5 2 9 2" xfId="3942" xr:uid="{00000000-0005-0000-0000-000067190000}"/>
    <cellStyle name="Normal 5 2 9 2 2" xfId="8164" xr:uid="{00000000-0005-0000-0000-000068190000}"/>
    <cellStyle name="Normal 5 2 9 2 2 2" xfId="16614" xr:uid="{C8954A9A-E034-4FF2-A74F-A6AA7DCC3D76}"/>
    <cellStyle name="Normal 5 2 9 2 3" xfId="12396" xr:uid="{2E9366CA-051A-4B0A-ACD7-B0F1BD07C68D}"/>
    <cellStyle name="Normal 5 2 9 3" xfId="6019" xr:uid="{00000000-0005-0000-0000-000069190000}"/>
    <cellStyle name="Normal 5 2 9 3 2" xfId="14469" xr:uid="{296D4C65-19C9-4F93-AAE8-E20DEA684B1D}"/>
    <cellStyle name="Normal 5 2 9 4" xfId="10251" xr:uid="{7C64414A-4F1E-45BF-819F-4422694423D2}"/>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17059" xr:uid="{14CB0D5F-73D5-49A6-AA9F-6ED4464BA9AA}"/>
    <cellStyle name="Normal 5 3 10 2 3" xfId="12841" xr:uid="{331A14BA-4077-4603-9F67-640DC5386604}"/>
    <cellStyle name="Normal 5 3 10 3" xfId="6464" xr:uid="{00000000-0005-0000-0000-00006E190000}"/>
    <cellStyle name="Normal 5 3 10 3 2" xfId="14914" xr:uid="{EC9D094A-CF38-4FEC-A231-0BA097240391}"/>
    <cellStyle name="Normal 5 3 10 4" xfId="10696" xr:uid="{44479C7E-357D-449F-9467-7FCD9E0B163E}"/>
    <cellStyle name="Normal 5 3 11" xfId="2594" xr:uid="{00000000-0005-0000-0000-00006F190000}"/>
    <cellStyle name="Normal 5 3 11 2" xfId="6877" xr:uid="{00000000-0005-0000-0000-000070190000}"/>
    <cellStyle name="Normal 5 3 11 2 2" xfId="15327" xr:uid="{2EF1240D-D89C-42FB-B45A-0AE54997B94D}"/>
    <cellStyle name="Normal 5 3 11 3" xfId="11109" xr:uid="{0F27071B-2784-4B3C-B854-847E7E12760B}"/>
    <cellStyle name="Normal 5 3 12" xfId="4812" xr:uid="{00000000-0005-0000-0000-000071190000}"/>
    <cellStyle name="Normal 5 3 12 2" xfId="13262" xr:uid="{AB89F143-ED52-4F60-BC0B-FBE3D59CC317}"/>
    <cellStyle name="Normal 5 3 13" xfId="9044" xr:uid="{6383B58A-A971-4EC5-AF8D-E35BDFA4B58C}"/>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13263" xr:uid="{5789E78B-A2B5-48A1-8C7A-5AB8FD1549D2}"/>
    <cellStyle name="Normal 5 3 3 11" xfId="9045" xr:uid="{81F28EFE-5B0B-4336-9617-0EB9FB9A3825}"/>
    <cellStyle name="Normal 5 3 3 2" xfId="442" xr:uid="{00000000-0005-0000-0000-000076190000}"/>
    <cellStyle name="Normal 5 3 3 2 10" xfId="9046" xr:uid="{D0A2DE6E-C51D-4F1F-92B0-0DEB8C69F6DA}"/>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15824" xr:uid="{8898CB56-9D4B-47ED-B2CC-B53F4997DA3A}"/>
    <cellStyle name="Normal 5 3 3 2 2 2 2 2 3" xfId="11606" xr:uid="{DA745434-3EFE-4DC4-B3F4-FAD02BE9DDEC}"/>
    <cellStyle name="Normal 5 3 3 2 2 2 2 3" xfId="5229" xr:uid="{00000000-0005-0000-0000-00007C190000}"/>
    <cellStyle name="Normal 5 3 3 2 2 2 2 3 2" xfId="13679" xr:uid="{6130F673-8C15-4945-974D-E40F478DCBF9}"/>
    <cellStyle name="Normal 5 3 3 2 2 2 2 4" xfId="9461" xr:uid="{9A0D8B89-BA61-4924-BA3C-9FFE08598157}"/>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16237" xr:uid="{C8B2E785-DE29-4B12-B15D-3A517935089C}"/>
    <cellStyle name="Normal 5 3 3 2 2 2 3 2 3" xfId="12019" xr:uid="{64531392-4002-4CD6-A7CA-26E5DC9B1E18}"/>
    <cellStyle name="Normal 5 3 3 2 2 2 3 3" xfId="5642" xr:uid="{00000000-0005-0000-0000-000080190000}"/>
    <cellStyle name="Normal 5 3 3 2 2 2 3 3 2" xfId="14092" xr:uid="{18CEB84E-DE77-45C3-8410-E40E963035B3}"/>
    <cellStyle name="Normal 5 3 3 2 2 2 3 4" xfId="9874" xr:uid="{AF974AC1-777C-4C9F-82E2-CD2AD8558172}"/>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16650" xr:uid="{9F4010A6-0A85-4C3C-945B-A7B11BD0C3FC}"/>
    <cellStyle name="Normal 5 3 3 2 2 2 4 2 3" xfId="12432" xr:uid="{B4099CF2-4926-4143-8297-AB66EBFCE259}"/>
    <cellStyle name="Normal 5 3 3 2 2 2 4 3" xfId="6055" xr:uid="{00000000-0005-0000-0000-000084190000}"/>
    <cellStyle name="Normal 5 3 3 2 2 2 4 3 2" xfId="14505" xr:uid="{322483F5-7B82-42A8-AAD9-6AC8ADFA118B}"/>
    <cellStyle name="Normal 5 3 3 2 2 2 4 4" xfId="10287" xr:uid="{17D60257-E330-4CF1-875E-A3C4D67F394B}"/>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17063" xr:uid="{E1C7E355-B484-4780-9167-6964CD8548A5}"/>
    <cellStyle name="Normal 5 3 3 2 2 2 5 2 3" xfId="12845" xr:uid="{AF2A4ADB-5753-4F3D-B4FC-9B63E203B6D5}"/>
    <cellStyle name="Normal 5 3 3 2 2 2 5 3" xfId="6468" xr:uid="{00000000-0005-0000-0000-000088190000}"/>
    <cellStyle name="Normal 5 3 3 2 2 2 5 3 2" xfId="14918" xr:uid="{A32234DD-989D-4E6A-9F2D-DF34BC7D5E0A}"/>
    <cellStyle name="Normal 5 3 3 2 2 2 5 4" xfId="10700" xr:uid="{70698C4D-57B2-4545-B76C-4FC50B2032E6}"/>
    <cellStyle name="Normal 5 3 3 2 2 2 6" xfId="2598" xr:uid="{00000000-0005-0000-0000-000089190000}"/>
    <cellStyle name="Normal 5 3 3 2 2 2 6 2" xfId="6881" xr:uid="{00000000-0005-0000-0000-00008A190000}"/>
    <cellStyle name="Normal 5 3 3 2 2 2 6 2 2" xfId="15331" xr:uid="{9AE48EF0-7C3D-4123-BE31-7341DA549578}"/>
    <cellStyle name="Normal 5 3 3 2 2 2 6 3" xfId="11113" xr:uid="{621EF718-55E8-4252-94DB-31AEB562C9E7}"/>
    <cellStyle name="Normal 5 3 3 2 2 2 7" xfId="4816" xr:uid="{00000000-0005-0000-0000-00008B190000}"/>
    <cellStyle name="Normal 5 3 3 2 2 2 7 2" xfId="13266" xr:uid="{109AB42C-CD58-4403-AB87-CD2334EB19B0}"/>
    <cellStyle name="Normal 5 3 3 2 2 2 8" xfId="9048" xr:uid="{A3E88291-9C7C-4814-8051-5409F18736E1}"/>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15823" xr:uid="{532AE579-11D0-46F3-ADF6-A8BEA870FF4D}"/>
    <cellStyle name="Normal 5 3 3 2 2 3 2 3" xfId="11605" xr:uid="{1DD86A65-1550-4049-8018-4BD43C0616F8}"/>
    <cellStyle name="Normal 5 3 3 2 2 3 3" xfId="5228" xr:uid="{00000000-0005-0000-0000-00008F190000}"/>
    <cellStyle name="Normal 5 3 3 2 2 3 3 2" xfId="13678" xr:uid="{A0B60186-D529-4DE4-8451-D8C0D24D9CC9}"/>
    <cellStyle name="Normal 5 3 3 2 2 3 4" xfId="9460" xr:uid="{8EDBCD97-7877-4F76-B3B6-13820032C2F7}"/>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16236" xr:uid="{DB5B52D5-B0C9-4B06-A603-71A12BDB082F}"/>
    <cellStyle name="Normal 5 3 3 2 2 4 2 3" xfId="12018" xr:uid="{ABE316AC-4AED-43D4-A09D-98ED7BBD1955}"/>
    <cellStyle name="Normal 5 3 3 2 2 4 3" xfId="5641" xr:uid="{00000000-0005-0000-0000-000093190000}"/>
    <cellStyle name="Normal 5 3 3 2 2 4 3 2" xfId="14091" xr:uid="{BEDAF4B1-369C-494C-ADB4-641C1BB79EBA}"/>
    <cellStyle name="Normal 5 3 3 2 2 4 4" xfId="9873" xr:uid="{6239DE29-37B6-4465-B206-C750499C6C49}"/>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16649" xr:uid="{4EBEA432-5376-4BFE-B562-A0CAE5E37918}"/>
    <cellStyle name="Normal 5 3 3 2 2 5 2 3" xfId="12431" xr:uid="{D7740337-3CBD-480B-9F3D-5008EFBE772D}"/>
    <cellStyle name="Normal 5 3 3 2 2 5 3" xfId="6054" xr:uid="{00000000-0005-0000-0000-000097190000}"/>
    <cellStyle name="Normal 5 3 3 2 2 5 3 2" xfId="14504" xr:uid="{43039F80-BDA3-445E-BB3F-2ACDAA8C5E0A}"/>
    <cellStyle name="Normal 5 3 3 2 2 5 4" xfId="10286" xr:uid="{32338A51-0EF3-453E-A6CB-C5E92199E4A3}"/>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17062" xr:uid="{C5BEEE27-E580-4F90-BAA4-6D9A99B45979}"/>
    <cellStyle name="Normal 5 3 3 2 2 6 2 3" xfId="12844" xr:uid="{0CF18886-46D0-4430-B71B-E634F64B6C0E}"/>
    <cellStyle name="Normal 5 3 3 2 2 6 3" xfId="6467" xr:uid="{00000000-0005-0000-0000-00009B190000}"/>
    <cellStyle name="Normal 5 3 3 2 2 6 3 2" xfId="14917" xr:uid="{DB236B37-6F94-4EEA-A9D5-7F3B1311E077}"/>
    <cellStyle name="Normal 5 3 3 2 2 6 4" xfId="10699" xr:uid="{8CC57629-1BCA-41E4-88E1-D5EB0BAA261E}"/>
    <cellStyle name="Normal 5 3 3 2 2 7" xfId="2597" xr:uid="{00000000-0005-0000-0000-00009C190000}"/>
    <cellStyle name="Normal 5 3 3 2 2 7 2" xfId="6880" xr:uid="{00000000-0005-0000-0000-00009D190000}"/>
    <cellStyle name="Normal 5 3 3 2 2 7 2 2" xfId="15330" xr:uid="{ACA04860-09D0-48AD-9E54-3609E76A8D74}"/>
    <cellStyle name="Normal 5 3 3 2 2 7 3" xfId="11112" xr:uid="{3E45D0E2-CF6E-42FE-8759-75C70B6C2C00}"/>
    <cellStyle name="Normal 5 3 3 2 2 8" xfId="4815" xr:uid="{00000000-0005-0000-0000-00009E190000}"/>
    <cellStyle name="Normal 5 3 3 2 2 8 2" xfId="13265" xr:uid="{6EE656A1-0EC0-4923-B9C7-C40D47E37627}"/>
    <cellStyle name="Normal 5 3 3 2 2 9" xfId="9047" xr:uid="{A24CE008-B177-441D-A018-1D4515C5294B}"/>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15825" xr:uid="{10B06BB5-2AC6-491A-94EF-A1432354111E}"/>
    <cellStyle name="Normal 5 3 3 2 3 2 2 3" xfId="11607" xr:uid="{CE757898-CA74-45D4-9C29-CDD33FE7D81F}"/>
    <cellStyle name="Normal 5 3 3 2 3 2 3" xfId="5230" xr:uid="{00000000-0005-0000-0000-0000A3190000}"/>
    <cellStyle name="Normal 5 3 3 2 3 2 3 2" xfId="13680" xr:uid="{8E598755-0106-43FE-886E-96545A6B202C}"/>
    <cellStyle name="Normal 5 3 3 2 3 2 4" xfId="9462" xr:uid="{FB97F5D8-01B4-4949-A5DF-2C6064F5C6DF}"/>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16238" xr:uid="{D76CDFCA-539E-4D1A-B678-86F704430F27}"/>
    <cellStyle name="Normal 5 3 3 2 3 3 2 3" xfId="12020" xr:uid="{F1DBEA2B-A38D-456C-929C-5F09B3AA9C27}"/>
    <cellStyle name="Normal 5 3 3 2 3 3 3" xfId="5643" xr:uid="{00000000-0005-0000-0000-0000A7190000}"/>
    <cellStyle name="Normal 5 3 3 2 3 3 3 2" xfId="14093" xr:uid="{6681D136-C88E-4D87-B636-4A48555BC528}"/>
    <cellStyle name="Normal 5 3 3 2 3 3 4" xfId="9875" xr:uid="{2E2EDDEC-D0D2-49A7-AC57-AB29B0EC2652}"/>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16651" xr:uid="{E337CA81-D235-4FBB-A02A-18FCA7D08764}"/>
    <cellStyle name="Normal 5 3 3 2 3 4 2 3" xfId="12433" xr:uid="{74C70B53-D0EC-4751-A245-9C01B569D8AC}"/>
    <cellStyle name="Normal 5 3 3 2 3 4 3" xfId="6056" xr:uid="{00000000-0005-0000-0000-0000AB190000}"/>
    <cellStyle name="Normal 5 3 3 2 3 4 3 2" xfId="14506" xr:uid="{A8778FCB-7FB7-410F-BD6C-94C28CDA2200}"/>
    <cellStyle name="Normal 5 3 3 2 3 4 4" xfId="10288" xr:uid="{3B9740D7-43E0-4E4D-A219-751648744B04}"/>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17064" xr:uid="{1EFCEB68-F172-40A9-9AB8-9E6A4C313286}"/>
    <cellStyle name="Normal 5 3 3 2 3 5 2 3" xfId="12846" xr:uid="{AF08C600-7A18-45CD-B70A-3DC87619A6E1}"/>
    <cellStyle name="Normal 5 3 3 2 3 5 3" xfId="6469" xr:uid="{00000000-0005-0000-0000-0000AF190000}"/>
    <cellStyle name="Normal 5 3 3 2 3 5 3 2" xfId="14919" xr:uid="{E505EF1C-4221-446B-88EB-9B336B286C15}"/>
    <cellStyle name="Normal 5 3 3 2 3 5 4" xfId="10701" xr:uid="{083C6804-EB8D-451B-B296-DB6F5D28BCB6}"/>
    <cellStyle name="Normal 5 3 3 2 3 6" xfId="2599" xr:uid="{00000000-0005-0000-0000-0000B0190000}"/>
    <cellStyle name="Normal 5 3 3 2 3 6 2" xfId="6882" xr:uid="{00000000-0005-0000-0000-0000B1190000}"/>
    <cellStyle name="Normal 5 3 3 2 3 6 2 2" xfId="15332" xr:uid="{EB414510-0987-46DB-AE5A-56176466E9EE}"/>
    <cellStyle name="Normal 5 3 3 2 3 6 3" xfId="11114" xr:uid="{08E35FA5-13BF-4326-A91A-6595202D1A6D}"/>
    <cellStyle name="Normal 5 3 3 2 3 7" xfId="4817" xr:uid="{00000000-0005-0000-0000-0000B2190000}"/>
    <cellStyle name="Normal 5 3 3 2 3 7 2" xfId="13267" xr:uid="{54A032FE-330F-4D66-9838-2CCE1354737F}"/>
    <cellStyle name="Normal 5 3 3 2 3 8" xfId="9049" xr:uid="{D0ED3F4F-C1A4-4459-86D9-899CD9D0D268}"/>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15822" xr:uid="{6F1458BE-6944-4E68-B187-AAA01E233270}"/>
    <cellStyle name="Normal 5 3 3 2 4 2 3" xfId="11604" xr:uid="{CE7EEA9D-E3FE-4734-9C45-3167E553C7E0}"/>
    <cellStyle name="Normal 5 3 3 2 4 3" xfId="5227" xr:uid="{00000000-0005-0000-0000-0000B6190000}"/>
    <cellStyle name="Normal 5 3 3 2 4 3 2" xfId="13677" xr:uid="{B3D01FF7-9F02-4838-858C-1EE12841E8B5}"/>
    <cellStyle name="Normal 5 3 3 2 4 4" xfId="9459" xr:uid="{3B51641D-72F3-4277-939F-D5E8FFF56BD2}"/>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16235" xr:uid="{28B73AEF-AAC2-468C-9CFF-73BA4021B0E9}"/>
    <cellStyle name="Normal 5 3 3 2 5 2 3" xfId="12017" xr:uid="{B7DC8E81-97B6-42AC-99FB-4771FFEDE308}"/>
    <cellStyle name="Normal 5 3 3 2 5 3" xfId="5640" xr:uid="{00000000-0005-0000-0000-0000BA190000}"/>
    <cellStyle name="Normal 5 3 3 2 5 3 2" xfId="14090" xr:uid="{79C77593-6208-4EC4-B347-D3674EBB4181}"/>
    <cellStyle name="Normal 5 3 3 2 5 4" xfId="9872" xr:uid="{5287996B-C026-462A-9B97-BF45EB5F5761}"/>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16648" xr:uid="{B419463E-573B-4510-9D4D-97C99E5E163B}"/>
    <cellStyle name="Normal 5 3 3 2 6 2 3" xfId="12430" xr:uid="{1F4AF068-4DC8-43A2-98E2-2691BB36B2B0}"/>
    <cellStyle name="Normal 5 3 3 2 6 3" xfId="6053" xr:uid="{00000000-0005-0000-0000-0000BE190000}"/>
    <cellStyle name="Normal 5 3 3 2 6 3 2" xfId="14503" xr:uid="{E8FF76EF-AB3A-4095-82F5-F4D935A396B9}"/>
    <cellStyle name="Normal 5 3 3 2 6 4" xfId="10285" xr:uid="{A7364B02-7016-431F-952A-9297D449859A}"/>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17061" xr:uid="{3A5EC6FD-E115-4C15-A668-9CDF819D3916}"/>
    <cellStyle name="Normal 5 3 3 2 7 2 3" xfId="12843" xr:uid="{3137B0DC-6740-42BD-8F21-9BE36A627504}"/>
    <cellStyle name="Normal 5 3 3 2 7 3" xfId="6466" xr:uid="{00000000-0005-0000-0000-0000C2190000}"/>
    <cellStyle name="Normal 5 3 3 2 7 3 2" xfId="14916" xr:uid="{61055B43-B3AA-4D02-AF1C-D82363A43393}"/>
    <cellStyle name="Normal 5 3 3 2 7 4" xfId="10698" xr:uid="{CE641CBB-38BF-402F-B6B0-79C1FAC09134}"/>
    <cellStyle name="Normal 5 3 3 2 8" xfId="2596" xr:uid="{00000000-0005-0000-0000-0000C3190000}"/>
    <cellStyle name="Normal 5 3 3 2 8 2" xfId="6879" xr:uid="{00000000-0005-0000-0000-0000C4190000}"/>
    <cellStyle name="Normal 5 3 3 2 8 2 2" xfId="15329" xr:uid="{CB8C1175-9505-495A-9159-74983540F12F}"/>
    <cellStyle name="Normal 5 3 3 2 8 3" xfId="11111" xr:uid="{7571B0E1-1059-4406-8540-2488DFAF5C8F}"/>
    <cellStyle name="Normal 5 3 3 2 9" xfId="4814" xr:uid="{00000000-0005-0000-0000-0000C5190000}"/>
    <cellStyle name="Normal 5 3 3 2 9 2" xfId="13264" xr:uid="{A1919E63-AF39-445E-A03A-2766B958E78C}"/>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15827" xr:uid="{F957AE58-AE00-4D72-8470-9C4252572E13}"/>
    <cellStyle name="Normal 5 3 3 3 2 2 2 3" xfId="11609" xr:uid="{3689C0C0-C2DF-4C8D-A2C3-4BA7715BEC2B}"/>
    <cellStyle name="Normal 5 3 3 3 2 2 3" xfId="5232" xr:uid="{00000000-0005-0000-0000-0000CB190000}"/>
    <cellStyle name="Normal 5 3 3 3 2 2 3 2" xfId="13682" xr:uid="{B9E06E92-57D7-41D4-BA6A-3205AF00CAC6}"/>
    <cellStyle name="Normal 5 3 3 3 2 2 4" xfId="9464" xr:uid="{CD84A74C-B914-432B-9B2B-CEC8A3B5E866}"/>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16240" xr:uid="{43CFBADC-7A95-4A9C-8650-8311A2646413}"/>
    <cellStyle name="Normal 5 3 3 3 2 3 2 3" xfId="12022" xr:uid="{13484487-201A-4992-9B5D-C8CC66AADCE2}"/>
    <cellStyle name="Normal 5 3 3 3 2 3 3" xfId="5645" xr:uid="{00000000-0005-0000-0000-0000CF190000}"/>
    <cellStyle name="Normal 5 3 3 3 2 3 3 2" xfId="14095" xr:uid="{5F7F47FB-52F9-4508-ACAE-0C8CEFDC54FD}"/>
    <cellStyle name="Normal 5 3 3 3 2 3 4" xfId="9877" xr:uid="{90AC57BC-9607-415C-A9E3-EFF07B6E276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16653" xr:uid="{1AB643AC-2AFA-4890-B65D-FF5645C0D664}"/>
    <cellStyle name="Normal 5 3 3 3 2 4 2 3" xfId="12435" xr:uid="{6D700DB1-D37A-42FC-8799-9E4ACB0BCEE9}"/>
    <cellStyle name="Normal 5 3 3 3 2 4 3" xfId="6058" xr:uid="{00000000-0005-0000-0000-0000D3190000}"/>
    <cellStyle name="Normal 5 3 3 3 2 4 3 2" xfId="14508" xr:uid="{16413BC0-84DC-45B5-8C77-768691C2DED9}"/>
    <cellStyle name="Normal 5 3 3 3 2 4 4" xfId="10290" xr:uid="{E195B0C9-872A-45D3-B663-868BC837D563}"/>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17066" xr:uid="{7603080F-BEA4-478C-8AFA-1A100F6D57E4}"/>
    <cellStyle name="Normal 5 3 3 3 2 5 2 3" xfId="12848" xr:uid="{74E3C288-B9DC-450D-8324-B035393981D9}"/>
    <cellStyle name="Normal 5 3 3 3 2 5 3" xfId="6471" xr:uid="{00000000-0005-0000-0000-0000D7190000}"/>
    <cellStyle name="Normal 5 3 3 3 2 5 3 2" xfId="14921" xr:uid="{C1365395-B666-44AA-8C61-C3A106C73E17}"/>
    <cellStyle name="Normal 5 3 3 3 2 5 4" xfId="10703" xr:uid="{A349FFD0-38AF-4F52-AD47-591B691E8114}"/>
    <cellStyle name="Normal 5 3 3 3 2 6" xfId="2601" xr:uid="{00000000-0005-0000-0000-0000D8190000}"/>
    <cellStyle name="Normal 5 3 3 3 2 6 2" xfId="6884" xr:uid="{00000000-0005-0000-0000-0000D9190000}"/>
    <cellStyle name="Normal 5 3 3 3 2 6 2 2" xfId="15334" xr:uid="{ECDA5025-BAAD-438B-92E2-ADD9462B55E0}"/>
    <cellStyle name="Normal 5 3 3 3 2 6 3" xfId="11116" xr:uid="{8CB823AC-D948-4C51-9F5F-F7C0BAA455D3}"/>
    <cellStyle name="Normal 5 3 3 3 2 7" xfId="4819" xr:uid="{00000000-0005-0000-0000-0000DA190000}"/>
    <cellStyle name="Normal 5 3 3 3 2 7 2" xfId="13269" xr:uid="{76ADCB14-712B-47F2-A5C8-220A53012EAE}"/>
    <cellStyle name="Normal 5 3 3 3 2 8" xfId="9051" xr:uid="{861BF54F-36D2-468D-9802-0E854558813C}"/>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15826" xr:uid="{392183F4-00D0-43EA-AEB5-70894F6E9073}"/>
    <cellStyle name="Normal 5 3 3 3 3 2 3" xfId="11608" xr:uid="{6B26B2E6-9A12-4C72-BA79-EA8C7BDE707B}"/>
    <cellStyle name="Normal 5 3 3 3 3 3" xfId="5231" xr:uid="{00000000-0005-0000-0000-0000DE190000}"/>
    <cellStyle name="Normal 5 3 3 3 3 3 2" xfId="13681" xr:uid="{F7DC6681-AF9A-40CB-8A99-6D7085FAACC0}"/>
    <cellStyle name="Normal 5 3 3 3 3 4" xfId="9463" xr:uid="{0A2869B0-1BEB-4772-8096-7B70042B6118}"/>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16239" xr:uid="{E0754DD1-C0F5-4206-A6F7-8E392A63F8FD}"/>
    <cellStyle name="Normal 5 3 3 3 4 2 3" xfId="12021" xr:uid="{C34131CE-883C-4C20-9442-A66CA00742D7}"/>
    <cellStyle name="Normal 5 3 3 3 4 3" xfId="5644" xr:uid="{00000000-0005-0000-0000-0000E2190000}"/>
    <cellStyle name="Normal 5 3 3 3 4 3 2" xfId="14094" xr:uid="{05EF70A1-A599-4CFF-964A-29B0B285408C}"/>
    <cellStyle name="Normal 5 3 3 3 4 4" xfId="9876" xr:uid="{719EBADA-1FEC-4431-9D9F-FE41BAABC425}"/>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16652" xr:uid="{650EB511-CD83-45E7-BD6B-3ACD61B6DB09}"/>
    <cellStyle name="Normal 5 3 3 3 5 2 3" xfId="12434" xr:uid="{1381B5AD-8B77-42B5-B9AD-3228607E8EA6}"/>
    <cellStyle name="Normal 5 3 3 3 5 3" xfId="6057" xr:uid="{00000000-0005-0000-0000-0000E6190000}"/>
    <cellStyle name="Normal 5 3 3 3 5 3 2" xfId="14507" xr:uid="{FA2075FD-7E11-4BA6-9F59-634EDF868792}"/>
    <cellStyle name="Normal 5 3 3 3 5 4" xfId="10289" xr:uid="{EC0D714E-AEBF-4872-839A-2F5281C02AEC}"/>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17065" xr:uid="{5848C5D7-C4A7-4D5C-B5C8-4B140FDB78FF}"/>
    <cellStyle name="Normal 5 3 3 3 6 2 3" xfId="12847" xr:uid="{E0E5D14E-B8B0-49B8-922F-37FC154E2530}"/>
    <cellStyle name="Normal 5 3 3 3 6 3" xfId="6470" xr:uid="{00000000-0005-0000-0000-0000EA190000}"/>
    <cellStyle name="Normal 5 3 3 3 6 3 2" xfId="14920" xr:uid="{F6E7C6F4-6324-4B45-8986-5202136DC103}"/>
    <cellStyle name="Normal 5 3 3 3 6 4" xfId="10702" xr:uid="{816A45E6-C89F-4C5A-B2BA-9F9E0E7E2690}"/>
    <cellStyle name="Normal 5 3 3 3 7" xfId="2600" xr:uid="{00000000-0005-0000-0000-0000EB190000}"/>
    <cellStyle name="Normal 5 3 3 3 7 2" xfId="6883" xr:uid="{00000000-0005-0000-0000-0000EC190000}"/>
    <cellStyle name="Normal 5 3 3 3 7 2 2" xfId="15333" xr:uid="{DB18AE8A-F6ED-48B3-87DE-490C335477B3}"/>
    <cellStyle name="Normal 5 3 3 3 7 3" xfId="11115" xr:uid="{AAE8F96D-7667-4A59-A9A6-A456FAD2A63D}"/>
    <cellStyle name="Normal 5 3 3 3 8" xfId="4818" xr:uid="{00000000-0005-0000-0000-0000ED190000}"/>
    <cellStyle name="Normal 5 3 3 3 8 2" xfId="13268" xr:uid="{F14BA5C0-384C-4F68-97A2-4F5546038FB3}"/>
    <cellStyle name="Normal 5 3 3 3 9" xfId="9050" xr:uid="{B9189635-2C9A-4390-B2AD-314D6BC8D1CD}"/>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15828" xr:uid="{DA13C1A7-84F6-4E90-A31E-98FDE2D14629}"/>
    <cellStyle name="Normal 5 3 3 4 2 2 3" xfId="11610" xr:uid="{1FBBC426-0714-4EBA-99D5-ABE4E7BFDCA6}"/>
    <cellStyle name="Normal 5 3 3 4 2 3" xfId="5233" xr:uid="{00000000-0005-0000-0000-0000F2190000}"/>
    <cellStyle name="Normal 5 3 3 4 2 3 2" xfId="13683" xr:uid="{A41A37CE-343C-45B7-8813-BE3DA55904F6}"/>
    <cellStyle name="Normal 5 3 3 4 2 4" xfId="9465" xr:uid="{10CB3F4C-61B4-4E40-B4DB-C06D20D801F9}"/>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16241" xr:uid="{43BD97BB-6712-4CF2-B81C-6CD259CE9894}"/>
    <cellStyle name="Normal 5 3 3 4 3 2 3" xfId="12023" xr:uid="{FE937764-3CBD-4612-BFC2-95ED8191AD3C}"/>
    <cellStyle name="Normal 5 3 3 4 3 3" xfId="5646" xr:uid="{00000000-0005-0000-0000-0000F6190000}"/>
    <cellStyle name="Normal 5 3 3 4 3 3 2" xfId="14096" xr:uid="{878D5425-E1B1-4C33-BE29-33F9871EC90B}"/>
    <cellStyle name="Normal 5 3 3 4 3 4" xfId="9878" xr:uid="{2E6C4752-449B-4547-8AB4-5862EB5320A3}"/>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16654" xr:uid="{374CDD1C-8703-43AD-8ED9-34E62561772F}"/>
    <cellStyle name="Normal 5 3 3 4 4 2 3" xfId="12436" xr:uid="{C0BA8C9D-572B-46C2-A048-9E8651E4AAD8}"/>
    <cellStyle name="Normal 5 3 3 4 4 3" xfId="6059" xr:uid="{00000000-0005-0000-0000-0000FA190000}"/>
    <cellStyle name="Normal 5 3 3 4 4 3 2" xfId="14509" xr:uid="{6B2A6E3B-4184-4884-99CA-89B825E7D9CD}"/>
    <cellStyle name="Normal 5 3 3 4 4 4" xfId="10291" xr:uid="{9F3AED79-C82E-4937-B394-D523D6862D82}"/>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17067" xr:uid="{ECEF4735-418A-4DA9-A192-B430A015A78F}"/>
    <cellStyle name="Normal 5 3 3 4 5 2 3" xfId="12849" xr:uid="{FB38D008-D5DD-43A8-AD8D-B0718E9B9DFF}"/>
    <cellStyle name="Normal 5 3 3 4 5 3" xfId="6472" xr:uid="{00000000-0005-0000-0000-0000FE190000}"/>
    <cellStyle name="Normal 5 3 3 4 5 3 2" xfId="14922" xr:uid="{3F9CE3FC-1633-42C6-8CE3-A53550B53069}"/>
    <cellStyle name="Normal 5 3 3 4 5 4" xfId="10704" xr:uid="{85FDD7D4-2E52-4836-A3D0-6BB35E78C4D6}"/>
    <cellStyle name="Normal 5 3 3 4 6" xfId="2602" xr:uid="{00000000-0005-0000-0000-0000FF190000}"/>
    <cellStyle name="Normal 5 3 3 4 6 2" xfId="6885" xr:uid="{00000000-0005-0000-0000-0000001A0000}"/>
    <cellStyle name="Normal 5 3 3 4 6 2 2" xfId="15335" xr:uid="{ECE95390-AF0D-4F6D-858D-D3EB11528A7B}"/>
    <cellStyle name="Normal 5 3 3 4 6 3" xfId="11117" xr:uid="{DECF2B61-7E19-49D8-95A8-CB02AF4EA185}"/>
    <cellStyle name="Normal 5 3 3 4 7" xfId="4820" xr:uid="{00000000-0005-0000-0000-0000011A0000}"/>
    <cellStyle name="Normal 5 3 3 4 7 2" xfId="13270" xr:uid="{4E5238A6-6B35-42C4-993E-C2098EDFEF99}"/>
    <cellStyle name="Normal 5 3 3 4 8" xfId="9052" xr:uid="{249457B8-543D-41AF-B799-F7B10A0C8DE5}"/>
    <cellStyle name="Normal 5 3 3 5" xfId="915" xr:uid="{00000000-0005-0000-0000-0000021A0000}"/>
    <cellStyle name="Normal 5 3 3 5 2" xfId="3149" xr:uid="{00000000-0005-0000-0000-0000031A0000}"/>
    <cellStyle name="Normal 5 3 3 5 2 2" xfId="7371" xr:uid="{00000000-0005-0000-0000-0000041A0000}"/>
    <cellStyle name="Normal 5 3 3 5 2 2 2" xfId="15821" xr:uid="{4CD4D713-0A5B-4D69-AD01-BC48E0931007}"/>
    <cellStyle name="Normal 5 3 3 5 2 3" xfId="11603" xr:uid="{B29CA4E0-697A-4491-A15A-72F02D7CBEC0}"/>
    <cellStyle name="Normal 5 3 3 5 3" xfId="5226" xr:uid="{00000000-0005-0000-0000-0000051A0000}"/>
    <cellStyle name="Normal 5 3 3 5 3 2" xfId="13676" xr:uid="{02228719-1714-48AF-8B66-A2819F8927E3}"/>
    <cellStyle name="Normal 5 3 3 5 4" xfId="9458" xr:uid="{3B4DF5CF-5F83-4BC9-A61B-9A944EEC1C66}"/>
    <cellStyle name="Normal 5 3 3 6" xfId="1332" xr:uid="{00000000-0005-0000-0000-0000061A0000}"/>
    <cellStyle name="Normal 5 3 3 6 2" xfId="3562" xr:uid="{00000000-0005-0000-0000-0000071A0000}"/>
    <cellStyle name="Normal 5 3 3 6 2 2" xfId="7784" xr:uid="{00000000-0005-0000-0000-0000081A0000}"/>
    <cellStyle name="Normal 5 3 3 6 2 2 2" xfId="16234" xr:uid="{2FA75A2E-880C-4F9E-91B4-5F2A822845F7}"/>
    <cellStyle name="Normal 5 3 3 6 2 3" xfId="12016" xr:uid="{4FBA1F76-BEB8-4415-B818-46723872B680}"/>
    <cellStyle name="Normal 5 3 3 6 3" xfId="5639" xr:uid="{00000000-0005-0000-0000-0000091A0000}"/>
    <cellStyle name="Normal 5 3 3 6 3 2" xfId="14089" xr:uid="{3052007B-6698-4BA2-8333-47F4568D8A62}"/>
    <cellStyle name="Normal 5 3 3 6 4" xfId="9871" xr:uid="{D433BBD6-FFD2-4518-8211-FEF74E48993B}"/>
    <cellStyle name="Normal 5 3 3 7" xfId="1745" xr:uid="{00000000-0005-0000-0000-00000A1A0000}"/>
    <cellStyle name="Normal 5 3 3 7 2" xfId="3975" xr:uid="{00000000-0005-0000-0000-00000B1A0000}"/>
    <cellStyle name="Normal 5 3 3 7 2 2" xfId="8197" xr:uid="{00000000-0005-0000-0000-00000C1A0000}"/>
    <cellStyle name="Normal 5 3 3 7 2 2 2" xfId="16647" xr:uid="{1BF63533-2039-4B89-847C-0644C36836D7}"/>
    <cellStyle name="Normal 5 3 3 7 2 3" xfId="12429" xr:uid="{51B16339-7C46-444A-BBDF-6161001170AE}"/>
    <cellStyle name="Normal 5 3 3 7 3" xfId="6052" xr:uid="{00000000-0005-0000-0000-00000D1A0000}"/>
    <cellStyle name="Normal 5 3 3 7 3 2" xfId="14502" xr:uid="{3A7ACF8B-A1D8-4042-905C-9BBA237F443E}"/>
    <cellStyle name="Normal 5 3 3 7 4" xfId="10284" xr:uid="{4C1D9828-CD37-43BE-B757-9210AF928E50}"/>
    <cellStyle name="Normal 5 3 3 8" xfId="2159" xr:uid="{00000000-0005-0000-0000-00000E1A0000}"/>
    <cellStyle name="Normal 5 3 3 8 2" xfId="4388" xr:uid="{00000000-0005-0000-0000-00000F1A0000}"/>
    <cellStyle name="Normal 5 3 3 8 2 2" xfId="8610" xr:uid="{00000000-0005-0000-0000-0000101A0000}"/>
    <cellStyle name="Normal 5 3 3 8 2 2 2" xfId="17060" xr:uid="{CD0B3165-9504-483F-8512-2EC8E1F4A8CF}"/>
    <cellStyle name="Normal 5 3 3 8 2 3" xfId="12842" xr:uid="{9DBE7816-DBD7-4A1B-B849-0B07DB56DC0B}"/>
    <cellStyle name="Normal 5 3 3 8 3" xfId="6465" xr:uid="{00000000-0005-0000-0000-0000111A0000}"/>
    <cellStyle name="Normal 5 3 3 8 3 2" xfId="14915" xr:uid="{AE3DA6E8-6E5E-4AFA-BE12-E9374DB33F5A}"/>
    <cellStyle name="Normal 5 3 3 8 4" xfId="10697" xr:uid="{E2D35411-0C76-4000-94A4-A9B408540EE3}"/>
    <cellStyle name="Normal 5 3 3 9" xfId="2595" xr:uid="{00000000-0005-0000-0000-0000121A0000}"/>
    <cellStyle name="Normal 5 3 3 9 2" xfId="6878" xr:uid="{00000000-0005-0000-0000-0000131A0000}"/>
    <cellStyle name="Normal 5 3 3 9 2 2" xfId="15328" xr:uid="{F9A0A74E-4FCD-4BD3-A71E-27FF8865F9A0}"/>
    <cellStyle name="Normal 5 3 3 9 3" xfId="11110" xr:uid="{38627101-7212-4F91-9E7B-E35C286CA5E0}"/>
    <cellStyle name="Normal 5 3 4" xfId="449" xr:uid="{00000000-0005-0000-0000-0000141A0000}"/>
    <cellStyle name="Normal 5 3 4 10" xfId="9053" xr:uid="{53DDD26C-CE33-4154-9F9A-453A3F9839CB}"/>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15831" xr:uid="{CF49FF74-959A-48AA-B287-9767879687AB}"/>
    <cellStyle name="Normal 5 3 4 2 2 2 2 3" xfId="11613" xr:uid="{033D38D9-CB82-4A0F-B9EF-742F193A9A40}"/>
    <cellStyle name="Normal 5 3 4 2 2 2 3" xfId="5236" xr:uid="{00000000-0005-0000-0000-00001A1A0000}"/>
    <cellStyle name="Normal 5 3 4 2 2 2 3 2" xfId="13686" xr:uid="{8CFA6507-6F6D-4FD0-9ECB-BDD805EBDF2D}"/>
    <cellStyle name="Normal 5 3 4 2 2 2 4" xfId="9468" xr:uid="{6B507305-09CF-4C25-821E-F9A0588C0A9E}"/>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16244" xr:uid="{D9979901-6A1B-4865-9AFF-ECDEADBAB31D}"/>
    <cellStyle name="Normal 5 3 4 2 2 3 2 3" xfId="12026" xr:uid="{A0223947-14FF-4666-91F7-77660657D5FD}"/>
    <cellStyle name="Normal 5 3 4 2 2 3 3" xfId="5649" xr:uid="{00000000-0005-0000-0000-00001E1A0000}"/>
    <cellStyle name="Normal 5 3 4 2 2 3 3 2" xfId="14099" xr:uid="{32C2E9C6-3510-4214-ACD2-6EF87F87B4AD}"/>
    <cellStyle name="Normal 5 3 4 2 2 3 4" xfId="9881" xr:uid="{3C9515CE-21CC-4A8B-BA72-DE1F2BEFB098}"/>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16657" xr:uid="{11C60363-EF52-4A40-A116-4E09DF484B4E}"/>
    <cellStyle name="Normal 5 3 4 2 2 4 2 3" xfId="12439" xr:uid="{67410A56-E482-47E8-8A6D-705C482030CE}"/>
    <cellStyle name="Normal 5 3 4 2 2 4 3" xfId="6062" xr:uid="{00000000-0005-0000-0000-0000221A0000}"/>
    <cellStyle name="Normal 5 3 4 2 2 4 3 2" xfId="14512" xr:uid="{C69F77CC-006E-47A4-BE85-2934AA7398CA}"/>
    <cellStyle name="Normal 5 3 4 2 2 4 4" xfId="10294" xr:uid="{9EA39067-4270-4312-AB34-BCB627B1B04B}"/>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17070" xr:uid="{DDEF1B92-CDF1-4416-89F4-CFD3ACF8C2EA}"/>
    <cellStyle name="Normal 5 3 4 2 2 5 2 3" xfId="12852" xr:uid="{D485B246-592C-4C1A-B8BE-1F24E6FBE4F7}"/>
    <cellStyle name="Normal 5 3 4 2 2 5 3" xfId="6475" xr:uid="{00000000-0005-0000-0000-0000261A0000}"/>
    <cellStyle name="Normal 5 3 4 2 2 5 3 2" xfId="14925" xr:uid="{0E6F0310-573A-4FE2-9784-804E5D7898AF}"/>
    <cellStyle name="Normal 5 3 4 2 2 5 4" xfId="10707" xr:uid="{4AF7DB40-9CE6-478C-B802-362B142AE09C}"/>
    <cellStyle name="Normal 5 3 4 2 2 6" xfId="2605" xr:uid="{00000000-0005-0000-0000-0000271A0000}"/>
    <cellStyle name="Normal 5 3 4 2 2 6 2" xfId="6888" xr:uid="{00000000-0005-0000-0000-0000281A0000}"/>
    <cellStyle name="Normal 5 3 4 2 2 6 2 2" xfId="15338" xr:uid="{82491B12-AD58-455E-ACDA-7D7C38A1E981}"/>
    <cellStyle name="Normal 5 3 4 2 2 6 3" xfId="11120" xr:uid="{0FA5207E-2465-4E80-99BA-E80EB4AA6178}"/>
    <cellStyle name="Normal 5 3 4 2 2 7" xfId="4823" xr:uid="{00000000-0005-0000-0000-0000291A0000}"/>
    <cellStyle name="Normal 5 3 4 2 2 7 2" xfId="13273" xr:uid="{E74739C7-8875-4A23-AB18-021522F018CC}"/>
    <cellStyle name="Normal 5 3 4 2 2 8" xfId="9055" xr:uid="{2FBDD1D9-2383-4EFD-AC31-574DE9286E3D}"/>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15830" xr:uid="{A73BADDA-B453-4886-BCBB-1534D243C786}"/>
    <cellStyle name="Normal 5 3 4 2 3 2 3" xfId="11612" xr:uid="{55690E4C-88D9-43EF-8B09-62D212A170DE}"/>
    <cellStyle name="Normal 5 3 4 2 3 3" xfId="5235" xr:uid="{00000000-0005-0000-0000-00002D1A0000}"/>
    <cellStyle name="Normal 5 3 4 2 3 3 2" xfId="13685" xr:uid="{4D77B82E-4F99-42EC-9430-5AADD3968135}"/>
    <cellStyle name="Normal 5 3 4 2 3 4" xfId="9467" xr:uid="{9F624F80-6607-47D4-ABD4-A85328510248}"/>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16243" xr:uid="{93326CC9-8518-49BA-A166-F7F1FB667A8C}"/>
    <cellStyle name="Normal 5 3 4 2 4 2 3" xfId="12025" xr:uid="{5E23AB5D-6DEA-450E-90A7-51F7F6430A82}"/>
    <cellStyle name="Normal 5 3 4 2 4 3" xfId="5648" xr:uid="{00000000-0005-0000-0000-0000311A0000}"/>
    <cellStyle name="Normal 5 3 4 2 4 3 2" xfId="14098" xr:uid="{EF0E2374-E151-4DCA-9491-E3A7D4349950}"/>
    <cellStyle name="Normal 5 3 4 2 4 4" xfId="9880" xr:uid="{C204FD52-8EC5-494A-8D3E-839A355251CB}"/>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16656" xr:uid="{1F80C21B-243B-4847-AA94-8E369CD74B48}"/>
    <cellStyle name="Normal 5 3 4 2 5 2 3" xfId="12438" xr:uid="{DBC55906-CB0B-42D4-A209-30AFE410393E}"/>
    <cellStyle name="Normal 5 3 4 2 5 3" xfId="6061" xr:uid="{00000000-0005-0000-0000-0000351A0000}"/>
    <cellStyle name="Normal 5 3 4 2 5 3 2" xfId="14511" xr:uid="{8A3EEC37-2898-4B94-A3B7-488A93D66172}"/>
    <cellStyle name="Normal 5 3 4 2 5 4" xfId="10293" xr:uid="{3245B765-8C4B-4CC5-9E88-2BAE5851EA98}"/>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17069" xr:uid="{366A7029-C680-4461-AF71-011B97A25F1D}"/>
    <cellStyle name="Normal 5 3 4 2 6 2 3" xfId="12851" xr:uid="{9CBDEF1C-93F9-44AB-9640-036BF22D8585}"/>
    <cellStyle name="Normal 5 3 4 2 6 3" xfId="6474" xr:uid="{00000000-0005-0000-0000-0000391A0000}"/>
    <cellStyle name="Normal 5 3 4 2 6 3 2" xfId="14924" xr:uid="{D0DEACE1-0D19-4954-AFAC-5D84349B262E}"/>
    <cellStyle name="Normal 5 3 4 2 6 4" xfId="10706" xr:uid="{6CF51F72-071A-42B5-A121-1374C4E5CF91}"/>
    <cellStyle name="Normal 5 3 4 2 7" xfId="2604" xr:uid="{00000000-0005-0000-0000-00003A1A0000}"/>
    <cellStyle name="Normal 5 3 4 2 7 2" xfId="6887" xr:uid="{00000000-0005-0000-0000-00003B1A0000}"/>
    <cellStyle name="Normal 5 3 4 2 7 2 2" xfId="15337" xr:uid="{C08A002A-3555-4048-9132-2367B1C7F8D0}"/>
    <cellStyle name="Normal 5 3 4 2 7 3" xfId="11119" xr:uid="{BB605AF8-A3A6-4E07-9304-41920B076F60}"/>
    <cellStyle name="Normal 5 3 4 2 8" xfId="4822" xr:uid="{00000000-0005-0000-0000-00003C1A0000}"/>
    <cellStyle name="Normal 5 3 4 2 8 2" xfId="13272" xr:uid="{1F10FC01-CB8C-4C1A-BD4F-A93B6ED3F533}"/>
    <cellStyle name="Normal 5 3 4 2 9" xfId="9054" xr:uid="{B0860BD7-DF46-430E-AE05-00C6E7C175D4}"/>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15832" xr:uid="{E90289BF-078D-464B-9F92-B552BC208BC5}"/>
    <cellStyle name="Normal 5 3 4 3 2 2 3" xfId="11614" xr:uid="{88A249C2-7DDD-4DEF-8736-5825D7023516}"/>
    <cellStyle name="Normal 5 3 4 3 2 3" xfId="5237" xr:uid="{00000000-0005-0000-0000-0000411A0000}"/>
    <cellStyle name="Normal 5 3 4 3 2 3 2" xfId="13687" xr:uid="{E4548C92-879D-4449-B253-058C87321B14}"/>
    <cellStyle name="Normal 5 3 4 3 2 4" xfId="9469" xr:uid="{7871659E-26D7-4FE5-BAD7-0E53DDBED99B}"/>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16245" xr:uid="{DA14E58E-9B3D-404F-8752-0DE54080DF2B}"/>
    <cellStyle name="Normal 5 3 4 3 3 2 3" xfId="12027" xr:uid="{37FDF65D-4268-418D-8925-4B6BBEB4A02A}"/>
    <cellStyle name="Normal 5 3 4 3 3 3" xfId="5650" xr:uid="{00000000-0005-0000-0000-0000451A0000}"/>
    <cellStyle name="Normal 5 3 4 3 3 3 2" xfId="14100" xr:uid="{5AC11E88-CC5E-4295-AD46-BD7C69B30CB8}"/>
    <cellStyle name="Normal 5 3 4 3 3 4" xfId="9882" xr:uid="{EC3AA705-4868-48B3-92FC-F25032C4DC3E}"/>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16658" xr:uid="{93DACCA8-8A6A-4CB7-90CC-DF45D0DC0D85}"/>
    <cellStyle name="Normal 5 3 4 3 4 2 3" xfId="12440" xr:uid="{5453EBF2-8FE6-4B7B-BEFA-B25DCE4CF4D4}"/>
    <cellStyle name="Normal 5 3 4 3 4 3" xfId="6063" xr:uid="{00000000-0005-0000-0000-0000491A0000}"/>
    <cellStyle name="Normal 5 3 4 3 4 3 2" xfId="14513" xr:uid="{82F71EF0-6E07-4132-BCF2-55CCA839121E}"/>
    <cellStyle name="Normal 5 3 4 3 4 4" xfId="10295" xr:uid="{0F0F4F1E-631A-4DD1-A85F-8F49D71FFC6E}"/>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17071" xr:uid="{2262C30A-B3A6-4185-945F-8F3CA105FA7B}"/>
    <cellStyle name="Normal 5 3 4 3 5 2 3" xfId="12853" xr:uid="{CFA42DB7-F503-4BBC-87D7-1D02673A136F}"/>
    <cellStyle name="Normal 5 3 4 3 5 3" xfId="6476" xr:uid="{00000000-0005-0000-0000-00004D1A0000}"/>
    <cellStyle name="Normal 5 3 4 3 5 3 2" xfId="14926" xr:uid="{6C28A018-E3FD-4689-9CE1-73CBBFCC4F88}"/>
    <cellStyle name="Normal 5 3 4 3 5 4" xfId="10708" xr:uid="{BA74DB44-37BA-4DC7-881E-261166614486}"/>
    <cellStyle name="Normal 5 3 4 3 6" xfId="2606" xr:uid="{00000000-0005-0000-0000-00004E1A0000}"/>
    <cellStyle name="Normal 5 3 4 3 6 2" xfId="6889" xr:uid="{00000000-0005-0000-0000-00004F1A0000}"/>
    <cellStyle name="Normal 5 3 4 3 6 2 2" xfId="15339" xr:uid="{07B8CDC3-4CE5-47B2-89B8-FD5B582264E2}"/>
    <cellStyle name="Normal 5 3 4 3 6 3" xfId="11121" xr:uid="{2FF8B329-B4BC-46B5-BE45-1DE8D7787EF7}"/>
    <cellStyle name="Normal 5 3 4 3 7" xfId="4824" xr:uid="{00000000-0005-0000-0000-0000501A0000}"/>
    <cellStyle name="Normal 5 3 4 3 7 2" xfId="13274" xr:uid="{A64EC44F-3858-474E-8DFB-04F45A0C9924}"/>
    <cellStyle name="Normal 5 3 4 3 8" xfId="9056" xr:uid="{87EDC8D4-427B-4239-B9BA-C954AC516CE9}"/>
    <cellStyle name="Normal 5 3 4 4" xfId="923" xr:uid="{00000000-0005-0000-0000-0000511A0000}"/>
    <cellStyle name="Normal 5 3 4 4 2" xfId="3157" xr:uid="{00000000-0005-0000-0000-0000521A0000}"/>
    <cellStyle name="Normal 5 3 4 4 2 2" xfId="7379" xr:uid="{00000000-0005-0000-0000-0000531A0000}"/>
    <cellStyle name="Normal 5 3 4 4 2 2 2" xfId="15829" xr:uid="{28FD8DC6-5B90-4D76-A762-83846596C258}"/>
    <cellStyle name="Normal 5 3 4 4 2 3" xfId="11611" xr:uid="{66BDB63F-94DF-4965-B988-E881A4FC82AD}"/>
    <cellStyle name="Normal 5 3 4 4 3" xfId="5234" xr:uid="{00000000-0005-0000-0000-0000541A0000}"/>
    <cellStyle name="Normal 5 3 4 4 3 2" xfId="13684" xr:uid="{AC3ED155-A68C-4B1D-B246-696B44989ECA}"/>
    <cellStyle name="Normal 5 3 4 4 4" xfId="9466" xr:uid="{A506BEBC-9691-49CC-85DA-0A80D949C83C}"/>
    <cellStyle name="Normal 5 3 4 5" xfId="1340" xr:uid="{00000000-0005-0000-0000-0000551A0000}"/>
    <cellStyle name="Normal 5 3 4 5 2" xfId="3570" xr:uid="{00000000-0005-0000-0000-0000561A0000}"/>
    <cellStyle name="Normal 5 3 4 5 2 2" xfId="7792" xr:uid="{00000000-0005-0000-0000-0000571A0000}"/>
    <cellStyle name="Normal 5 3 4 5 2 2 2" xfId="16242" xr:uid="{D4BCD333-B421-42D2-B594-4703EA2F26F5}"/>
    <cellStyle name="Normal 5 3 4 5 2 3" xfId="12024" xr:uid="{2AC63F79-85C8-4B03-8FB4-B496E5101877}"/>
    <cellStyle name="Normal 5 3 4 5 3" xfId="5647" xr:uid="{00000000-0005-0000-0000-0000581A0000}"/>
    <cellStyle name="Normal 5 3 4 5 3 2" xfId="14097" xr:uid="{2504B243-8027-48ED-A213-7569E38178D9}"/>
    <cellStyle name="Normal 5 3 4 5 4" xfId="9879" xr:uid="{8E007E44-7237-4E13-851D-5576B672FB23}"/>
    <cellStyle name="Normal 5 3 4 6" xfId="1753" xr:uid="{00000000-0005-0000-0000-0000591A0000}"/>
    <cellStyle name="Normal 5 3 4 6 2" xfId="3983" xr:uid="{00000000-0005-0000-0000-00005A1A0000}"/>
    <cellStyle name="Normal 5 3 4 6 2 2" xfId="8205" xr:uid="{00000000-0005-0000-0000-00005B1A0000}"/>
    <cellStyle name="Normal 5 3 4 6 2 2 2" xfId="16655" xr:uid="{C72DF83E-A5C5-455E-A4F2-DF85D62DAF0C}"/>
    <cellStyle name="Normal 5 3 4 6 2 3" xfId="12437" xr:uid="{98246823-A4DB-4C0B-A6C7-0F7FA1ABB9F1}"/>
    <cellStyle name="Normal 5 3 4 6 3" xfId="6060" xr:uid="{00000000-0005-0000-0000-00005C1A0000}"/>
    <cellStyle name="Normal 5 3 4 6 3 2" xfId="14510" xr:uid="{202CDC56-1BC3-470C-88E8-E06CEDEA6DA2}"/>
    <cellStyle name="Normal 5 3 4 6 4" xfId="10292" xr:uid="{5A2D1D6B-EB74-4808-9405-823EA192B9F1}"/>
    <cellStyle name="Normal 5 3 4 7" xfId="2167" xr:uid="{00000000-0005-0000-0000-00005D1A0000}"/>
    <cellStyle name="Normal 5 3 4 7 2" xfId="4396" xr:uid="{00000000-0005-0000-0000-00005E1A0000}"/>
    <cellStyle name="Normal 5 3 4 7 2 2" xfId="8618" xr:uid="{00000000-0005-0000-0000-00005F1A0000}"/>
    <cellStyle name="Normal 5 3 4 7 2 2 2" xfId="17068" xr:uid="{CC49F9C1-2B70-47CB-B69E-90BBEA74312E}"/>
    <cellStyle name="Normal 5 3 4 7 2 3" xfId="12850" xr:uid="{9C2D20B9-BD3A-46D7-99C6-811031FD3D1E}"/>
    <cellStyle name="Normal 5 3 4 7 3" xfId="6473" xr:uid="{00000000-0005-0000-0000-0000601A0000}"/>
    <cellStyle name="Normal 5 3 4 7 3 2" xfId="14923" xr:uid="{50824CC3-A6FF-4F90-97D2-04E0547E3403}"/>
    <cellStyle name="Normal 5 3 4 7 4" xfId="10705" xr:uid="{0B60CA31-AFFA-49CF-BC60-D5BA2E593698}"/>
    <cellStyle name="Normal 5 3 4 8" xfId="2603" xr:uid="{00000000-0005-0000-0000-0000611A0000}"/>
    <cellStyle name="Normal 5 3 4 8 2" xfId="6886" xr:uid="{00000000-0005-0000-0000-0000621A0000}"/>
    <cellStyle name="Normal 5 3 4 8 2 2" xfId="15336" xr:uid="{3B9A383C-43D9-4730-A8EF-564623B35B17}"/>
    <cellStyle name="Normal 5 3 4 8 3" xfId="11118" xr:uid="{7AC7E199-AEC6-4A09-BA43-CB36F1D4C274}"/>
    <cellStyle name="Normal 5 3 4 9" xfId="4821" xr:uid="{00000000-0005-0000-0000-0000631A0000}"/>
    <cellStyle name="Normal 5 3 4 9 2" xfId="13271" xr:uid="{6AE8E846-6DD3-4BE8-B82F-C8E17A850083}"/>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15834" xr:uid="{5045A9D3-697B-461C-A335-311FD25343B2}"/>
    <cellStyle name="Normal 5 3 5 2 2 2 3" xfId="11616" xr:uid="{4B866BD6-99D9-4805-B054-AF4A031962D3}"/>
    <cellStyle name="Normal 5 3 5 2 2 3" xfId="5239" xr:uid="{00000000-0005-0000-0000-0000691A0000}"/>
    <cellStyle name="Normal 5 3 5 2 2 3 2" xfId="13689" xr:uid="{B86F64FA-B03D-404C-949D-8AAAB51D626E}"/>
    <cellStyle name="Normal 5 3 5 2 2 4" xfId="9471" xr:uid="{36E5F466-51D1-4E7C-A62E-448AB39A562F}"/>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16247" xr:uid="{FE9F98F5-2D43-4847-9B63-9C96A01B855E}"/>
    <cellStyle name="Normal 5 3 5 2 3 2 3" xfId="12029" xr:uid="{83D325B8-21A9-4C5D-A556-B329E0B4BD31}"/>
    <cellStyle name="Normal 5 3 5 2 3 3" xfId="5652" xr:uid="{00000000-0005-0000-0000-00006D1A0000}"/>
    <cellStyle name="Normal 5 3 5 2 3 3 2" xfId="14102" xr:uid="{9DBACE2B-4A51-4F4C-A58F-1D90EE653FE3}"/>
    <cellStyle name="Normal 5 3 5 2 3 4" xfId="9884" xr:uid="{0B55F9F5-2BDD-41B7-86CD-D3E7E6943505}"/>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16660" xr:uid="{782C988D-E234-43D9-BEAC-05D75B1AA310}"/>
    <cellStyle name="Normal 5 3 5 2 4 2 3" xfId="12442" xr:uid="{8F28CEF4-EBCA-4F9B-9137-77355BEDC127}"/>
    <cellStyle name="Normal 5 3 5 2 4 3" xfId="6065" xr:uid="{00000000-0005-0000-0000-0000711A0000}"/>
    <cellStyle name="Normal 5 3 5 2 4 3 2" xfId="14515" xr:uid="{B920A397-A343-4831-9CBC-7606339FC666}"/>
    <cellStyle name="Normal 5 3 5 2 4 4" xfId="10297" xr:uid="{96EDEEBA-BA1F-4C02-97C7-D8F07702A56D}"/>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17073" xr:uid="{EB9AAE94-3A2F-4D0B-BFD9-B39A04ED41E5}"/>
    <cellStyle name="Normal 5 3 5 2 5 2 3" xfId="12855" xr:uid="{C8BD0EBC-5685-4694-984E-8EBCBC12C340}"/>
    <cellStyle name="Normal 5 3 5 2 5 3" xfId="6478" xr:uid="{00000000-0005-0000-0000-0000751A0000}"/>
    <cellStyle name="Normal 5 3 5 2 5 3 2" xfId="14928" xr:uid="{617031D5-7B4A-44AC-836A-53C00114E060}"/>
    <cellStyle name="Normal 5 3 5 2 5 4" xfId="10710" xr:uid="{5283EF23-4B08-4653-8CDA-BAE4C4A55E5D}"/>
    <cellStyle name="Normal 5 3 5 2 6" xfId="2608" xr:uid="{00000000-0005-0000-0000-0000761A0000}"/>
    <cellStyle name="Normal 5 3 5 2 6 2" xfId="6891" xr:uid="{00000000-0005-0000-0000-0000771A0000}"/>
    <cellStyle name="Normal 5 3 5 2 6 2 2" xfId="15341" xr:uid="{4940AD38-33E0-43D4-BE4A-6247D5245E7A}"/>
    <cellStyle name="Normal 5 3 5 2 6 3" xfId="11123" xr:uid="{8DD6D12A-CF4D-408D-A8F1-C3D41AF9693C}"/>
    <cellStyle name="Normal 5 3 5 2 7" xfId="4826" xr:uid="{00000000-0005-0000-0000-0000781A0000}"/>
    <cellStyle name="Normal 5 3 5 2 7 2" xfId="13276" xr:uid="{2B87BE4E-01F4-46D4-9DC7-FC2D65BFEA3F}"/>
    <cellStyle name="Normal 5 3 5 2 8" xfId="9058" xr:uid="{C160EFAE-6DE7-4F87-BF46-2D6D013622DA}"/>
    <cellStyle name="Normal 5 3 5 3" xfId="927" xr:uid="{00000000-0005-0000-0000-0000791A0000}"/>
    <cellStyle name="Normal 5 3 5 3 2" xfId="3161" xr:uid="{00000000-0005-0000-0000-00007A1A0000}"/>
    <cellStyle name="Normal 5 3 5 3 2 2" xfId="7383" xr:uid="{00000000-0005-0000-0000-00007B1A0000}"/>
    <cellStyle name="Normal 5 3 5 3 2 2 2" xfId="15833" xr:uid="{F7E1E687-736D-4E28-84E7-B62EC892410A}"/>
    <cellStyle name="Normal 5 3 5 3 2 3" xfId="11615" xr:uid="{2D4BBCE5-E619-4F3E-987B-96BAEAED0CEA}"/>
    <cellStyle name="Normal 5 3 5 3 3" xfId="5238" xr:uid="{00000000-0005-0000-0000-00007C1A0000}"/>
    <cellStyle name="Normal 5 3 5 3 3 2" xfId="13688" xr:uid="{3CAAD865-7679-4B02-BC9D-CD4C6939F801}"/>
    <cellStyle name="Normal 5 3 5 3 4" xfId="9470" xr:uid="{A5A075EA-0AED-4351-97E1-80EDF73EE3C6}"/>
    <cellStyle name="Normal 5 3 5 4" xfId="1344" xr:uid="{00000000-0005-0000-0000-00007D1A0000}"/>
    <cellStyle name="Normal 5 3 5 4 2" xfId="3574" xr:uid="{00000000-0005-0000-0000-00007E1A0000}"/>
    <cellStyle name="Normal 5 3 5 4 2 2" xfId="7796" xr:uid="{00000000-0005-0000-0000-00007F1A0000}"/>
    <cellStyle name="Normal 5 3 5 4 2 2 2" xfId="16246" xr:uid="{B9892A32-B7C5-40CD-8E0D-9E40F28B32D0}"/>
    <cellStyle name="Normal 5 3 5 4 2 3" xfId="12028" xr:uid="{9DD0092A-44FA-4098-A3C0-CAC590F7C50A}"/>
    <cellStyle name="Normal 5 3 5 4 3" xfId="5651" xr:uid="{00000000-0005-0000-0000-0000801A0000}"/>
    <cellStyle name="Normal 5 3 5 4 3 2" xfId="14101" xr:uid="{2290EE5F-923D-4847-A862-AE63604D7081}"/>
    <cellStyle name="Normal 5 3 5 4 4" xfId="9883" xr:uid="{F0DDA986-E3B2-438D-961F-F611BBCFB2E6}"/>
    <cellStyle name="Normal 5 3 5 5" xfId="1757" xr:uid="{00000000-0005-0000-0000-0000811A0000}"/>
    <cellStyle name="Normal 5 3 5 5 2" xfId="3987" xr:uid="{00000000-0005-0000-0000-0000821A0000}"/>
    <cellStyle name="Normal 5 3 5 5 2 2" xfId="8209" xr:uid="{00000000-0005-0000-0000-0000831A0000}"/>
    <cellStyle name="Normal 5 3 5 5 2 2 2" xfId="16659" xr:uid="{B80DB9F7-5BE3-44E1-B464-885DA6D69C8D}"/>
    <cellStyle name="Normal 5 3 5 5 2 3" xfId="12441" xr:uid="{22B2F590-1603-4793-BAD5-778CE9DDF31C}"/>
    <cellStyle name="Normal 5 3 5 5 3" xfId="6064" xr:uid="{00000000-0005-0000-0000-0000841A0000}"/>
    <cellStyle name="Normal 5 3 5 5 3 2" xfId="14514" xr:uid="{73F3962C-3AD6-4AA9-BE12-EFF3EA0724A7}"/>
    <cellStyle name="Normal 5 3 5 5 4" xfId="10296" xr:uid="{C1153789-906A-47E8-BB89-432DB13DD4AD}"/>
    <cellStyle name="Normal 5 3 5 6" xfId="2171" xr:uid="{00000000-0005-0000-0000-0000851A0000}"/>
    <cellStyle name="Normal 5 3 5 6 2" xfId="4400" xr:uid="{00000000-0005-0000-0000-0000861A0000}"/>
    <cellStyle name="Normal 5 3 5 6 2 2" xfId="8622" xr:uid="{00000000-0005-0000-0000-0000871A0000}"/>
    <cellStyle name="Normal 5 3 5 6 2 2 2" xfId="17072" xr:uid="{2557BAE1-C95B-4822-A851-F26DAB4384F9}"/>
    <cellStyle name="Normal 5 3 5 6 2 3" xfId="12854" xr:uid="{0556B66D-CA45-44E7-B94B-6FA63A09E7A1}"/>
    <cellStyle name="Normal 5 3 5 6 3" xfId="6477" xr:uid="{00000000-0005-0000-0000-0000881A0000}"/>
    <cellStyle name="Normal 5 3 5 6 3 2" xfId="14927" xr:uid="{DD6F6008-C15D-447E-8C7D-F57BCAC65406}"/>
    <cellStyle name="Normal 5 3 5 6 4" xfId="10709" xr:uid="{C14C14B4-D21D-4801-9724-CFEBD7EDCB0D}"/>
    <cellStyle name="Normal 5 3 5 7" xfId="2607" xr:uid="{00000000-0005-0000-0000-0000891A0000}"/>
    <cellStyle name="Normal 5 3 5 7 2" xfId="6890" xr:uid="{00000000-0005-0000-0000-00008A1A0000}"/>
    <cellStyle name="Normal 5 3 5 7 2 2" xfId="15340" xr:uid="{BF2D6AFB-BE0E-48C6-8E4D-B38BF26D9F13}"/>
    <cellStyle name="Normal 5 3 5 7 3" xfId="11122" xr:uid="{FD33942A-2679-4B97-A5B6-2B2684AF2AAB}"/>
    <cellStyle name="Normal 5 3 5 8" xfId="4825" xr:uid="{00000000-0005-0000-0000-00008B1A0000}"/>
    <cellStyle name="Normal 5 3 5 8 2" xfId="13275" xr:uid="{47DB1CAF-E7D0-46C4-B464-6A89EB3A4D49}"/>
    <cellStyle name="Normal 5 3 5 9" xfId="9057" xr:uid="{E94332B2-137C-4778-A6B6-25E1771818E6}"/>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2 2 2" xfId="15835" xr:uid="{93DD362C-B190-4786-A831-7FFC9C919CDC}"/>
    <cellStyle name="Normal 5 3 6 2 2 3" xfId="11617" xr:uid="{91F24E75-D11F-41D7-8F89-7AA018F0AAC8}"/>
    <cellStyle name="Normal 5 3 6 2 3" xfId="5240" xr:uid="{00000000-0005-0000-0000-0000901A0000}"/>
    <cellStyle name="Normal 5 3 6 2 3 2" xfId="13690" xr:uid="{5E4447A5-9B4E-4BEA-A5E7-EFA5365C36EA}"/>
    <cellStyle name="Normal 5 3 6 2 4" xfId="9472" xr:uid="{5245A7E5-5F3C-430F-8E38-BC9D9EBB559B}"/>
    <cellStyle name="Normal 5 3 6 3" xfId="1346" xr:uid="{00000000-0005-0000-0000-0000911A0000}"/>
    <cellStyle name="Normal 5 3 6 3 2" xfId="3576" xr:uid="{00000000-0005-0000-0000-0000921A0000}"/>
    <cellStyle name="Normal 5 3 6 3 2 2" xfId="7798" xr:uid="{00000000-0005-0000-0000-0000931A0000}"/>
    <cellStyle name="Normal 5 3 6 3 2 2 2" xfId="16248" xr:uid="{42E0981B-94D6-4567-AC0C-443C285463C1}"/>
    <cellStyle name="Normal 5 3 6 3 2 3" xfId="12030" xr:uid="{AAD7F681-0776-4A16-B7FB-809203E74DD1}"/>
    <cellStyle name="Normal 5 3 6 3 3" xfId="5653" xr:uid="{00000000-0005-0000-0000-0000941A0000}"/>
    <cellStyle name="Normal 5 3 6 3 3 2" xfId="14103" xr:uid="{974F15DC-72D4-4614-89B6-75F9DD33805F}"/>
    <cellStyle name="Normal 5 3 6 3 4" xfId="9885" xr:uid="{95CBB640-6B94-4661-9DBC-C542D7BA9962}"/>
    <cellStyle name="Normal 5 3 6 4" xfId="1759" xr:uid="{00000000-0005-0000-0000-0000951A0000}"/>
    <cellStyle name="Normal 5 3 6 4 2" xfId="3989" xr:uid="{00000000-0005-0000-0000-0000961A0000}"/>
    <cellStyle name="Normal 5 3 6 4 2 2" xfId="8211" xr:uid="{00000000-0005-0000-0000-0000971A0000}"/>
    <cellStyle name="Normal 5 3 6 4 2 2 2" xfId="16661" xr:uid="{EB2CB040-D200-4EEB-A580-9E4A84351D93}"/>
    <cellStyle name="Normal 5 3 6 4 2 3" xfId="12443" xr:uid="{BD18BBCE-B0B5-4F9B-9D36-E3A32FA07245}"/>
    <cellStyle name="Normal 5 3 6 4 3" xfId="6066" xr:uid="{00000000-0005-0000-0000-0000981A0000}"/>
    <cellStyle name="Normal 5 3 6 4 3 2" xfId="14516" xr:uid="{550F7162-8167-4DF1-9A7E-4F164241689D}"/>
    <cellStyle name="Normal 5 3 6 4 4" xfId="10298" xr:uid="{D09A49EC-18CB-49F2-A63A-4A428DEE9114}"/>
    <cellStyle name="Normal 5 3 6 5" xfId="2173" xr:uid="{00000000-0005-0000-0000-0000991A0000}"/>
    <cellStyle name="Normal 5 3 6 5 2" xfId="4402" xr:uid="{00000000-0005-0000-0000-00009A1A0000}"/>
    <cellStyle name="Normal 5 3 6 5 2 2" xfId="8624" xr:uid="{00000000-0005-0000-0000-00009B1A0000}"/>
    <cellStyle name="Normal 5 3 6 5 2 2 2" xfId="17074" xr:uid="{444DBD9B-8313-4F91-B1AD-19CDA4C829A0}"/>
    <cellStyle name="Normal 5 3 6 5 2 3" xfId="12856" xr:uid="{BED7FDD8-9889-492A-AD6A-15251CB4BC40}"/>
    <cellStyle name="Normal 5 3 6 5 3" xfId="6479" xr:uid="{00000000-0005-0000-0000-00009C1A0000}"/>
    <cellStyle name="Normal 5 3 6 5 3 2" xfId="14929" xr:uid="{E3FEA950-9BE8-4C21-86B7-C8F13CD26F32}"/>
    <cellStyle name="Normal 5 3 6 5 4" xfId="10711" xr:uid="{6A9D63AD-AC16-41DD-8756-8454F19F87B1}"/>
    <cellStyle name="Normal 5 3 6 6" xfId="2609" xr:uid="{00000000-0005-0000-0000-00009D1A0000}"/>
    <cellStyle name="Normal 5 3 6 6 2" xfId="6892" xr:uid="{00000000-0005-0000-0000-00009E1A0000}"/>
    <cellStyle name="Normal 5 3 6 6 2 2" xfId="15342" xr:uid="{F6F5F08F-A2F4-404E-A0D7-EB1DEDDFF559}"/>
    <cellStyle name="Normal 5 3 6 6 3" xfId="11124" xr:uid="{35B9454B-C62B-456D-8E4B-0C8807E9A1CE}"/>
    <cellStyle name="Normal 5 3 6 7" xfId="4827" xr:uid="{00000000-0005-0000-0000-00009F1A0000}"/>
    <cellStyle name="Normal 5 3 6 7 2" xfId="13277" xr:uid="{70F440B7-48E9-4268-94B6-A66F579C5158}"/>
    <cellStyle name="Normal 5 3 6 8" xfId="9059" xr:uid="{6A2C76AF-3B02-4FBB-8CB8-2AB3CD671F46}"/>
    <cellStyle name="Normal 5 3 7" xfId="913" xr:uid="{00000000-0005-0000-0000-0000A01A0000}"/>
    <cellStyle name="Normal 5 3 7 2" xfId="3148" xr:uid="{00000000-0005-0000-0000-0000A11A0000}"/>
    <cellStyle name="Normal 5 3 7 2 2" xfId="7370" xr:uid="{00000000-0005-0000-0000-0000A21A0000}"/>
    <cellStyle name="Normal 5 3 7 2 2 2" xfId="15820" xr:uid="{BB84D3F0-7DEC-4000-8835-045F43AC7CD7}"/>
    <cellStyle name="Normal 5 3 7 2 3" xfId="11602" xr:uid="{1467F706-836C-4456-AAC9-14664BCD35E6}"/>
    <cellStyle name="Normal 5 3 7 3" xfId="5225" xr:uid="{00000000-0005-0000-0000-0000A31A0000}"/>
    <cellStyle name="Normal 5 3 7 3 2" xfId="13675" xr:uid="{6D0ABE4C-5AE7-4BC2-AAEE-1E4FD29B0F3E}"/>
    <cellStyle name="Normal 5 3 7 4" xfId="9457" xr:uid="{D3D68134-A485-452D-9C19-571F76C61A80}"/>
    <cellStyle name="Normal 5 3 8" xfId="1331" xr:uid="{00000000-0005-0000-0000-0000A41A0000}"/>
    <cellStyle name="Normal 5 3 8 2" xfId="3561" xr:uid="{00000000-0005-0000-0000-0000A51A0000}"/>
    <cellStyle name="Normal 5 3 8 2 2" xfId="7783" xr:uid="{00000000-0005-0000-0000-0000A61A0000}"/>
    <cellStyle name="Normal 5 3 8 2 2 2" xfId="16233" xr:uid="{E75D0AFA-6243-4BEB-98E3-E740538D807C}"/>
    <cellStyle name="Normal 5 3 8 2 3" xfId="12015" xr:uid="{44F5A1B4-4763-4EA7-84FF-C1A403631CD2}"/>
    <cellStyle name="Normal 5 3 8 3" xfId="5638" xr:uid="{00000000-0005-0000-0000-0000A71A0000}"/>
    <cellStyle name="Normal 5 3 8 3 2" xfId="14088" xr:uid="{F67C73C5-4448-429D-A4B9-E408562DD71E}"/>
    <cellStyle name="Normal 5 3 8 4" xfId="9870" xr:uid="{796D78D2-8215-44D7-8E96-8740AE30F887}"/>
    <cellStyle name="Normal 5 3 9" xfId="1744" xr:uid="{00000000-0005-0000-0000-0000A81A0000}"/>
    <cellStyle name="Normal 5 3 9 2" xfId="3974" xr:uid="{00000000-0005-0000-0000-0000A91A0000}"/>
    <cellStyle name="Normal 5 3 9 2 2" xfId="8196" xr:uid="{00000000-0005-0000-0000-0000AA1A0000}"/>
    <cellStyle name="Normal 5 3 9 2 2 2" xfId="16646" xr:uid="{5E995F6E-2A0B-43E3-9A43-586117420FDF}"/>
    <cellStyle name="Normal 5 3 9 2 3" xfId="12428" xr:uid="{BC95EFCA-C084-4E4C-ACF8-7C6C32837C72}"/>
    <cellStyle name="Normal 5 3 9 3" xfId="6051" xr:uid="{00000000-0005-0000-0000-0000AB1A0000}"/>
    <cellStyle name="Normal 5 3 9 3 2" xfId="14501" xr:uid="{50EFFA2E-A23A-42DB-897C-559ABE76C5DF}"/>
    <cellStyle name="Normal 5 3 9 4" xfId="10283" xr:uid="{352D809C-26C6-4647-9911-E84A3D2A0899}"/>
    <cellStyle name="Normal 5 4" xfId="456" xr:uid="{00000000-0005-0000-0000-0000AC1A0000}"/>
    <cellStyle name="Normal 5 4 10" xfId="4828" xr:uid="{00000000-0005-0000-0000-0000AD1A0000}"/>
    <cellStyle name="Normal 5 4 10 2" xfId="13278" xr:uid="{897787AB-3A09-41B9-AB08-8DEE6B79A486}"/>
    <cellStyle name="Normal 5 4 11" xfId="9060" xr:uid="{483FDA26-29BF-4112-B427-D1A9BA419C73}"/>
    <cellStyle name="Normal 5 4 2" xfId="457" xr:uid="{00000000-0005-0000-0000-0000AE1A0000}"/>
    <cellStyle name="Normal 5 4 2 10" xfId="9061" xr:uid="{9BEF994A-4DF8-4B97-B615-00C70F38BFF9}"/>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15839" xr:uid="{CD82C59E-7FFE-4CEF-9BA2-8052416D0DC5}"/>
    <cellStyle name="Normal 5 4 2 2 2 2 2 3" xfId="11621" xr:uid="{E83037B6-A095-43C9-8740-62B75FE351C8}"/>
    <cellStyle name="Normal 5 4 2 2 2 2 3" xfId="5244" xr:uid="{00000000-0005-0000-0000-0000B41A0000}"/>
    <cellStyle name="Normal 5 4 2 2 2 2 3 2" xfId="13694" xr:uid="{F8E402DF-81E0-4135-A149-604E53087AB4}"/>
    <cellStyle name="Normal 5 4 2 2 2 2 4" xfId="9476" xr:uid="{A83D21FB-E5CB-4E54-B083-ED33ABDFEBF1}"/>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16252" xr:uid="{F3255830-9DF9-418D-9248-F7C6EDD5B5D5}"/>
    <cellStyle name="Normal 5 4 2 2 2 3 2 3" xfId="12034" xr:uid="{E7741D2B-1761-4756-A9C2-00C60CFFB1B2}"/>
    <cellStyle name="Normal 5 4 2 2 2 3 3" xfId="5657" xr:uid="{00000000-0005-0000-0000-0000B81A0000}"/>
    <cellStyle name="Normal 5 4 2 2 2 3 3 2" xfId="14107" xr:uid="{71AD6A54-6492-44C5-8394-D2E29AF30B45}"/>
    <cellStyle name="Normal 5 4 2 2 2 3 4" xfId="9889" xr:uid="{809F25E7-72C8-4905-B122-B8490BAE10A9}"/>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16665" xr:uid="{BD4C4F87-92C8-4F63-B901-0528514F2D8D}"/>
    <cellStyle name="Normal 5 4 2 2 2 4 2 3" xfId="12447" xr:uid="{A52E0CD1-047F-40EE-AF74-F525065A21E7}"/>
    <cellStyle name="Normal 5 4 2 2 2 4 3" xfId="6070" xr:uid="{00000000-0005-0000-0000-0000BC1A0000}"/>
    <cellStyle name="Normal 5 4 2 2 2 4 3 2" xfId="14520" xr:uid="{59AD1B7E-3366-4D20-BE5F-107D7960CDED}"/>
    <cellStyle name="Normal 5 4 2 2 2 4 4" xfId="10302" xr:uid="{51621F99-E0AB-4F75-953B-6D83CA2B8A0C}"/>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17078" xr:uid="{45E05DE1-72FA-4C4E-80DD-3E52D96B0EAF}"/>
    <cellStyle name="Normal 5 4 2 2 2 5 2 3" xfId="12860" xr:uid="{277AFAEE-E02A-464F-93FF-DB8E66B016E8}"/>
    <cellStyle name="Normal 5 4 2 2 2 5 3" xfId="6483" xr:uid="{00000000-0005-0000-0000-0000C01A0000}"/>
    <cellStyle name="Normal 5 4 2 2 2 5 3 2" xfId="14933" xr:uid="{C7E57A66-3096-40B4-A074-BDD2D049A10C}"/>
    <cellStyle name="Normal 5 4 2 2 2 5 4" xfId="10715" xr:uid="{7B747ED3-BA8A-4873-9821-409BBFB9BF54}"/>
    <cellStyle name="Normal 5 4 2 2 2 6" xfId="2613" xr:uid="{00000000-0005-0000-0000-0000C11A0000}"/>
    <cellStyle name="Normal 5 4 2 2 2 6 2" xfId="6896" xr:uid="{00000000-0005-0000-0000-0000C21A0000}"/>
    <cellStyle name="Normal 5 4 2 2 2 6 2 2" xfId="15346" xr:uid="{BBE8ED93-081F-445B-80F4-548CBE43E0C5}"/>
    <cellStyle name="Normal 5 4 2 2 2 6 3" xfId="11128" xr:uid="{239A21D2-960C-4AB1-95FC-02430D036A80}"/>
    <cellStyle name="Normal 5 4 2 2 2 7" xfId="4831" xr:uid="{00000000-0005-0000-0000-0000C31A0000}"/>
    <cellStyle name="Normal 5 4 2 2 2 7 2" xfId="13281" xr:uid="{F5F7384A-1AAD-4B06-B630-4F8A3667C4AA}"/>
    <cellStyle name="Normal 5 4 2 2 2 8" xfId="9063" xr:uid="{31FD971E-4A2C-4058-9BEC-A2FA89AAA9A4}"/>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15838" xr:uid="{09318A44-58B6-45E9-BF0E-C562FAFE974A}"/>
    <cellStyle name="Normal 5 4 2 2 3 2 3" xfId="11620" xr:uid="{C3B728DC-C0C9-4184-8782-92C27286B023}"/>
    <cellStyle name="Normal 5 4 2 2 3 3" xfId="5243" xr:uid="{00000000-0005-0000-0000-0000C71A0000}"/>
    <cellStyle name="Normal 5 4 2 2 3 3 2" xfId="13693" xr:uid="{725A5DCC-ED8E-405E-8F65-1E4DF38C7F20}"/>
    <cellStyle name="Normal 5 4 2 2 3 4" xfId="9475" xr:uid="{45CB865A-E3E7-4F63-BE3A-B7EA03BC527B}"/>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16251" xr:uid="{C108D57B-4624-4659-A2DC-0C06CF5EB29B}"/>
    <cellStyle name="Normal 5 4 2 2 4 2 3" xfId="12033" xr:uid="{85EE3FCE-2AE5-4ADC-A223-827A34E551D2}"/>
    <cellStyle name="Normal 5 4 2 2 4 3" xfId="5656" xr:uid="{00000000-0005-0000-0000-0000CB1A0000}"/>
    <cellStyle name="Normal 5 4 2 2 4 3 2" xfId="14106" xr:uid="{B295B512-2DF2-475A-A358-96FE373B3B42}"/>
    <cellStyle name="Normal 5 4 2 2 4 4" xfId="9888" xr:uid="{8D49239C-72B6-46F0-ABDE-3E2A4E69492A}"/>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16664" xr:uid="{15D61942-A40D-416A-A561-E06F5B662F98}"/>
    <cellStyle name="Normal 5 4 2 2 5 2 3" xfId="12446" xr:uid="{B98D0F9E-C1AF-4FBE-BD12-3B8E5E4F2D2A}"/>
    <cellStyle name="Normal 5 4 2 2 5 3" xfId="6069" xr:uid="{00000000-0005-0000-0000-0000CF1A0000}"/>
    <cellStyle name="Normal 5 4 2 2 5 3 2" xfId="14519" xr:uid="{ED5BCA19-D4F7-4785-9291-4189551AA878}"/>
    <cellStyle name="Normal 5 4 2 2 5 4" xfId="10301" xr:uid="{12FD7F49-4917-4176-83F7-CB7ECFC7FABB}"/>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17077" xr:uid="{7B9CDD3C-880B-471E-8FCA-2E6487C29F5B}"/>
    <cellStyle name="Normal 5 4 2 2 6 2 3" xfId="12859" xr:uid="{D2EDE47E-ECA3-4D00-96B3-A356B8652248}"/>
    <cellStyle name="Normal 5 4 2 2 6 3" xfId="6482" xr:uid="{00000000-0005-0000-0000-0000D31A0000}"/>
    <cellStyle name="Normal 5 4 2 2 6 3 2" xfId="14932" xr:uid="{17F11EE1-833A-45B5-A969-5344F5C97BC9}"/>
    <cellStyle name="Normal 5 4 2 2 6 4" xfId="10714" xr:uid="{FB11D71A-4A5C-434D-9D5E-707D196D5EC9}"/>
    <cellStyle name="Normal 5 4 2 2 7" xfId="2612" xr:uid="{00000000-0005-0000-0000-0000D41A0000}"/>
    <cellStyle name="Normal 5 4 2 2 7 2" xfId="6895" xr:uid="{00000000-0005-0000-0000-0000D51A0000}"/>
    <cellStyle name="Normal 5 4 2 2 7 2 2" xfId="15345" xr:uid="{A882B980-3B1A-4764-A865-6EB56E4BB313}"/>
    <cellStyle name="Normal 5 4 2 2 7 3" xfId="11127" xr:uid="{95ACE64E-725C-4CB1-9A0E-DE53F0540698}"/>
    <cellStyle name="Normal 5 4 2 2 8" xfId="4830" xr:uid="{00000000-0005-0000-0000-0000D61A0000}"/>
    <cellStyle name="Normal 5 4 2 2 8 2" xfId="13280" xr:uid="{4C094A48-B5AC-4292-91EB-5F29F1655040}"/>
    <cellStyle name="Normal 5 4 2 2 9" xfId="9062" xr:uid="{E7E241E0-9893-41E8-BCB9-202B29959DDC}"/>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15840" xr:uid="{91CF6FCA-4A06-41DF-A406-B1ACFD67D6E6}"/>
    <cellStyle name="Normal 5 4 2 3 2 2 3" xfId="11622" xr:uid="{573E85A6-47D3-4130-99D3-C14A571E34D1}"/>
    <cellStyle name="Normal 5 4 2 3 2 3" xfId="5245" xr:uid="{00000000-0005-0000-0000-0000DB1A0000}"/>
    <cellStyle name="Normal 5 4 2 3 2 3 2" xfId="13695" xr:uid="{598D43CA-F81E-4DC4-83DC-107CE08B9C16}"/>
    <cellStyle name="Normal 5 4 2 3 2 4" xfId="9477" xr:uid="{160E7288-A41E-413B-BA40-CABAC7C6BFD7}"/>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16253" xr:uid="{946E7BA2-6A4B-459A-B8C8-C2A5C0458349}"/>
    <cellStyle name="Normal 5 4 2 3 3 2 3" xfId="12035" xr:uid="{C3CAA370-FAAD-4FED-A251-86492F599183}"/>
    <cellStyle name="Normal 5 4 2 3 3 3" xfId="5658" xr:uid="{00000000-0005-0000-0000-0000DF1A0000}"/>
    <cellStyle name="Normal 5 4 2 3 3 3 2" xfId="14108" xr:uid="{38CC4A2B-4730-40F8-A187-666674116B28}"/>
    <cellStyle name="Normal 5 4 2 3 3 4" xfId="9890" xr:uid="{436451EF-A557-4557-B5B4-662C5840D022}"/>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16666" xr:uid="{2874BA69-8C3A-4EFF-95EA-A735B2067265}"/>
    <cellStyle name="Normal 5 4 2 3 4 2 3" xfId="12448" xr:uid="{FBD3D964-45D0-48F6-A08B-0FE25FCD719B}"/>
    <cellStyle name="Normal 5 4 2 3 4 3" xfId="6071" xr:uid="{00000000-0005-0000-0000-0000E31A0000}"/>
    <cellStyle name="Normal 5 4 2 3 4 3 2" xfId="14521" xr:uid="{3F85B989-24A0-4E53-AF9A-D9ADFFCADD6E}"/>
    <cellStyle name="Normal 5 4 2 3 4 4" xfId="10303" xr:uid="{4C8E039E-E40A-4684-A5D9-F859A0CA9957}"/>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17079" xr:uid="{A883D7F9-79C5-4610-8886-2471AECC2E28}"/>
    <cellStyle name="Normal 5 4 2 3 5 2 3" xfId="12861" xr:uid="{4738DC99-4590-459D-90B4-2C305D88A825}"/>
    <cellStyle name="Normal 5 4 2 3 5 3" xfId="6484" xr:uid="{00000000-0005-0000-0000-0000E71A0000}"/>
    <cellStyle name="Normal 5 4 2 3 5 3 2" xfId="14934" xr:uid="{177873F8-6F18-4637-935E-1439EE55CFD1}"/>
    <cellStyle name="Normal 5 4 2 3 5 4" xfId="10716" xr:uid="{3029B912-0E34-44E7-A044-877D30B41571}"/>
    <cellStyle name="Normal 5 4 2 3 6" xfId="2614" xr:uid="{00000000-0005-0000-0000-0000E81A0000}"/>
    <cellStyle name="Normal 5 4 2 3 6 2" xfId="6897" xr:uid="{00000000-0005-0000-0000-0000E91A0000}"/>
    <cellStyle name="Normal 5 4 2 3 6 2 2" xfId="15347" xr:uid="{FA907F15-6C17-4BFB-9CE3-045C303509DE}"/>
    <cellStyle name="Normal 5 4 2 3 6 3" xfId="11129" xr:uid="{4C6F1362-8AC8-474D-8A0E-864985116560}"/>
    <cellStyle name="Normal 5 4 2 3 7" xfId="4832" xr:uid="{00000000-0005-0000-0000-0000EA1A0000}"/>
    <cellStyle name="Normal 5 4 2 3 7 2" xfId="13282" xr:uid="{69CDBF6C-0B5E-4CF5-AA8A-C3C12D18E3A5}"/>
    <cellStyle name="Normal 5 4 2 3 8" xfId="9064" xr:uid="{F01FE319-C6B9-4E8F-87D1-83A1F1D87DDC}"/>
    <cellStyle name="Normal 5 4 2 4" xfId="931" xr:uid="{00000000-0005-0000-0000-0000EB1A0000}"/>
    <cellStyle name="Normal 5 4 2 4 2" xfId="3165" xr:uid="{00000000-0005-0000-0000-0000EC1A0000}"/>
    <cellStyle name="Normal 5 4 2 4 2 2" xfId="7387" xr:uid="{00000000-0005-0000-0000-0000ED1A0000}"/>
    <cellStyle name="Normal 5 4 2 4 2 2 2" xfId="15837" xr:uid="{0A02FA07-8211-4031-B855-F5B4E9E11653}"/>
    <cellStyle name="Normal 5 4 2 4 2 3" xfId="11619" xr:uid="{9D82328B-2431-4F6D-9FF3-EEF6FAE2A023}"/>
    <cellStyle name="Normal 5 4 2 4 3" xfId="5242" xr:uid="{00000000-0005-0000-0000-0000EE1A0000}"/>
    <cellStyle name="Normal 5 4 2 4 3 2" xfId="13692" xr:uid="{EFD2C701-C979-41DB-B947-702613F0A7FA}"/>
    <cellStyle name="Normal 5 4 2 4 4" xfId="9474" xr:uid="{1AD920D6-800B-4A66-9F07-04B66F2A1760}"/>
    <cellStyle name="Normal 5 4 2 5" xfId="1348" xr:uid="{00000000-0005-0000-0000-0000EF1A0000}"/>
    <cellStyle name="Normal 5 4 2 5 2" xfId="3578" xr:uid="{00000000-0005-0000-0000-0000F01A0000}"/>
    <cellStyle name="Normal 5 4 2 5 2 2" xfId="7800" xr:uid="{00000000-0005-0000-0000-0000F11A0000}"/>
    <cellStyle name="Normal 5 4 2 5 2 2 2" xfId="16250" xr:uid="{73DA1FFE-546E-46D7-9421-CD655420C1E3}"/>
    <cellStyle name="Normal 5 4 2 5 2 3" xfId="12032" xr:uid="{EC62C403-5616-4E13-AD77-5BC1B2D91EBB}"/>
    <cellStyle name="Normal 5 4 2 5 3" xfId="5655" xr:uid="{00000000-0005-0000-0000-0000F21A0000}"/>
    <cellStyle name="Normal 5 4 2 5 3 2" xfId="14105" xr:uid="{CDCF37AA-B8AA-4F79-AEF1-88C2D7BA143E}"/>
    <cellStyle name="Normal 5 4 2 5 4" xfId="9887" xr:uid="{C34091F5-E4CC-4F94-871F-B651F49C481E}"/>
    <cellStyle name="Normal 5 4 2 6" xfId="1761" xr:uid="{00000000-0005-0000-0000-0000F31A0000}"/>
    <cellStyle name="Normal 5 4 2 6 2" xfId="3991" xr:uid="{00000000-0005-0000-0000-0000F41A0000}"/>
    <cellStyle name="Normal 5 4 2 6 2 2" xfId="8213" xr:uid="{00000000-0005-0000-0000-0000F51A0000}"/>
    <cellStyle name="Normal 5 4 2 6 2 2 2" xfId="16663" xr:uid="{DE2A0623-2FF7-4D59-8488-F2DCD5924EA7}"/>
    <cellStyle name="Normal 5 4 2 6 2 3" xfId="12445" xr:uid="{5479CE05-F44F-487C-BC0A-D4A1EAE888CA}"/>
    <cellStyle name="Normal 5 4 2 6 3" xfId="6068" xr:uid="{00000000-0005-0000-0000-0000F61A0000}"/>
    <cellStyle name="Normal 5 4 2 6 3 2" xfId="14518" xr:uid="{B5A82541-7B61-4C6E-BB7B-B6E90AEF7D61}"/>
    <cellStyle name="Normal 5 4 2 6 4" xfId="10300" xr:uid="{0C9AE988-0811-438C-979C-03D466331468}"/>
    <cellStyle name="Normal 5 4 2 7" xfId="2175" xr:uid="{00000000-0005-0000-0000-0000F71A0000}"/>
    <cellStyle name="Normal 5 4 2 7 2" xfId="4404" xr:uid="{00000000-0005-0000-0000-0000F81A0000}"/>
    <cellStyle name="Normal 5 4 2 7 2 2" xfId="8626" xr:uid="{00000000-0005-0000-0000-0000F91A0000}"/>
    <cellStyle name="Normal 5 4 2 7 2 2 2" xfId="17076" xr:uid="{711AB81D-DFD0-422E-8E48-AD6407C118A8}"/>
    <cellStyle name="Normal 5 4 2 7 2 3" xfId="12858" xr:uid="{6C12D7A6-52D7-459C-A9B6-F499FB4D65ED}"/>
    <cellStyle name="Normal 5 4 2 7 3" xfId="6481" xr:uid="{00000000-0005-0000-0000-0000FA1A0000}"/>
    <cellStyle name="Normal 5 4 2 7 3 2" xfId="14931" xr:uid="{0F5EC6D9-0C22-41A1-9C58-BE1053610162}"/>
    <cellStyle name="Normal 5 4 2 7 4" xfId="10713" xr:uid="{80E9D809-548C-402E-AEA2-9688B33FEEE8}"/>
    <cellStyle name="Normal 5 4 2 8" xfId="2611" xr:uid="{00000000-0005-0000-0000-0000FB1A0000}"/>
    <cellStyle name="Normal 5 4 2 8 2" xfId="6894" xr:uid="{00000000-0005-0000-0000-0000FC1A0000}"/>
    <cellStyle name="Normal 5 4 2 8 2 2" xfId="15344" xr:uid="{11E538F9-8633-4120-9AF5-0CE36CF182B2}"/>
    <cellStyle name="Normal 5 4 2 8 3" xfId="11126" xr:uid="{A46AFE6C-2024-4DC2-9569-071A53B023BA}"/>
    <cellStyle name="Normal 5 4 2 9" xfId="4829" xr:uid="{00000000-0005-0000-0000-0000FD1A0000}"/>
    <cellStyle name="Normal 5 4 2 9 2" xfId="13279" xr:uid="{4AD30942-D662-4A40-9268-7C07DD468748}"/>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15842" xr:uid="{2C2D2DB5-5C91-48B1-BB71-D09E67943336}"/>
    <cellStyle name="Normal 5 4 3 2 2 2 3" xfId="11624" xr:uid="{E5E211A1-8DA1-4039-A013-81CB5022949E}"/>
    <cellStyle name="Normal 5 4 3 2 2 3" xfId="5247" xr:uid="{00000000-0005-0000-0000-0000031B0000}"/>
    <cellStyle name="Normal 5 4 3 2 2 3 2" xfId="13697" xr:uid="{76770F8B-74D0-4185-A358-D19CDFE07B80}"/>
    <cellStyle name="Normal 5 4 3 2 2 4" xfId="9479" xr:uid="{4649DB50-1471-403B-9558-EB6939E0BC3D}"/>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16255" xr:uid="{F2C59213-EF7E-4C79-84A4-24A3F11B4907}"/>
    <cellStyle name="Normal 5 4 3 2 3 2 3" xfId="12037" xr:uid="{54772701-AC24-47D7-9A74-01B4FDA2274B}"/>
    <cellStyle name="Normal 5 4 3 2 3 3" xfId="5660" xr:uid="{00000000-0005-0000-0000-0000071B0000}"/>
    <cellStyle name="Normal 5 4 3 2 3 3 2" xfId="14110" xr:uid="{EAC08D50-A782-4C44-B711-3C5D9C96EB98}"/>
    <cellStyle name="Normal 5 4 3 2 3 4" xfId="9892" xr:uid="{7479FA27-12DB-4400-9732-378C19A23735}"/>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16668" xr:uid="{697AC6D8-3CB7-4CE2-B332-81FB0DC98092}"/>
    <cellStyle name="Normal 5 4 3 2 4 2 3" xfId="12450" xr:uid="{8B7300A3-012C-42A0-B079-9BD6E09B2034}"/>
    <cellStyle name="Normal 5 4 3 2 4 3" xfId="6073" xr:uid="{00000000-0005-0000-0000-00000B1B0000}"/>
    <cellStyle name="Normal 5 4 3 2 4 3 2" xfId="14523" xr:uid="{C7367F3D-15E5-4344-AC55-09BBC613F3CB}"/>
    <cellStyle name="Normal 5 4 3 2 4 4" xfId="10305" xr:uid="{C47C849F-300D-4231-88FF-0DA80AB064EE}"/>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17081" xr:uid="{0114572A-BA00-4296-8839-8C5DD9B325EE}"/>
    <cellStyle name="Normal 5 4 3 2 5 2 3" xfId="12863" xr:uid="{79A9C852-39A7-4585-8E7A-CFC6443571D5}"/>
    <cellStyle name="Normal 5 4 3 2 5 3" xfId="6486" xr:uid="{00000000-0005-0000-0000-00000F1B0000}"/>
    <cellStyle name="Normal 5 4 3 2 5 3 2" xfId="14936" xr:uid="{2F4AC092-F4C3-498F-B888-7611CF1E9B5A}"/>
    <cellStyle name="Normal 5 4 3 2 5 4" xfId="10718" xr:uid="{6E5D6A0C-CF1A-48A1-A991-326D1DFE0439}"/>
    <cellStyle name="Normal 5 4 3 2 6" xfId="2616" xr:uid="{00000000-0005-0000-0000-0000101B0000}"/>
    <cellStyle name="Normal 5 4 3 2 6 2" xfId="6899" xr:uid="{00000000-0005-0000-0000-0000111B0000}"/>
    <cellStyle name="Normal 5 4 3 2 6 2 2" xfId="15349" xr:uid="{CA564BA4-775B-4C44-B162-D7E9056100F1}"/>
    <cellStyle name="Normal 5 4 3 2 6 3" xfId="11131" xr:uid="{207223ED-7659-413A-9D10-66F442238227}"/>
    <cellStyle name="Normal 5 4 3 2 7" xfId="4834" xr:uid="{00000000-0005-0000-0000-0000121B0000}"/>
    <cellStyle name="Normal 5 4 3 2 7 2" xfId="13284" xr:uid="{DDA1C53D-C028-489E-AF73-9A4C2E3F8911}"/>
    <cellStyle name="Normal 5 4 3 2 8" xfId="9066" xr:uid="{7254BFBF-BCA3-4263-A5AC-A9174EEF36B1}"/>
    <cellStyle name="Normal 5 4 3 3" xfId="935" xr:uid="{00000000-0005-0000-0000-0000131B0000}"/>
    <cellStyle name="Normal 5 4 3 3 2" xfId="3169" xr:uid="{00000000-0005-0000-0000-0000141B0000}"/>
    <cellStyle name="Normal 5 4 3 3 2 2" xfId="7391" xr:uid="{00000000-0005-0000-0000-0000151B0000}"/>
    <cellStyle name="Normal 5 4 3 3 2 2 2" xfId="15841" xr:uid="{3A0FCE90-6232-4DD2-9218-8ACABDBF66FB}"/>
    <cellStyle name="Normal 5 4 3 3 2 3" xfId="11623" xr:uid="{E54616AC-710E-4ED7-9833-161AE6836F32}"/>
    <cellStyle name="Normal 5 4 3 3 3" xfId="5246" xr:uid="{00000000-0005-0000-0000-0000161B0000}"/>
    <cellStyle name="Normal 5 4 3 3 3 2" xfId="13696" xr:uid="{5ECE7640-E226-4B89-8B7E-1A9A90017C0C}"/>
    <cellStyle name="Normal 5 4 3 3 4" xfId="9478" xr:uid="{01EB2647-858A-43EA-A096-B748C0BC6A30}"/>
    <cellStyle name="Normal 5 4 3 4" xfId="1352" xr:uid="{00000000-0005-0000-0000-0000171B0000}"/>
    <cellStyle name="Normal 5 4 3 4 2" xfId="3582" xr:uid="{00000000-0005-0000-0000-0000181B0000}"/>
    <cellStyle name="Normal 5 4 3 4 2 2" xfId="7804" xr:uid="{00000000-0005-0000-0000-0000191B0000}"/>
    <cellStyle name="Normal 5 4 3 4 2 2 2" xfId="16254" xr:uid="{3816A0DB-9D5E-46D6-AED6-6686246A2649}"/>
    <cellStyle name="Normal 5 4 3 4 2 3" xfId="12036" xr:uid="{E27FCB56-F5BC-47FA-94E7-2ADAA22AE0DE}"/>
    <cellStyle name="Normal 5 4 3 4 3" xfId="5659" xr:uid="{00000000-0005-0000-0000-00001A1B0000}"/>
    <cellStyle name="Normal 5 4 3 4 3 2" xfId="14109" xr:uid="{222BF755-7F0F-430D-9A7D-82A44C13639F}"/>
    <cellStyle name="Normal 5 4 3 4 4" xfId="9891" xr:uid="{3A2D6B44-613E-4A9E-AF8C-9D6C28C71942}"/>
    <cellStyle name="Normal 5 4 3 5" xfId="1765" xr:uid="{00000000-0005-0000-0000-00001B1B0000}"/>
    <cellStyle name="Normal 5 4 3 5 2" xfId="3995" xr:uid="{00000000-0005-0000-0000-00001C1B0000}"/>
    <cellStyle name="Normal 5 4 3 5 2 2" xfId="8217" xr:uid="{00000000-0005-0000-0000-00001D1B0000}"/>
    <cellStyle name="Normal 5 4 3 5 2 2 2" xfId="16667" xr:uid="{8F8744FC-833A-4DF6-89AA-33737699BD3B}"/>
    <cellStyle name="Normal 5 4 3 5 2 3" xfId="12449" xr:uid="{09290EE1-C692-4CBA-BFF4-F27A32BC96AF}"/>
    <cellStyle name="Normal 5 4 3 5 3" xfId="6072" xr:uid="{00000000-0005-0000-0000-00001E1B0000}"/>
    <cellStyle name="Normal 5 4 3 5 3 2" xfId="14522" xr:uid="{38585C61-0A3D-4CB9-A885-56EF929E2C68}"/>
    <cellStyle name="Normal 5 4 3 5 4" xfId="10304" xr:uid="{C5C47BFD-B34D-44A4-BFFE-2A7DA282696A}"/>
    <cellStyle name="Normal 5 4 3 6" xfId="2179" xr:uid="{00000000-0005-0000-0000-00001F1B0000}"/>
    <cellStyle name="Normal 5 4 3 6 2" xfId="4408" xr:uid="{00000000-0005-0000-0000-0000201B0000}"/>
    <cellStyle name="Normal 5 4 3 6 2 2" xfId="8630" xr:uid="{00000000-0005-0000-0000-0000211B0000}"/>
    <cellStyle name="Normal 5 4 3 6 2 2 2" xfId="17080" xr:uid="{B99C4A7D-6159-4209-9F18-97196A2C0F21}"/>
    <cellStyle name="Normal 5 4 3 6 2 3" xfId="12862" xr:uid="{64C903D4-6D69-4A1D-8162-0F3D76BD71C4}"/>
    <cellStyle name="Normal 5 4 3 6 3" xfId="6485" xr:uid="{00000000-0005-0000-0000-0000221B0000}"/>
    <cellStyle name="Normal 5 4 3 6 3 2" xfId="14935" xr:uid="{C55381D2-95DE-4BD2-9B9C-F6D120E20A1D}"/>
    <cellStyle name="Normal 5 4 3 6 4" xfId="10717" xr:uid="{5E5A0A8A-C626-4327-B200-A2E1FC8FB175}"/>
    <cellStyle name="Normal 5 4 3 7" xfId="2615" xr:uid="{00000000-0005-0000-0000-0000231B0000}"/>
    <cellStyle name="Normal 5 4 3 7 2" xfId="6898" xr:uid="{00000000-0005-0000-0000-0000241B0000}"/>
    <cellStyle name="Normal 5 4 3 7 2 2" xfId="15348" xr:uid="{0ABD9197-A0A9-4AE9-BB4D-71D0696AAC10}"/>
    <cellStyle name="Normal 5 4 3 7 3" xfId="11130" xr:uid="{FA34EA8C-DAD0-43C8-BBDE-9C4559781893}"/>
    <cellStyle name="Normal 5 4 3 8" xfId="4833" xr:uid="{00000000-0005-0000-0000-0000251B0000}"/>
    <cellStyle name="Normal 5 4 3 8 2" xfId="13283" xr:uid="{13BE39B5-7A9E-4B27-AFA4-CA83FA64A12F}"/>
    <cellStyle name="Normal 5 4 3 9" xfId="9065" xr:uid="{C9F923D0-4E7D-4F0A-A10B-A21F782C6B06}"/>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2 2 2" xfId="15843" xr:uid="{56246DB6-F177-4819-831B-317B0E56E3EF}"/>
    <cellStyle name="Normal 5 4 4 2 2 3" xfId="11625" xr:uid="{D48647A5-1B21-44BA-A8AD-99F700FB2443}"/>
    <cellStyle name="Normal 5 4 4 2 3" xfId="5248" xr:uid="{00000000-0005-0000-0000-00002A1B0000}"/>
    <cellStyle name="Normal 5 4 4 2 3 2" xfId="13698" xr:uid="{D9632DF5-7F02-4F83-8198-CCC53B646698}"/>
    <cellStyle name="Normal 5 4 4 2 4" xfId="9480" xr:uid="{31EAA726-1581-4E2C-85E1-38041A2A08B1}"/>
    <cellStyle name="Normal 5 4 4 3" xfId="1354" xr:uid="{00000000-0005-0000-0000-00002B1B0000}"/>
    <cellStyle name="Normal 5 4 4 3 2" xfId="3584" xr:uid="{00000000-0005-0000-0000-00002C1B0000}"/>
    <cellStyle name="Normal 5 4 4 3 2 2" xfId="7806" xr:uid="{00000000-0005-0000-0000-00002D1B0000}"/>
    <cellStyle name="Normal 5 4 4 3 2 2 2" xfId="16256" xr:uid="{20BCA719-5304-45CB-A1DB-04F499EED9BA}"/>
    <cellStyle name="Normal 5 4 4 3 2 3" xfId="12038" xr:uid="{11894D23-9C30-4548-9CB0-06297E2CF74B}"/>
    <cellStyle name="Normal 5 4 4 3 3" xfId="5661" xr:uid="{00000000-0005-0000-0000-00002E1B0000}"/>
    <cellStyle name="Normal 5 4 4 3 3 2" xfId="14111" xr:uid="{959A7366-529F-47CD-8FF8-77FF3E0401EE}"/>
    <cellStyle name="Normal 5 4 4 3 4" xfId="9893" xr:uid="{D8A11721-7BAE-4775-A120-8458C64FF098}"/>
    <cellStyle name="Normal 5 4 4 4" xfId="1767" xr:uid="{00000000-0005-0000-0000-00002F1B0000}"/>
    <cellStyle name="Normal 5 4 4 4 2" xfId="3997" xr:uid="{00000000-0005-0000-0000-0000301B0000}"/>
    <cellStyle name="Normal 5 4 4 4 2 2" xfId="8219" xr:uid="{00000000-0005-0000-0000-0000311B0000}"/>
    <cellStyle name="Normal 5 4 4 4 2 2 2" xfId="16669" xr:uid="{DDD283D3-98FC-4B20-879A-A37B5CD2954A}"/>
    <cellStyle name="Normal 5 4 4 4 2 3" xfId="12451" xr:uid="{0A9784F9-A408-4745-B43C-86AFA4B9BAAC}"/>
    <cellStyle name="Normal 5 4 4 4 3" xfId="6074" xr:uid="{00000000-0005-0000-0000-0000321B0000}"/>
    <cellStyle name="Normal 5 4 4 4 3 2" xfId="14524" xr:uid="{58B82348-3F48-45BC-917E-972B3F6EEB4B}"/>
    <cellStyle name="Normal 5 4 4 4 4" xfId="10306" xr:uid="{A6E71150-C51D-4EA2-9597-B35279654E49}"/>
    <cellStyle name="Normal 5 4 4 5" xfId="2181" xr:uid="{00000000-0005-0000-0000-0000331B0000}"/>
    <cellStyle name="Normal 5 4 4 5 2" xfId="4410" xr:uid="{00000000-0005-0000-0000-0000341B0000}"/>
    <cellStyle name="Normal 5 4 4 5 2 2" xfId="8632" xr:uid="{00000000-0005-0000-0000-0000351B0000}"/>
    <cellStyle name="Normal 5 4 4 5 2 2 2" xfId="17082" xr:uid="{D32A945F-4A46-428D-A7A6-4D124DAC549D}"/>
    <cellStyle name="Normal 5 4 4 5 2 3" xfId="12864" xr:uid="{BBA94CB1-5126-47AC-AB66-0E3E68303B26}"/>
    <cellStyle name="Normal 5 4 4 5 3" xfId="6487" xr:uid="{00000000-0005-0000-0000-0000361B0000}"/>
    <cellStyle name="Normal 5 4 4 5 3 2" xfId="14937" xr:uid="{0A4D9DFA-0BDC-410F-8E54-6CF2D40398AE}"/>
    <cellStyle name="Normal 5 4 4 5 4" xfId="10719" xr:uid="{DC348C2A-4E05-4DEF-9C22-553646DF36ED}"/>
    <cellStyle name="Normal 5 4 4 6" xfId="2617" xr:uid="{00000000-0005-0000-0000-0000371B0000}"/>
    <cellStyle name="Normal 5 4 4 6 2" xfId="6900" xr:uid="{00000000-0005-0000-0000-0000381B0000}"/>
    <cellStyle name="Normal 5 4 4 6 2 2" xfId="15350" xr:uid="{DF49CFB1-FCEF-49D9-9D78-6888552784A7}"/>
    <cellStyle name="Normal 5 4 4 6 3" xfId="11132" xr:uid="{EB64239C-91AC-431D-A446-BE7358643EB9}"/>
    <cellStyle name="Normal 5 4 4 7" xfId="4835" xr:uid="{00000000-0005-0000-0000-0000391B0000}"/>
    <cellStyle name="Normal 5 4 4 7 2" xfId="13285" xr:uid="{3A74D957-BFAA-447E-956F-B5F7F0DE50F6}"/>
    <cellStyle name="Normal 5 4 4 8" xfId="9067" xr:uid="{F8EF9C95-13FA-4076-B186-7ED1331C2035}"/>
    <cellStyle name="Normal 5 4 5" xfId="930" xr:uid="{00000000-0005-0000-0000-00003A1B0000}"/>
    <cellStyle name="Normal 5 4 5 2" xfId="3164" xr:uid="{00000000-0005-0000-0000-00003B1B0000}"/>
    <cellStyle name="Normal 5 4 5 2 2" xfId="7386" xr:uid="{00000000-0005-0000-0000-00003C1B0000}"/>
    <cellStyle name="Normal 5 4 5 2 2 2" xfId="15836" xr:uid="{F5D84F44-91CF-40D1-AA4C-8C91AA74A6AD}"/>
    <cellStyle name="Normal 5 4 5 2 3" xfId="11618" xr:uid="{73EB475C-F343-4D0F-A688-6026E3ED8EAA}"/>
    <cellStyle name="Normal 5 4 5 3" xfId="5241" xr:uid="{00000000-0005-0000-0000-00003D1B0000}"/>
    <cellStyle name="Normal 5 4 5 3 2" xfId="13691" xr:uid="{231E912C-EF7C-478E-9AD8-D39F9C65CA33}"/>
    <cellStyle name="Normal 5 4 5 4" xfId="9473" xr:uid="{657F444D-B825-461C-8681-C00B64252A91}"/>
    <cellStyle name="Normal 5 4 6" xfId="1347" xr:uid="{00000000-0005-0000-0000-00003E1B0000}"/>
    <cellStyle name="Normal 5 4 6 2" xfId="3577" xr:uid="{00000000-0005-0000-0000-00003F1B0000}"/>
    <cellStyle name="Normal 5 4 6 2 2" xfId="7799" xr:uid="{00000000-0005-0000-0000-0000401B0000}"/>
    <cellStyle name="Normal 5 4 6 2 2 2" xfId="16249" xr:uid="{6F84F60B-3416-4005-BC2C-9E6E0DAB760E}"/>
    <cellStyle name="Normal 5 4 6 2 3" xfId="12031" xr:uid="{8B1A328E-1C62-46D3-BEB1-06AF96301F3F}"/>
    <cellStyle name="Normal 5 4 6 3" xfId="5654" xr:uid="{00000000-0005-0000-0000-0000411B0000}"/>
    <cellStyle name="Normal 5 4 6 3 2" xfId="14104" xr:uid="{B98FA079-E0A9-4801-8A04-E51AE8F0F2EF}"/>
    <cellStyle name="Normal 5 4 6 4" xfId="9886" xr:uid="{FB787F30-3A45-4E06-B5F1-9FC20CB6A584}"/>
    <cellStyle name="Normal 5 4 7" xfId="1760" xr:uid="{00000000-0005-0000-0000-0000421B0000}"/>
    <cellStyle name="Normal 5 4 7 2" xfId="3990" xr:uid="{00000000-0005-0000-0000-0000431B0000}"/>
    <cellStyle name="Normal 5 4 7 2 2" xfId="8212" xr:uid="{00000000-0005-0000-0000-0000441B0000}"/>
    <cellStyle name="Normal 5 4 7 2 2 2" xfId="16662" xr:uid="{8042621F-D5D0-4C5D-BB6B-002B35AA72E7}"/>
    <cellStyle name="Normal 5 4 7 2 3" xfId="12444" xr:uid="{E5FC7506-9EEC-4B0F-A35E-3BDF3A3B62EA}"/>
    <cellStyle name="Normal 5 4 7 3" xfId="6067" xr:uid="{00000000-0005-0000-0000-0000451B0000}"/>
    <cellStyle name="Normal 5 4 7 3 2" xfId="14517" xr:uid="{CAEE73CC-603E-4CAE-AC4B-C612A8AE91F3}"/>
    <cellStyle name="Normal 5 4 7 4" xfId="10299" xr:uid="{99418A97-88BC-4406-ACC1-35E48ED1CE80}"/>
    <cellStyle name="Normal 5 4 8" xfId="2174" xr:uid="{00000000-0005-0000-0000-0000461B0000}"/>
    <cellStyle name="Normal 5 4 8 2" xfId="4403" xr:uid="{00000000-0005-0000-0000-0000471B0000}"/>
    <cellStyle name="Normal 5 4 8 2 2" xfId="8625" xr:uid="{00000000-0005-0000-0000-0000481B0000}"/>
    <cellStyle name="Normal 5 4 8 2 2 2" xfId="17075" xr:uid="{01B462F0-F25C-4550-97E4-8A78D29886A2}"/>
    <cellStyle name="Normal 5 4 8 2 3" xfId="12857" xr:uid="{2D4133EC-1438-4481-AD10-704643A76A0A}"/>
    <cellStyle name="Normal 5 4 8 3" xfId="6480" xr:uid="{00000000-0005-0000-0000-0000491B0000}"/>
    <cellStyle name="Normal 5 4 8 3 2" xfId="14930" xr:uid="{7371FCCD-F6D6-4DD8-B7FB-7FE589127591}"/>
    <cellStyle name="Normal 5 4 8 4" xfId="10712" xr:uid="{91B84ACE-5B25-451D-A613-7D7B7A17188A}"/>
    <cellStyle name="Normal 5 4 9" xfId="2610" xr:uid="{00000000-0005-0000-0000-00004A1B0000}"/>
    <cellStyle name="Normal 5 4 9 2" xfId="6893" xr:uid="{00000000-0005-0000-0000-00004B1B0000}"/>
    <cellStyle name="Normal 5 4 9 2 2" xfId="15343" xr:uid="{2F33A733-5999-40C8-ABFB-A34D19B9AAFA}"/>
    <cellStyle name="Normal 5 4 9 3" xfId="11125" xr:uid="{734ED67B-731A-489A-8C65-F286C5DA3E26}"/>
    <cellStyle name="Normal 5 5" xfId="464" xr:uid="{00000000-0005-0000-0000-00004C1B0000}"/>
    <cellStyle name="Normal 5 5 10" xfId="9068" xr:uid="{7E9C198A-EED3-487B-A4C2-9A48E647D0DE}"/>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15846" xr:uid="{860BDEF2-7A9C-4299-8BD3-0825171F5608}"/>
    <cellStyle name="Normal 5 5 2 2 2 2 3" xfId="11628" xr:uid="{1ED5A182-4A6D-4E71-A9BB-93517CEFDE05}"/>
    <cellStyle name="Normal 5 5 2 2 2 3" xfId="5251" xr:uid="{00000000-0005-0000-0000-0000521B0000}"/>
    <cellStyle name="Normal 5 5 2 2 2 3 2" xfId="13701" xr:uid="{03064C6F-5363-496F-A62C-91F7DF8FC091}"/>
    <cellStyle name="Normal 5 5 2 2 2 4" xfId="9483" xr:uid="{7C18AF8E-606F-403E-9B89-39D59DFF9257}"/>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16259" xr:uid="{67E01FF5-AD4B-4B1F-8BF9-5D7D8F8ACA8D}"/>
    <cellStyle name="Normal 5 5 2 2 3 2 3" xfId="12041" xr:uid="{25B1DDC1-E9C0-44C1-894B-DECDA22B135E}"/>
    <cellStyle name="Normal 5 5 2 2 3 3" xfId="5664" xr:uid="{00000000-0005-0000-0000-0000561B0000}"/>
    <cellStyle name="Normal 5 5 2 2 3 3 2" xfId="14114" xr:uid="{9593A608-6E08-486F-8F8B-069FFD2D4A53}"/>
    <cellStyle name="Normal 5 5 2 2 3 4" xfId="9896" xr:uid="{9FE84AEC-2807-46F2-ABD8-E97BD557A5FF}"/>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16672" xr:uid="{EB581F6C-DE59-4F3F-8EF2-43A68A6C1DBB}"/>
    <cellStyle name="Normal 5 5 2 2 4 2 3" xfId="12454" xr:uid="{004B82CF-F6ED-488E-A9E0-1FB7623AD312}"/>
    <cellStyle name="Normal 5 5 2 2 4 3" xfId="6077" xr:uid="{00000000-0005-0000-0000-00005A1B0000}"/>
    <cellStyle name="Normal 5 5 2 2 4 3 2" xfId="14527" xr:uid="{962CDEDC-0452-457E-9712-2241267CB8A7}"/>
    <cellStyle name="Normal 5 5 2 2 4 4" xfId="10309" xr:uid="{1451AC6A-9C05-4AF1-9D8C-0548ACE80FE2}"/>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17085" xr:uid="{CB2E4537-EF74-4DBC-AB40-B50769F49022}"/>
    <cellStyle name="Normal 5 5 2 2 5 2 3" xfId="12867" xr:uid="{E4DA1ABE-4820-412E-88B2-D9A0558C1FAA}"/>
    <cellStyle name="Normal 5 5 2 2 5 3" xfId="6490" xr:uid="{00000000-0005-0000-0000-00005E1B0000}"/>
    <cellStyle name="Normal 5 5 2 2 5 3 2" xfId="14940" xr:uid="{2BCCB7F9-071C-4DDA-8905-43FBACBB0583}"/>
    <cellStyle name="Normal 5 5 2 2 5 4" xfId="10722" xr:uid="{481451DE-3612-4BAD-B0DD-D38A4A9B7C54}"/>
    <cellStyle name="Normal 5 5 2 2 6" xfId="2620" xr:uid="{00000000-0005-0000-0000-00005F1B0000}"/>
    <cellStyle name="Normal 5 5 2 2 6 2" xfId="6903" xr:uid="{00000000-0005-0000-0000-0000601B0000}"/>
    <cellStyle name="Normal 5 5 2 2 6 2 2" xfId="15353" xr:uid="{2E45B4AD-241F-4C84-9AE4-E9E226FB7A28}"/>
    <cellStyle name="Normal 5 5 2 2 6 3" xfId="11135" xr:uid="{C07691F8-2BF0-4856-8479-417D7129DD7B}"/>
    <cellStyle name="Normal 5 5 2 2 7" xfId="4838" xr:uid="{00000000-0005-0000-0000-0000611B0000}"/>
    <cellStyle name="Normal 5 5 2 2 7 2" xfId="13288" xr:uid="{13A2EAFA-B440-4E0A-AFF1-8410EDA4A216}"/>
    <cellStyle name="Normal 5 5 2 2 8" xfId="9070" xr:uid="{8B2B1DB4-02A1-4FBB-A8A9-C1CB4ECA5230}"/>
    <cellStyle name="Normal 5 5 2 3" xfId="939" xr:uid="{00000000-0005-0000-0000-0000621B0000}"/>
    <cellStyle name="Normal 5 5 2 3 2" xfId="3173" xr:uid="{00000000-0005-0000-0000-0000631B0000}"/>
    <cellStyle name="Normal 5 5 2 3 2 2" xfId="7395" xr:uid="{00000000-0005-0000-0000-0000641B0000}"/>
    <cellStyle name="Normal 5 5 2 3 2 2 2" xfId="15845" xr:uid="{2ECA6441-C860-446A-87AB-1BB5E2A17D27}"/>
    <cellStyle name="Normal 5 5 2 3 2 3" xfId="11627" xr:uid="{20476E73-3B0A-4138-B86B-8800CC53518C}"/>
    <cellStyle name="Normal 5 5 2 3 3" xfId="5250" xr:uid="{00000000-0005-0000-0000-0000651B0000}"/>
    <cellStyle name="Normal 5 5 2 3 3 2" xfId="13700" xr:uid="{142FB51C-84C0-430A-A1FD-C27CFEF101DC}"/>
    <cellStyle name="Normal 5 5 2 3 4" xfId="9482" xr:uid="{332CAA1A-DE2D-4F72-8B7F-8B3F36EDD670}"/>
    <cellStyle name="Normal 5 5 2 4" xfId="1356" xr:uid="{00000000-0005-0000-0000-0000661B0000}"/>
    <cellStyle name="Normal 5 5 2 4 2" xfId="3586" xr:uid="{00000000-0005-0000-0000-0000671B0000}"/>
    <cellStyle name="Normal 5 5 2 4 2 2" xfId="7808" xr:uid="{00000000-0005-0000-0000-0000681B0000}"/>
    <cellStyle name="Normal 5 5 2 4 2 2 2" xfId="16258" xr:uid="{8718E0A0-A43D-4CDC-BE74-F278DC0C9700}"/>
    <cellStyle name="Normal 5 5 2 4 2 3" xfId="12040" xr:uid="{9CC7D7C9-D602-43E0-85E7-576216767299}"/>
    <cellStyle name="Normal 5 5 2 4 3" xfId="5663" xr:uid="{00000000-0005-0000-0000-0000691B0000}"/>
    <cellStyle name="Normal 5 5 2 4 3 2" xfId="14113" xr:uid="{BFB1DB40-414C-4928-904B-43C25D930F30}"/>
    <cellStyle name="Normal 5 5 2 4 4" xfId="9895" xr:uid="{77A7EBE5-8EAD-4D69-8E0E-8487F2E83511}"/>
    <cellStyle name="Normal 5 5 2 5" xfId="1769" xr:uid="{00000000-0005-0000-0000-00006A1B0000}"/>
    <cellStyle name="Normal 5 5 2 5 2" xfId="3999" xr:uid="{00000000-0005-0000-0000-00006B1B0000}"/>
    <cellStyle name="Normal 5 5 2 5 2 2" xfId="8221" xr:uid="{00000000-0005-0000-0000-00006C1B0000}"/>
    <cellStyle name="Normal 5 5 2 5 2 2 2" xfId="16671" xr:uid="{84D3EEA6-3649-4107-BE0A-B52BF83FC840}"/>
    <cellStyle name="Normal 5 5 2 5 2 3" xfId="12453" xr:uid="{2A6E2E3E-AB4E-4446-AE21-452192AF7B27}"/>
    <cellStyle name="Normal 5 5 2 5 3" xfId="6076" xr:uid="{00000000-0005-0000-0000-00006D1B0000}"/>
    <cellStyle name="Normal 5 5 2 5 3 2" xfId="14526" xr:uid="{86273A28-4537-46AA-AE87-CC226D0C3529}"/>
    <cellStyle name="Normal 5 5 2 5 4" xfId="10308" xr:uid="{113EF6F1-E874-481D-898F-209E7EE7FED0}"/>
    <cellStyle name="Normal 5 5 2 6" xfId="2183" xr:uid="{00000000-0005-0000-0000-00006E1B0000}"/>
    <cellStyle name="Normal 5 5 2 6 2" xfId="4412" xr:uid="{00000000-0005-0000-0000-00006F1B0000}"/>
    <cellStyle name="Normal 5 5 2 6 2 2" xfId="8634" xr:uid="{00000000-0005-0000-0000-0000701B0000}"/>
    <cellStyle name="Normal 5 5 2 6 2 2 2" xfId="17084" xr:uid="{3656F090-18BE-47AC-AC2A-48FF009EE598}"/>
    <cellStyle name="Normal 5 5 2 6 2 3" xfId="12866" xr:uid="{6DFA5E1C-9A53-4F0C-AA12-4DAB49ADE17D}"/>
    <cellStyle name="Normal 5 5 2 6 3" xfId="6489" xr:uid="{00000000-0005-0000-0000-0000711B0000}"/>
    <cellStyle name="Normal 5 5 2 6 3 2" xfId="14939" xr:uid="{A09327B4-84E9-4BE2-86C8-DA74D279771A}"/>
    <cellStyle name="Normal 5 5 2 6 4" xfId="10721" xr:uid="{3BEB0A81-7E7C-4BAA-A2E1-FB5A207D0AE6}"/>
    <cellStyle name="Normal 5 5 2 7" xfId="2619" xr:uid="{00000000-0005-0000-0000-0000721B0000}"/>
    <cellStyle name="Normal 5 5 2 7 2" xfId="6902" xr:uid="{00000000-0005-0000-0000-0000731B0000}"/>
    <cellStyle name="Normal 5 5 2 7 2 2" xfId="15352" xr:uid="{F9C3E8F2-7EA2-4AF1-ADDA-422ACAB101C2}"/>
    <cellStyle name="Normal 5 5 2 7 3" xfId="11134" xr:uid="{B03732C0-EAA5-4CFD-9428-DB937CAE1473}"/>
    <cellStyle name="Normal 5 5 2 8" xfId="4837" xr:uid="{00000000-0005-0000-0000-0000741B0000}"/>
    <cellStyle name="Normal 5 5 2 8 2" xfId="13287" xr:uid="{41026E5B-DE04-4AF7-B7BD-F9D8AE1C2962}"/>
    <cellStyle name="Normal 5 5 2 9" xfId="9069" xr:uid="{1537C51E-53D5-4252-9679-C2D90090FEBA}"/>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2 2 2" xfId="15847" xr:uid="{A7D54413-965B-424A-B902-687C8D0E2906}"/>
    <cellStyle name="Normal 5 5 3 2 2 3" xfId="11629" xr:uid="{72BC4D4E-877F-435F-B172-E19A4408FE95}"/>
    <cellStyle name="Normal 5 5 3 2 3" xfId="5252" xr:uid="{00000000-0005-0000-0000-0000791B0000}"/>
    <cellStyle name="Normal 5 5 3 2 3 2" xfId="13702" xr:uid="{11C9F5F0-732D-4FDB-9113-299D0AC77F76}"/>
    <cellStyle name="Normal 5 5 3 2 4" xfId="9484" xr:uid="{6E64190F-5F4D-41E7-B259-89335E9AA554}"/>
    <cellStyle name="Normal 5 5 3 3" xfId="1358" xr:uid="{00000000-0005-0000-0000-00007A1B0000}"/>
    <cellStyle name="Normal 5 5 3 3 2" xfId="3588" xr:uid="{00000000-0005-0000-0000-00007B1B0000}"/>
    <cellStyle name="Normal 5 5 3 3 2 2" xfId="7810" xr:uid="{00000000-0005-0000-0000-00007C1B0000}"/>
    <cellStyle name="Normal 5 5 3 3 2 2 2" xfId="16260" xr:uid="{C5A3DEBB-4E49-48C1-BC66-1A61D68C1DB0}"/>
    <cellStyle name="Normal 5 5 3 3 2 3" xfId="12042" xr:uid="{6AF372AF-75FC-4D73-AB99-DFDF800C533B}"/>
    <cellStyle name="Normal 5 5 3 3 3" xfId="5665" xr:uid="{00000000-0005-0000-0000-00007D1B0000}"/>
    <cellStyle name="Normal 5 5 3 3 3 2" xfId="14115" xr:uid="{E870E028-8D0A-465F-B1BF-2E8CF4AD07D5}"/>
    <cellStyle name="Normal 5 5 3 3 4" xfId="9897" xr:uid="{4DA03BE8-3B0B-4880-969C-FBB13010EADA}"/>
    <cellStyle name="Normal 5 5 3 4" xfId="1771" xr:uid="{00000000-0005-0000-0000-00007E1B0000}"/>
    <cellStyle name="Normal 5 5 3 4 2" xfId="4001" xr:uid="{00000000-0005-0000-0000-00007F1B0000}"/>
    <cellStyle name="Normal 5 5 3 4 2 2" xfId="8223" xr:uid="{00000000-0005-0000-0000-0000801B0000}"/>
    <cellStyle name="Normal 5 5 3 4 2 2 2" xfId="16673" xr:uid="{2F2FFFA9-50B9-479A-9CF0-F1D1C970E122}"/>
    <cellStyle name="Normal 5 5 3 4 2 3" xfId="12455" xr:uid="{6B2D1D83-4ED2-41C3-A627-524F4460AFA0}"/>
    <cellStyle name="Normal 5 5 3 4 3" xfId="6078" xr:uid="{00000000-0005-0000-0000-0000811B0000}"/>
    <cellStyle name="Normal 5 5 3 4 3 2" xfId="14528" xr:uid="{1D326E93-414B-4150-861F-CF723973C00B}"/>
    <cellStyle name="Normal 5 5 3 4 4" xfId="10310" xr:uid="{DB7AB26F-3375-4B6E-ACD3-BF91F2FB8972}"/>
    <cellStyle name="Normal 5 5 3 5" xfId="2185" xr:uid="{00000000-0005-0000-0000-0000821B0000}"/>
    <cellStyle name="Normal 5 5 3 5 2" xfId="4414" xr:uid="{00000000-0005-0000-0000-0000831B0000}"/>
    <cellStyle name="Normal 5 5 3 5 2 2" xfId="8636" xr:uid="{00000000-0005-0000-0000-0000841B0000}"/>
    <cellStyle name="Normal 5 5 3 5 2 2 2" xfId="17086" xr:uid="{E1D1899A-E629-4F6C-8CCB-F981F54AA851}"/>
    <cellStyle name="Normal 5 5 3 5 2 3" xfId="12868" xr:uid="{2DB9A0CA-EAD9-4E02-A9D6-84D78B52148F}"/>
    <cellStyle name="Normal 5 5 3 5 3" xfId="6491" xr:uid="{00000000-0005-0000-0000-0000851B0000}"/>
    <cellStyle name="Normal 5 5 3 5 3 2" xfId="14941" xr:uid="{18832E9B-F9A1-4D78-8F28-A3B27AE2172B}"/>
    <cellStyle name="Normal 5 5 3 5 4" xfId="10723" xr:uid="{A057DB72-01E3-4209-9502-743E209784B3}"/>
    <cellStyle name="Normal 5 5 3 6" xfId="2621" xr:uid="{00000000-0005-0000-0000-0000861B0000}"/>
    <cellStyle name="Normal 5 5 3 6 2" xfId="6904" xr:uid="{00000000-0005-0000-0000-0000871B0000}"/>
    <cellStyle name="Normal 5 5 3 6 2 2" xfId="15354" xr:uid="{978AE3F7-3C4B-4302-83F2-0B9DFD6C4003}"/>
    <cellStyle name="Normal 5 5 3 6 3" xfId="11136" xr:uid="{A2729C88-EA53-46FE-BBE7-09ACD323D9B6}"/>
    <cellStyle name="Normal 5 5 3 7" xfId="4839" xr:uid="{00000000-0005-0000-0000-0000881B0000}"/>
    <cellStyle name="Normal 5 5 3 7 2" xfId="13289" xr:uid="{BEB805C0-3FB7-462A-A652-CEC96F0B97F7}"/>
    <cellStyle name="Normal 5 5 3 8" xfId="9071" xr:uid="{1BE11465-0760-4FBE-A96B-1325C0F9D3B9}"/>
    <cellStyle name="Normal 5 5 4" xfId="938" xr:uid="{00000000-0005-0000-0000-0000891B0000}"/>
    <cellStyle name="Normal 5 5 4 2" xfId="3172" xr:uid="{00000000-0005-0000-0000-00008A1B0000}"/>
    <cellStyle name="Normal 5 5 4 2 2" xfId="7394" xr:uid="{00000000-0005-0000-0000-00008B1B0000}"/>
    <cellStyle name="Normal 5 5 4 2 2 2" xfId="15844" xr:uid="{86E564E2-5C1A-46C2-B8D3-7B2CA5E2D694}"/>
    <cellStyle name="Normal 5 5 4 2 3" xfId="11626" xr:uid="{30DAE6DB-4A50-48A3-9075-4B3C9EFFAA0F}"/>
    <cellStyle name="Normal 5 5 4 3" xfId="5249" xr:uid="{00000000-0005-0000-0000-00008C1B0000}"/>
    <cellStyle name="Normal 5 5 4 3 2" xfId="13699" xr:uid="{4A8BFCF4-C3FD-4F9A-8820-F185D2190192}"/>
    <cellStyle name="Normal 5 5 4 4" xfId="9481" xr:uid="{BB09144C-3371-4145-A070-FF956601EC09}"/>
    <cellStyle name="Normal 5 5 5" xfId="1355" xr:uid="{00000000-0005-0000-0000-00008D1B0000}"/>
    <cellStyle name="Normal 5 5 5 2" xfId="3585" xr:uid="{00000000-0005-0000-0000-00008E1B0000}"/>
    <cellStyle name="Normal 5 5 5 2 2" xfId="7807" xr:uid="{00000000-0005-0000-0000-00008F1B0000}"/>
    <cellStyle name="Normal 5 5 5 2 2 2" xfId="16257" xr:uid="{050307BF-2B38-442B-8815-3600AB8EFB66}"/>
    <cellStyle name="Normal 5 5 5 2 3" xfId="12039" xr:uid="{A5771A61-CB38-4118-9712-E7A3C7168A2A}"/>
    <cellStyle name="Normal 5 5 5 3" xfId="5662" xr:uid="{00000000-0005-0000-0000-0000901B0000}"/>
    <cellStyle name="Normal 5 5 5 3 2" xfId="14112" xr:uid="{17516BF4-C2B9-4EDC-A3C1-D00DB8BF6366}"/>
    <cellStyle name="Normal 5 5 5 4" xfId="9894" xr:uid="{44A4D395-2A6C-43F8-9EDD-89474460869B}"/>
    <cellStyle name="Normal 5 5 6" xfId="1768" xr:uid="{00000000-0005-0000-0000-0000911B0000}"/>
    <cellStyle name="Normal 5 5 6 2" xfId="3998" xr:uid="{00000000-0005-0000-0000-0000921B0000}"/>
    <cellStyle name="Normal 5 5 6 2 2" xfId="8220" xr:uid="{00000000-0005-0000-0000-0000931B0000}"/>
    <cellStyle name="Normal 5 5 6 2 2 2" xfId="16670" xr:uid="{C4264A5C-89A3-4BD8-AF93-6821C7370B14}"/>
    <cellStyle name="Normal 5 5 6 2 3" xfId="12452" xr:uid="{6040ACAA-0362-4B83-9FAB-AAF35FF7CC06}"/>
    <cellStyle name="Normal 5 5 6 3" xfId="6075" xr:uid="{00000000-0005-0000-0000-0000941B0000}"/>
    <cellStyle name="Normal 5 5 6 3 2" xfId="14525" xr:uid="{2515E3C0-4E21-49D3-A795-44C44B4B322A}"/>
    <cellStyle name="Normal 5 5 6 4" xfId="10307" xr:uid="{D28522CD-3BA5-4292-85ED-86C13D9070E2}"/>
    <cellStyle name="Normal 5 5 7" xfId="2182" xr:uid="{00000000-0005-0000-0000-0000951B0000}"/>
    <cellStyle name="Normal 5 5 7 2" xfId="4411" xr:uid="{00000000-0005-0000-0000-0000961B0000}"/>
    <cellStyle name="Normal 5 5 7 2 2" xfId="8633" xr:uid="{00000000-0005-0000-0000-0000971B0000}"/>
    <cellStyle name="Normal 5 5 7 2 2 2" xfId="17083" xr:uid="{59970339-8685-412F-9565-65A442166B0F}"/>
    <cellStyle name="Normal 5 5 7 2 3" xfId="12865" xr:uid="{7AC78FD5-D2E0-4307-81B8-1323AE1EC85F}"/>
    <cellStyle name="Normal 5 5 7 3" xfId="6488" xr:uid="{00000000-0005-0000-0000-0000981B0000}"/>
    <cellStyle name="Normal 5 5 7 3 2" xfId="14938" xr:uid="{53AC17F1-AA36-4713-9762-52E040E0E05A}"/>
    <cellStyle name="Normal 5 5 7 4" xfId="10720" xr:uid="{7BF574FC-EC6F-4144-9F2C-5DF731E10175}"/>
    <cellStyle name="Normal 5 5 8" xfId="2618" xr:uid="{00000000-0005-0000-0000-0000991B0000}"/>
    <cellStyle name="Normal 5 5 8 2" xfId="6901" xr:uid="{00000000-0005-0000-0000-00009A1B0000}"/>
    <cellStyle name="Normal 5 5 8 2 2" xfId="15351" xr:uid="{4D976329-1C72-4769-8E5E-9E25AA87EF40}"/>
    <cellStyle name="Normal 5 5 8 3" xfId="11133" xr:uid="{BF02F7C2-FAF8-43AA-A808-650A68DCDC39}"/>
    <cellStyle name="Normal 5 5 9" xfId="4836" xr:uid="{00000000-0005-0000-0000-00009B1B0000}"/>
    <cellStyle name="Normal 5 5 9 2" xfId="13286" xr:uid="{8D24B4CC-7DDD-4FC4-B4C0-50F4D5BE598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2 2 2" xfId="15849" xr:uid="{74320ED5-CB75-4374-9004-CC774792C4FF}"/>
    <cellStyle name="Normal 5 6 2 2 2 3" xfId="11631" xr:uid="{E4AA9759-1CF3-49F9-8E82-52CE652683A6}"/>
    <cellStyle name="Normal 5 6 2 2 3" xfId="5254" xr:uid="{00000000-0005-0000-0000-0000A11B0000}"/>
    <cellStyle name="Normal 5 6 2 2 3 2" xfId="13704" xr:uid="{2FADF6EE-E7EB-4228-9B07-8461ECD488F9}"/>
    <cellStyle name="Normal 5 6 2 2 4" xfId="9486" xr:uid="{E952032B-7B12-49B9-B3B5-FE419C0BB7B4}"/>
    <cellStyle name="Normal 5 6 2 3" xfId="1360" xr:uid="{00000000-0005-0000-0000-0000A21B0000}"/>
    <cellStyle name="Normal 5 6 2 3 2" xfId="3590" xr:uid="{00000000-0005-0000-0000-0000A31B0000}"/>
    <cellStyle name="Normal 5 6 2 3 2 2" xfId="7812" xr:uid="{00000000-0005-0000-0000-0000A41B0000}"/>
    <cellStyle name="Normal 5 6 2 3 2 2 2" xfId="16262" xr:uid="{A9BD55C1-2450-4BDF-8BBD-60ABC567463A}"/>
    <cellStyle name="Normal 5 6 2 3 2 3" xfId="12044" xr:uid="{96E9A652-A78F-4676-9F0B-9E8F17BABB3A}"/>
    <cellStyle name="Normal 5 6 2 3 3" xfId="5667" xr:uid="{00000000-0005-0000-0000-0000A51B0000}"/>
    <cellStyle name="Normal 5 6 2 3 3 2" xfId="14117" xr:uid="{7895BC4C-8E5D-49FA-84E1-18567A619FD3}"/>
    <cellStyle name="Normal 5 6 2 3 4" xfId="9899" xr:uid="{6DA0EB3D-875F-4AA7-88E1-4718A7D4ED21}"/>
    <cellStyle name="Normal 5 6 2 4" xfId="1773" xr:uid="{00000000-0005-0000-0000-0000A61B0000}"/>
    <cellStyle name="Normal 5 6 2 4 2" xfId="4003" xr:uid="{00000000-0005-0000-0000-0000A71B0000}"/>
    <cellStyle name="Normal 5 6 2 4 2 2" xfId="8225" xr:uid="{00000000-0005-0000-0000-0000A81B0000}"/>
    <cellStyle name="Normal 5 6 2 4 2 2 2" xfId="16675" xr:uid="{576E9A1E-657B-408E-8C0B-CCF14E32F16E}"/>
    <cellStyle name="Normal 5 6 2 4 2 3" xfId="12457" xr:uid="{83A33BD3-8F3A-4AC2-9F89-519053C0443C}"/>
    <cellStyle name="Normal 5 6 2 4 3" xfId="6080" xr:uid="{00000000-0005-0000-0000-0000A91B0000}"/>
    <cellStyle name="Normal 5 6 2 4 3 2" xfId="14530" xr:uid="{E9754CBE-A625-4CCC-822D-5DD762CCC908}"/>
    <cellStyle name="Normal 5 6 2 4 4" xfId="10312" xr:uid="{17077928-65F3-4A38-9854-CCEBF149AAEE}"/>
    <cellStyle name="Normal 5 6 2 5" xfId="2187" xr:uid="{00000000-0005-0000-0000-0000AA1B0000}"/>
    <cellStyle name="Normal 5 6 2 5 2" xfId="4416" xr:uid="{00000000-0005-0000-0000-0000AB1B0000}"/>
    <cellStyle name="Normal 5 6 2 5 2 2" xfId="8638" xr:uid="{00000000-0005-0000-0000-0000AC1B0000}"/>
    <cellStyle name="Normal 5 6 2 5 2 2 2" xfId="17088" xr:uid="{B8936381-11EC-4991-9852-1FF05570EF81}"/>
    <cellStyle name="Normal 5 6 2 5 2 3" xfId="12870" xr:uid="{5A8698D7-E91C-4BDD-9A4E-DA813ECDD109}"/>
    <cellStyle name="Normal 5 6 2 5 3" xfId="6493" xr:uid="{00000000-0005-0000-0000-0000AD1B0000}"/>
    <cellStyle name="Normal 5 6 2 5 3 2" xfId="14943" xr:uid="{2446CFD1-5B44-4A5F-ACED-C4687E5A10BA}"/>
    <cellStyle name="Normal 5 6 2 5 4" xfId="10725" xr:uid="{7E845A55-6D80-4B51-A1EA-81CC00175F3E}"/>
    <cellStyle name="Normal 5 6 2 6" xfId="2623" xr:uid="{00000000-0005-0000-0000-0000AE1B0000}"/>
    <cellStyle name="Normal 5 6 2 6 2" xfId="6906" xr:uid="{00000000-0005-0000-0000-0000AF1B0000}"/>
    <cellStyle name="Normal 5 6 2 6 2 2" xfId="15356" xr:uid="{47F97E77-BD31-4F66-8C73-CBA5B0E75157}"/>
    <cellStyle name="Normal 5 6 2 6 3" xfId="11138" xr:uid="{EC2633FB-B138-49E3-BF47-D7E18E52B0BA}"/>
    <cellStyle name="Normal 5 6 2 7" xfId="4841" xr:uid="{00000000-0005-0000-0000-0000B01B0000}"/>
    <cellStyle name="Normal 5 6 2 7 2" xfId="13291" xr:uid="{A8A2EDBB-861C-4181-A0CB-9DC0E1CF256D}"/>
    <cellStyle name="Normal 5 6 2 8" xfId="9073" xr:uid="{C526D54F-6656-474C-8899-E3ECCE1FB8DA}"/>
    <cellStyle name="Normal 5 6 3" xfId="942" xr:uid="{00000000-0005-0000-0000-0000B11B0000}"/>
    <cellStyle name="Normal 5 6 3 2" xfId="3176" xr:uid="{00000000-0005-0000-0000-0000B21B0000}"/>
    <cellStyle name="Normal 5 6 3 2 2" xfId="7398" xr:uid="{00000000-0005-0000-0000-0000B31B0000}"/>
    <cellStyle name="Normal 5 6 3 2 2 2" xfId="15848" xr:uid="{68B1BE3C-2BEB-4C62-A25D-56C9CB8B4C8A}"/>
    <cellStyle name="Normal 5 6 3 2 3" xfId="11630" xr:uid="{59CAEE6B-83C8-4BD0-B10E-D5394D58C967}"/>
    <cellStyle name="Normal 5 6 3 3" xfId="5253" xr:uid="{00000000-0005-0000-0000-0000B41B0000}"/>
    <cellStyle name="Normal 5 6 3 3 2" xfId="13703" xr:uid="{0947D703-63EE-49CC-A36D-F8AA555FC2D0}"/>
    <cellStyle name="Normal 5 6 3 4" xfId="9485" xr:uid="{ADF212AA-CBB1-4B7C-8E8F-567C384541B3}"/>
    <cellStyle name="Normal 5 6 4" xfId="1359" xr:uid="{00000000-0005-0000-0000-0000B51B0000}"/>
    <cellStyle name="Normal 5 6 4 2" xfId="3589" xr:uid="{00000000-0005-0000-0000-0000B61B0000}"/>
    <cellStyle name="Normal 5 6 4 2 2" xfId="7811" xr:uid="{00000000-0005-0000-0000-0000B71B0000}"/>
    <cellStyle name="Normal 5 6 4 2 2 2" xfId="16261" xr:uid="{A002B56E-6BC2-4127-904A-5ECCD586D44C}"/>
    <cellStyle name="Normal 5 6 4 2 3" xfId="12043" xr:uid="{DB94945F-F4D7-48E1-86B9-FE9CF91BA48F}"/>
    <cellStyle name="Normal 5 6 4 3" xfId="5666" xr:uid="{00000000-0005-0000-0000-0000B81B0000}"/>
    <cellStyle name="Normal 5 6 4 3 2" xfId="14116" xr:uid="{8CFA238A-DCE4-4A28-A8E6-618EB698954C}"/>
    <cellStyle name="Normal 5 6 4 4" xfId="9898" xr:uid="{42CE237B-3DCA-4584-81DE-3DD31E125863}"/>
    <cellStyle name="Normal 5 6 5" xfId="1772" xr:uid="{00000000-0005-0000-0000-0000B91B0000}"/>
    <cellStyle name="Normal 5 6 5 2" xfId="4002" xr:uid="{00000000-0005-0000-0000-0000BA1B0000}"/>
    <cellStyle name="Normal 5 6 5 2 2" xfId="8224" xr:uid="{00000000-0005-0000-0000-0000BB1B0000}"/>
    <cellStyle name="Normal 5 6 5 2 2 2" xfId="16674" xr:uid="{B1DA16AE-2A1A-4712-91C2-44D97FBE4E81}"/>
    <cellStyle name="Normal 5 6 5 2 3" xfId="12456" xr:uid="{DF566D9E-68B3-49E7-ABAC-0067B4A01591}"/>
    <cellStyle name="Normal 5 6 5 3" xfId="6079" xr:uid="{00000000-0005-0000-0000-0000BC1B0000}"/>
    <cellStyle name="Normal 5 6 5 3 2" xfId="14529" xr:uid="{72F25E0D-8A8C-453A-82F9-8B4FBA30F8EC}"/>
    <cellStyle name="Normal 5 6 5 4" xfId="10311" xr:uid="{B9FA4FC0-717B-4DBD-AA6B-48E0AFBB15B6}"/>
    <cellStyle name="Normal 5 6 6" xfId="2186" xr:uid="{00000000-0005-0000-0000-0000BD1B0000}"/>
    <cellStyle name="Normal 5 6 6 2" xfId="4415" xr:uid="{00000000-0005-0000-0000-0000BE1B0000}"/>
    <cellStyle name="Normal 5 6 6 2 2" xfId="8637" xr:uid="{00000000-0005-0000-0000-0000BF1B0000}"/>
    <cellStyle name="Normal 5 6 6 2 2 2" xfId="17087" xr:uid="{4DD658D2-8544-4380-8B9E-1D20583E0F64}"/>
    <cellStyle name="Normal 5 6 6 2 3" xfId="12869" xr:uid="{DB16E8E5-1D71-4E3F-AE6D-1918005E1963}"/>
    <cellStyle name="Normal 5 6 6 3" xfId="6492" xr:uid="{00000000-0005-0000-0000-0000C01B0000}"/>
    <cellStyle name="Normal 5 6 6 3 2" xfId="14942" xr:uid="{B775748B-3FFC-41E3-AD70-671FCE3305D8}"/>
    <cellStyle name="Normal 5 6 6 4" xfId="10724" xr:uid="{24EFEF9B-3970-4771-8811-59877B0B1D9E}"/>
    <cellStyle name="Normal 5 6 7" xfId="2622" xr:uid="{00000000-0005-0000-0000-0000C11B0000}"/>
    <cellStyle name="Normal 5 6 7 2" xfId="6905" xr:uid="{00000000-0005-0000-0000-0000C21B0000}"/>
    <cellStyle name="Normal 5 6 7 2 2" xfId="15355" xr:uid="{C367160E-7D99-4FD1-87EF-2E8888773093}"/>
    <cellStyle name="Normal 5 6 7 3" xfId="11137" xr:uid="{6E3EFDE1-4B1A-44DA-8C8A-122FD89461AD}"/>
    <cellStyle name="Normal 5 6 8" xfId="4840" xr:uid="{00000000-0005-0000-0000-0000C31B0000}"/>
    <cellStyle name="Normal 5 6 8 2" xfId="13290" xr:uid="{22E98E4A-9F5E-4406-B6C7-34E849BDB6C5}"/>
    <cellStyle name="Normal 5 6 9" xfId="9072" xr:uid="{455CFC23-C8D6-4324-B1C5-948E6932F8B7}"/>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2 2 2" xfId="15850" xr:uid="{E0FB5906-0A6E-47FD-8A9B-E784E7CC9E8F}"/>
    <cellStyle name="Normal 5 7 2 2 3" xfId="11632" xr:uid="{BE5A7775-5FF2-4897-98FF-B6185CD8608E}"/>
    <cellStyle name="Normal 5 7 2 3" xfId="5255" xr:uid="{00000000-0005-0000-0000-0000C81B0000}"/>
    <cellStyle name="Normal 5 7 2 3 2" xfId="13705" xr:uid="{3AB128D2-CEC2-4587-9380-3C1F4A2CC4B2}"/>
    <cellStyle name="Normal 5 7 2 4" xfId="9487" xr:uid="{F80D0D27-DEB4-475F-9728-336BF21535AE}"/>
    <cellStyle name="Normal 5 7 3" xfId="1361" xr:uid="{00000000-0005-0000-0000-0000C91B0000}"/>
    <cellStyle name="Normal 5 7 3 2" xfId="3591" xr:uid="{00000000-0005-0000-0000-0000CA1B0000}"/>
    <cellStyle name="Normal 5 7 3 2 2" xfId="7813" xr:uid="{00000000-0005-0000-0000-0000CB1B0000}"/>
    <cellStyle name="Normal 5 7 3 2 2 2" xfId="16263" xr:uid="{36AEFDB3-F38D-49B2-BE02-2BF42487F3BA}"/>
    <cellStyle name="Normal 5 7 3 2 3" xfId="12045" xr:uid="{999343ED-09A5-48F3-AB01-8471A0D0FAD3}"/>
    <cellStyle name="Normal 5 7 3 3" xfId="5668" xr:uid="{00000000-0005-0000-0000-0000CC1B0000}"/>
    <cellStyle name="Normal 5 7 3 3 2" xfId="14118" xr:uid="{EA3AC786-653A-4487-86A4-C034F8EFAFFC}"/>
    <cellStyle name="Normal 5 7 3 4" xfId="9900" xr:uid="{5CA8D80B-6E36-449D-8920-79160D247C07}"/>
    <cellStyle name="Normal 5 7 4" xfId="1774" xr:uid="{00000000-0005-0000-0000-0000CD1B0000}"/>
    <cellStyle name="Normal 5 7 4 2" xfId="4004" xr:uid="{00000000-0005-0000-0000-0000CE1B0000}"/>
    <cellStyle name="Normal 5 7 4 2 2" xfId="8226" xr:uid="{00000000-0005-0000-0000-0000CF1B0000}"/>
    <cellStyle name="Normal 5 7 4 2 2 2" xfId="16676" xr:uid="{9F00A2CD-61ED-4C19-B96A-78F03B9223B8}"/>
    <cellStyle name="Normal 5 7 4 2 3" xfId="12458" xr:uid="{46252916-9FF9-44EF-8773-23CE3D22780B}"/>
    <cellStyle name="Normal 5 7 4 3" xfId="6081" xr:uid="{00000000-0005-0000-0000-0000D01B0000}"/>
    <cellStyle name="Normal 5 7 4 3 2" xfId="14531" xr:uid="{825DF968-F623-41A3-8DAC-BAC4E59CACE6}"/>
    <cellStyle name="Normal 5 7 4 4" xfId="10313" xr:uid="{6A273B1C-F8D7-4E1E-8274-E0D0785A9393}"/>
    <cellStyle name="Normal 5 7 5" xfId="2188" xr:uid="{00000000-0005-0000-0000-0000D11B0000}"/>
    <cellStyle name="Normal 5 7 5 2" xfId="4417" xr:uid="{00000000-0005-0000-0000-0000D21B0000}"/>
    <cellStyle name="Normal 5 7 5 2 2" xfId="8639" xr:uid="{00000000-0005-0000-0000-0000D31B0000}"/>
    <cellStyle name="Normal 5 7 5 2 2 2" xfId="17089" xr:uid="{C65C612C-E2D8-4610-B454-8A105052AB62}"/>
    <cellStyle name="Normal 5 7 5 2 3" xfId="12871" xr:uid="{BF6EA5FA-EE7B-4502-BA0E-CB920062B37B}"/>
    <cellStyle name="Normal 5 7 5 3" xfId="6494" xr:uid="{00000000-0005-0000-0000-0000D41B0000}"/>
    <cellStyle name="Normal 5 7 5 3 2" xfId="14944" xr:uid="{053BAEE2-E0B7-4CD2-9AFC-FD49B8B56A01}"/>
    <cellStyle name="Normal 5 7 5 4" xfId="10726" xr:uid="{B53F6888-7109-4E03-BA32-813D029572FC}"/>
    <cellStyle name="Normal 5 7 6" xfId="2624" xr:uid="{00000000-0005-0000-0000-0000D51B0000}"/>
    <cellStyle name="Normal 5 7 6 2" xfId="6907" xr:uid="{00000000-0005-0000-0000-0000D61B0000}"/>
    <cellStyle name="Normal 5 7 6 2 2" xfId="15357" xr:uid="{78B098C8-BA06-4A38-9632-250EB94CA6D2}"/>
    <cellStyle name="Normal 5 7 6 3" xfId="11139" xr:uid="{D1872C0C-9185-478D-9C12-5CC27F45ECF8}"/>
    <cellStyle name="Normal 5 7 7" xfId="4842" xr:uid="{00000000-0005-0000-0000-0000D71B0000}"/>
    <cellStyle name="Normal 5 7 7 2" xfId="13292" xr:uid="{D18E7A47-62C3-418E-840C-1C490F299957}"/>
    <cellStyle name="Normal 5 7 8" xfId="9074" xr:uid="{A7881906-DDE7-43BD-A7B4-A6F1D9A87741}"/>
    <cellStyle name="Normal 5 8" xfId="880" xr:uid="{00000000-0005-0000-0000-0000D81B0000}"/>
    <cellStyle name="Normal 5 8 2" xfId="3115" xr:uid="{00000000-0005-0000-0000-0000D91B0000}"/>
    <cellStyle name="Normal 5 8 2 2" xfId="7337" xr:uid="{00000000-0005-0000-0000-0000DA1B0000}"/>
    <cellStyle name="Normal 5 8 2 2 2" xfId="15787" xr:uid="{94B72C2F-2F9A-4C05-93ED-48145AED3270}"/>
    <cellStyle name="Normal 5 8 2 3" xfId="11569" xr:uid="{FC5C80E9-A9CB-44B9-B5D4-17636E2B97DF}"/>
    <cellStyle name="Normal 5 8 3" xfId="5192" xr:uid="{00000000-0005-0000-0000-0000DB1B0000}"/>
    <cellStyle name="Normal 5 8 3 2" xfId="13642" xr:uid="{470E3AF0-EF05-4E14-A5A9-80E49B99C61F}"/>
    <cellStyle name="Normal 5 8 4" xfId="9424" xr:uid="{054CE32A-DDE8-4B56-8082-07E38E49276D}"/>
    <cellStyle name="Normal 5 9" xfId="1298" xr:uid="{00000000-0005-0000-0000-0000DC1B0000}"/>
    <cellStyle name="Normal 5 9 2" xfId="3528" xr:uid="{00000000-0005-0000-0000-0000DD1B0000}"/>
    <cellStyle name="Normal 5 9 2 2" xfId="7750" xr:uid="{00000000-0005-0000-0000-0000DE1B0000}"/>
    <cellStyle name="Normal 5 9 2 2 2" xfId="16200" xr:uid="{3F275A4B-4B1B-407C-A367-862A4899209D}"/>
    <cellStyle name="Normal 5 9 2 3" xfId="11982" xr:uid="{A39A4FA7-4FBF-404B-82B0-DD68BB6FDF90}"/>
    <cellStyle name="Normal 5 9 3" xfId="5605" xr:uid="{00000000-0005-0000-0000-0000DF1B0000}"/>
    <cellStyle name="Normal 5 9 3 2" xfId="14055" xr:uid="{29C4AA9A-38CA-491B-BDE6-0F8A5656CE1B}"/>
    <cellStyle name="Normal 5 9 4" xfId="9837" xr:uid="{99D77068-74C8-40C0-80D1-27A2FD2D76E7}"/>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17090" xr:uid="{58A580B5-C5B4-460C-8229-D112E68C90B8}"/>
    <cellStyle name="Normal 8 10 2 3" xfId="12872" xr:uid="{021839BE-F77D-4F12-BEB9-F51E23AE8903}"/>
    <cellStyle name="Normal 8 10 3" xfId="6495" xr:uid="{00000000-0005-0000-0000-0000EB1B0000}"/>
    <cellStyle name="Normal 8 10 3 2" xfId="14945" xr:uid="{708F536F-8516-4E7A-A89C-7E681DFFF924}"/>
    <cellStyle name="Normal 8 10 4" xfId="10727" xr:uid="{041EDAD1-0A42-411F-BED4-2A78B3F14FC6}"/>
    <cellStyle name="Normal 8 11" xfId="2625" xr:uid="{00000000-0005-0000-0000-0000EC1B0000}"/>
    <cellStyle name="Normal 8 11 2" xfId="6908" xr:uid="{00000000-0005-0000-0000-0000ED1B0000}"/>
    <cellStyle name="Normal 8 11 2 2" xfId="15358" xr:uid="{EF194C89-4CB3-4F5B-A105-72AE69DF7704}"/>
    <cellStyle name="Normal 8 11 3" xfId="11140" xr:uid="{990C88D8-C098-4ED7-A3A0-C2469542D476}"/>
    <cellStyle name="Normal 8 12" xfId="4843" xr:uid="{00000000-0005-0000-0000-0000EE1B0000}"/>
    <cellStyle name="Normal 8 12 2" xfId="13293" xr:uid="{B56AF6AC-2807-4162-ABBE-C4A5F7FCC27E}"/>
    <cellStyle name="Normal 8 13" xfId="9075" xr:uid="{E591AF83-0851-40A9-9995-0CE8611AF136}"/>
    <cellStyle name="Normal 8 2" xfId="479" xr:uid="{00000000-0005-0000-0000-0000EF1B0000}"/>
    <cellStyle name="Normal 8 2 10" xfId="2626" xr:uid="{00000000-0005-0000-0000-0000F01B0000}"/>
    <cellStyle name="Normal 8 2 10 2" xfId="6909" xr:uid="{00000000-0005-0000-0000-0000F11B0000}"/>
    <cellStyle name="Normal 8 2 10 2 2" xfId="15359" xr:uid="{8EB16BBB-DDEB-44DA-87FC-190789DA6694}"/>
    <cellStyle name="Normal 8 2 10 3" xfId="11141" xr:uid="{31D1E145-1E9D-4B55-84D1-DEAF2550490A}"/>
    <cellStyle name="Normal 8 2 11" xfId="4844" xr:uid="{00000000-0005-0000-0000-0000F21B0000}"/>
    <cellStyle name="Normal 8 2 11 2" xfId="13294" xr:uid="{3BDDD61B-D1F9-42EA-A68C-7F9088DABD2F}"/>
    <cellStyle name="Normal 8 2 12" xfId="9076" xr:uid="{EF2A5741-9141-4DDE-9DC4-5C36A7EDE311}"/>
    <cellStyle name="Normal 8 2 2" xfId="480" xr:uid="{00000000-0005-0000-0000-0000F31B0000}"/>
    <cellStyle name="Normal 8 2 2 10" xfId="4845" xr:uid="{00000000-0005-0000-0000-0000F41B0000}"/>
    <cellStyle name="Normal 8 2 2 10 2" xfId="13295" xr:uid="{32F9C7A5-0051-4B8A-847F-C1BAC646F431}"/>
    <cellStyle name="Normal 8 2 2 11" xfId="9077" xr:uid="{A3A46A70-6BDF-4ABE-9833-5B580144186C}"/>
    <cellStyle name="Normal 8 2 2 2" xfId="481" xr:uid="{00000000-0005-0000-0000-0000F51B0000}"/>
    <cellStyle name="Normal 8 2 2 2 10" xfId="9078" xr:uid="{EC75C6F8-729B-4D26-B79A-76AE8453E669}"/>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15856" xr:uid="{D385293F-A14A-44CF-8BF8-4ED7DF9CE41C}"/>
    <cellStyle name="Normal 8 2 2 2 2 2 2 2 3" xfId="11638" xr:uid="{DC0004AC-278D-4393-A691-65F1128FD177}"/>
    <cellStyle name="Normal 8 2 2 2 2 2 2 3" xfId="5261" xr:uid="{00000000-0005-0000-0000-0000FB1B0000}"/>
    <cellStyle name="Normal 8 2 2 2 2 2 2 3 2" xfId="13711" xr:uid="{7F9D78C0-E7AD-4721-B4A7-A6E83B770B8C}"/>
    <cellStyle name="Normal 8 2 2 2 2 2 2 4" xfId="9493" xr:uid="{B4739289-AA77-4975-BDAE-07C27D91DB5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16269" xr:uid="{4629CD96-85D2-4087-8024-C8D1ADA01E19}"/>
    <cellStyle name="Normal 8 2 2 2 2 2 3 2 3" xfId="12051" xr:uid="{C812C4CC-C78B-4DBF-8D81-19A359DFFE02}"/>
    <cellStyle name="Normal 8 2 2 2 2 2 3 3" xfId="5674" xr:uid="{00000000-0005-0000-0000-0000FF1B0000}"/>
    <cellStyle name="Normal 8 2 2 2 2 2 3 3 2" xfId="14124" xr:uid="{E0F91855-7C8B-4877-B534-03024606833D}"/>
    <cellStyle name="Normal 8 2 2 2 2 2 3 4" xfId="9906" xr:uid="{F2EEF34A-E570-45C7-AEEB-A97C19EA6982}"/>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16682" xr:uid="{15098E26-E77D-4D8D-A02A-2BA9AB6754B6}"/>
    <cellStyle name="Normal 8 2 2 2 2 2 4 2 3" xfId="12464" xr:uid="{1C5330DB-75F0-4406-A223-85EF043C839A}"/>
    <cellStyle name="Normal 8 2 2 2 2 2 4 3" xfId="6087" xr:uid="{00000000-0005-0000-0000-0000031C0000}"/>
    <cellStyle name="Normal 8 2 2 2 2 2 4 3 2" xfId="14537" xr:uid="{04C9F968-FC72-40F4-947F-7C73DDABBD1F}"/>
    <cellStyle name="Normal 8 2 2 2 2 2 4 4" xfId="10319" xr:uid="{93C7DAFE-6D67-42AE-98D6-FCD64E6A1BAB}"/>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17095" xr:uid="{06C87937-B214-41B3-8EE3-04B1849AA67B}"/>
    <cellStyle name="Normal 8 2 2 2 2 2 5 2 3" xfId="12877" xr:uid="{5DF4C4E4-1C66-45C9-8EF9-D7965485D4FD}"/>
    <cellStyle name="Normal 8 2 2 2 2 2 5 3" xfId="6500" xr:uid="{00000000-0005-0000-0000-0000071C0000}"/>
    <cellStyle name="Normal 8 2 2 2 2 2 5 3 2" xfId="14950" xr:uid="{1F99FF44-B415-45D8-8FA2-1CF2C8BB9673}"/>
    <cellStyle name="Normal 8 2 2 2 2 2 5 4" xfId="10732" xr:uid="{06F9D99D-4E7D-4A2E-8B33-EF7D31C26773}"/>
    <cellStyle name="Normal 8 2 2 2 2 2 6" xfId="2630" xr:uid="{00000000-0005-0000-0000-0000081C0000}"/>
    <cellStyle name="Normal 8 2 2 2 2 2 6 2" xfId="6913" xr:uid="{00000000-0005-0000-0000-0000091C0000}"/>
    <cellStyle name="Normal 8 2 2 2 2 2 6 2 2" xfId="15363" xr:uid="{A7798B9E-6767-4FF0-9223-75E9A3075F6B}"/>
    <cellStyle name="Normal 8 2 2 2 2 2 6 3" xfId="11145" xr:uid="{6669C755-262C-46C9-9363-E8985C2F9A3E}"/>
    <cellStyle name="Normal 8 2 2 2 2 2 7" xfId="4848" xr:uid="{00000000-0005-0000-0000-00000A1C0000}"/>
    <cellStyle name="Normal 8 2 2 2 2 2 7 2" xfId="13298" xr:uid="{5ABFBE3A-99E0-4559-A287-61501FDB7EFB}"/>
    <cellStyle name="Normal 8 2 2 2 2 2 8" xfId="9080" xr:uid="{12D4D969-ACC2-4AAB-9FC7-955FD81E4CD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15855" xr:uid="{3E253CDE-0C5D-4CC6-9C81-513D11432E29}"/>
    <cellStyle name="Normal 8 2 2 2 2 3 2 3" xfId="11637" xr:uid="{92030E93-38C5-496F-B956-8F8B629A0BF6}"/>
    <cellStyle name="Normal 8 2 2 2 2 3 3" xfId="5260" xr:uid="{00000000-0005-0000-0000-00000E1C0000}"/>
    <cellStyle name="Normal 8 2 2 2 2 3 3 2" xfId="13710" xr:uid="{84F6FE26-7FF2-47DA-8435-70C2538297E9}"/>
    <cellStyle name="Normal 8 2 2 2 2 3 4" xfId="9492" xr:uid="{555291CB-F424-4FF8-BD42-8196644B23AA}"/>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16268" xr:uid="{075790C3-D273-43BF-A96D-813BA21D9DD4}"/>
    <cellStyle name="Normal 8 2 2 2 2 4 2 3" xfId="12050" xr:uid="{63CA40D4-7E1C-4333-94D4-D61EF106A43B}"/>
    <cellStyle name="Normal 8 2 2 2 2 4 3" xfId="5673" xr:uid="{00000000-0005-0000-0000-0000121C0000}"/>
    <cellStyle name="Normal 8 2 2 2 2 4 3 2" xfId="14123" xr:uid="{A1D4A3B3-9684-48DA-9723-092E84770380}"/>
    <cellStyle name="Normal 8 2 2 2 2 4 4" xfId="9905" xr:uid="{70BBE718-C0CB-440A-92B8-3E774679B5A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16681" xr:uid="{9E1A7638-A700-476C-8FAD-5CEFCCF808A3}"/>
    <cellStyle name="Normal 8 2 2 2 2 5 2 3" xfId="12463" xr:uid="{88E9B916-A59A-4589-AFBD-4874FC1D7EFE}"/>
    <cellStyle name="Normal 8 2 2 2 2 5 3" xfId="6086" xr:uid="{00000000-0005-0000-0000-0000161C0000}"/>
    <cellStyle name="Normal 8 2 2 2 2 5 3 2" xfId="14536" xr:uid="{DBCB3284-FB6D-48C6-A1CA-DEEBBCA638D2}"/>
    <cellStyle name="Normal 8 2 2 2 2 5 4" xfId="10318" xr:uid="{5F859DC2-A3AB-44C4-A100-D194868E6834}"/>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17094" xr:uid="{CF656AE2-2DCE-481A-8864-004779415ED9}"/>
    <cellStyle name="Normal 8 2 2 2 2 6 2 3" xfId="12876" xr:uid="{8B8F6711-8735-4EF0-B169-82DC2E26C21D}"/>
    <cellStyle name="Normal 8 2 2 2 2 6 3" xfId="6499" xr:uid="{00000000-0005-0000-0000-00001A1C0000}"/>
    <cellStyle name="Normal 8 2 2 2 2 6 3 2" xfId="14949" xr:uid="{421A1699-16DA-414F-A35D-F234C839848B}"/>
    <cellStyle name="Normal 8 2 2 2 2 6 4" xfId="10731" xr:uid="{4A3DB007-FBC6-41E6-A366-49CE2D2B5092}"/>
    <cellStyle name="Normal 8 2 2 2 2 7" xfId="2629" xr:uid="{00000000-0005-0000-0000-00001B1C0000}"/>
    <cellStyle name="Normal 8 2 2 2 2 7 2" xfId="6912" xr:uid="{00000000-0005-0000-0000-00001C1C0000}"/>
    <cellStyle name="Normal 8 2 2 2 2 7 2 2" xfId="15362" xr:uid="{BC7F2306-365E-436C-8EE4-E5ED50684550}"/>
    <cellStyle name="Normal 8 2 2 2 2 7 3" xfId="11144" xr:uid="{27DBA52F-06EC-44CC-8713-966723B5D384}"/>
    <cellStyle name="Normal 8 2 2 2 2 8" xfId="4847" xr:uid="{00000000-0005-0000-0000-00001D1C0000}"/>
    <cellStyle name="Normal 8 2 2 2 2 8 2" xfId="13297" xr:uid="{8D3920DF-0413-46F4-AD51-D56BABEC6C2D}"/>
    <cellStyle name="Normal 8 2 2 2 2 9" xfId="9079" xr:uid="{82C0FA9B-DA64-4431-B379-B208B9E9260B}"/>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15857" xr:uid="{DFAC79B1-DF92-49E3-A61D-EE4229281896}"/>
    <cellStyle name="Normal 8 2 2 2 3 2 2 3" xfId="11639" xr:uid="{887CC4AC-6793-4244-AE79-946AAEA4CD43}"/>
    <cellStyle name="Normal 8 2 2 2 3 2 3" xfId="5262" xr:uid="{00000000-0005-0000-0000-0000221C0000}"/>
    <cellStyle name="Normal 8 2 2 2 3 2 3 2" xfId="13712" xr:uid="{A961A1FE-86D0-458F-B12F-1D6C7A8DFC1E}"/>
    <cellStyle name="Normal 8 2 2 2 3 2 4" xfId="9494" xr:uid="{6D483ADB-64B2-4157-B079-705183F2019D}"/>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16270" xr:uid="{62302829-9746-4D43-A287-05845C9E838E}"/>
    <cellStyle name="Normal 8 2 2 2 3 3 2 3" xfId="12052" xr:uid="{6F586DF7-4517-4330-AA08-ECECA26A1AFF}"/>
    <cellStyle name="Normal 8 2 2 2 3 3 3" xfId="5675" xr:uid="{00000000-0005-0000-0000-0000261C0000}"/>
    <cellStyle name="Normal 8 2 2 2 3 3 3 2" xfId="14125" xr:uid="{147AA062-481A-4352-BC70-75A7CA1A3469}"/>
    <cellStyle name="Normal 8 2 2 2 3 3 4" xfId="9907" xr:uid="{6AD50475-71A3-48C3-B529-F4462D35144F}"/>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16683" xr:uid="{24BD3AC0-A51E-463B-A686-83476C67248C}"/>
    <cellStyle name="Normal 8 2 2 2 3 4 2 3" xfId="12465" xr:uid="{33697EC0-BF88-4295-B273-9F98715959B7}"/>
    <cellStyle name="Normal 8 2 2 2 3 4 3" xfId="6088" xr:uid="{00000000-0005-0000-0000-00002A1C0000}"/>
    <cellStyle name="Normal 8 2 2 2 3 4 3 2" xfId="14538" xr:uid="{AF7AF8CC-EF14-456F-87C0-FCE6CE40C798}"/>
    <cellStyle name="Normal 8 2 2 2 3 4 4" xfId="10320" xr:uid="{E8350943-519D-49C0-95AA-5FD65EDD9FD4}"/>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17096" xr:uid="{B1A4243D-4E8C-46BA-8DD8-2831331DF94B}"/>
    <cellStyle name="Normal 8 2 2 2 3 5 2 3" xfId="12878" xr:uid="{EDCA88DA-346D-4B6F-9B7E-1278B799A567}"/>
    <cellStyle name="Normal 8 2 2 2 3 5 3" xfId="6501" xr:uid="{00000000-0005-0000-0000-00002E1C0000}"/>
    <cellStyle name="Normal 8 2 2 2 3 5 3 2" xfId="14951" xr:uid="{5D3EE759-721D-4325-A04F-043C98E66F32}"/>
    <cellStyle name="Normal 8 2 2 2 3 5 4" xfId="10733" xr:uid="{DD84DAFA-FC9F-4D94-BF6F-A5B07361456D}"/>
    <cellStyle name="Normal 8 2 2 2 3 6" xfId="2631" xr:uid="{00000000-0005-0000-0000-00002F1C0000}"/>
    <cellStyle name="Normal 8 2 2 2 3 6 2" xfId="6914" xr:uid="{00000000-0005-0000-0000-0000301C0000}"/>
    <cellStyle name="Normal 8 2 2 2 3 6 2 2" xfId="15364" xr:uid="{6F712533-7244-4B46-83FD-2D64CF00854E}"/>
    <cellStyle name="Normal 8 2 2 2 3 6 3" xfId="11146" xr:uid="{1BF51352-FBE3-4BF7-B9C0-0ED7E6C01066}"/>
    <cellStyle name="Normal 8 2 2 2 3 7" xfId="4849" xr:uid="{00000000-0005-0000-0000-0000311C0000}"/>
    <cellStyle name="Normal 8 2 2 2 3 7 2" xfId="13299" xr:uid="{D80B0289-0025-4E22-A0FB-E7F76E17A1D3}"/>
    <cellStyle name="Normal 8 2 2 2 3 8" xfId="9081" xr:uid="{701D39C1-F34C-4974-81F3-E5750869AE95}"/>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15854" xr:uid="{4DE7856A-3358-4EBA-BC66-7F0964863E57}"/>
    <cellStyle name="Normal 8 2 2 2 4 2 3" xfId="11636" xr:uid="{524EB8F7-6045-44FD-A6B6-4C700F818FE8}"/>
    <cellStyle name="Normal 8 2 2 2 4 3" xfId="5259" xr:uid="{00000000-0005-0000-0000-0000351C0000}"/>
    <cellStyle name="Normal 8 2 2 2 4 3 2" xfId="13709" xr:uid="{D35DC4C6-9700-4D2E-8508-1944964E86C8}"/>
    <cellStyle name="Normal 8 2 2 2 4 4" xfId="9491" xr:uid="{F52837DB-391B-4A21-862D-A9DDC204FCA3}"/>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16267" xr:uid="{BE6E2A67-F2B9-4AAF-8C17-68355587C59F}"/>
    <cellStyle name="Normal 8 2 2 2 5 2 3" xfId="12049" xr:uid="{4BDA9724-F2CF-4C47-AEDF-F72AACBB8A41}"/>
    <cellStyle name="Normal 8 2 2 2 5 3" xfId="5672" xr:uid="{00000000-0005-0000-0000-0000391C0000}"/>
    <cellStyle name="Normal 8 2 2 2 5 3 2" xfId="14122" xr:uid="{CD129695-43C0-40DA-818E-32A3291B3404}"/>
    <cellStyle name="Normal 8 2 2 2 5 4" xfId="9904" xr:uid="{7D39E160-C537-4E0B-B3FC-E1A1ECEFDACB}"/>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16680" xr:uid="{09F1AD2D-88FD-4C9F-B319-B3253E679102}"/>
    <cellStyle name="Normal 8 2 2 2 6 2 3" xfId="12462" xr:uid="{41F6B46E-3EC9-45A1-8D21-E899A5BE1B0F}"/>
    <cellStyle name="Normal 8 2 2 2 6 3" xfId="6085" xr:uid="{00000000-0005-0000-0000-00003D1C0000}"/>
    <cellStyle name="Normal 8 2 2 2 6 3 2" xfId="14535" xr:uid="{E438C09C-204B-4381-BCAC-960B13BE73A2}"/>
    <cellStyle name="Normal 8 2 2 2 6 4" xfId="10317" xr:uid="{8E1854BE-4E05-40CE-8AE4-23241F8E047A}"/>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17093" xr:uid="{65942087-299B-40F8-A4CA-9811CB095B6D}"/>
    <cellStyle name="Normal 8 2 2 2 7 2 3" xfId="12875" xr:uid="{1DEF3F95-E44C-415C-86CE-467AED17F806}"/>
    <cellStyle name="Normal 8 2 2 2 7 3" xfId="6498" xr:uid="{00000000-0005-0000-0000-0000411C0000}"/>
    <cellStyle name="Normal 8 2 2 2 7 3 2" xfId="14948" xr:uid="{75AA943F-09AE-45DD-9D0B-19C2E4A2DA55}"/>
    <cellStyle name="Normal 8 2 2 2 7 4" xfId="10730" xr:uid="{854A606B-362F-4365-982B-973F517615A5}"/>
    <cellStyle name="Normal 8 2 2 2 8" xfId="2628" xr:uid="{00000000-0005-0000-0000-0000421C0000}"/>
    <cellStyle name="Normal 8 2 2 2 8 2" xfId="6911" xr:uid="{00000000-0005-0000-0000-0000431C0000}"/>
    <cellStyle name="Normal 8 2 2 2 8 2 2" xfId="15361" xr:uid="{935C011E-234E-46AF-9FCB-FCF537F25236}"/>
    <cellStyle name="Normal 8 2 2 2 8 3" xfId="11143" xr:uid="{501E610F-2604-4891-8AF8-8B75A020A7D9}"/>
    <cellStyle name="Normal 8 2 2 2 9" xfId="4846" xr:uid="{00000000-0005-0000-0000-0000441C0000}"/>
    <cellStyle name="Normal 8 2 2 2 9 2" xfId="13296" xr:uid="{3F9939C5-0C33-432A-A338-EE6A562ECDCB}"/>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15859" xr:uid="{10A65FC4-6616-4794-85D4-7DE57EC6982D}"/>
    <cellStyle name="Normal 8 2 2 3 2 2 2 3" xfId="11641" xr:uid="{C3C2949B-6712-4AC0-A886-3D2E5DB3518D}"/>
    <cellStyle name="Normal 8 2 2 3 2 2 3" xfId="5264" xr:uid="{00000000-0005-0000-0000-00004A1C0000}"/>
    <cellStyle name="Normal 8 2 2 3 2 2 3 2" xfId="13714" xr:uid="{0DA938A4-C06A-4A06-AB08-AF24048C469F}"/>
    <cellStyle name="Normal 8 2 2 3 2 2 4" xfId="9496" xr:uid="{FD473AEF-C691-4482-9EDF-2261AF4C1BFB}"/>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16272" xr:uid="{E13A30A4-264F-403C-A117-189066AD4E20}"/>
    <cellStyle name="Normal 8 2 2 3 2 3 2 3" xfId="12054" xr:uid="{3CCD0862-7E59-42A0-A0B2-3DF99DE7D8A6}"/>
    <cellStyle name="Normal 8 2 2 3 2 3 3" xfId="5677" xr:uid="{00000000-0005-0000-0000-00004E1C0000}"/>
    <cellStyle name="Normal 8 2 2 3 2 3 3 2" xfId="14127" xr:uid="{E61C23BF-3AE9-4D16-A5D7-E83784C37C05}"/>
    <cellStyle name="Normal 8 2 2 3 2 3 4" xfId="9909" xr:uid="{C65EC581-4E15-4545-9699-F94FCAA346BE}"/>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16685" xr:uid="{E6210339-0E45-4D7E-9082-57C833F321BD}"/>
    <cellStyle name="Normal 8 2 2 3 2 4 2 3" xfId="12467" xr:uid="{FED797E6-5563-44AA-AA6F-6069D866BC9B}"/>
    <cellStyle name="Normal 8 2 2 3 2 4 3" xfId="6090" xr:uid="{00000000-0005-0000-0000-0000521C0000}"/>
    <cellStyle name="Normal 8 2 2 3 2 4 3 2" xfId="14540" xr:uid="{C69EA348-053D-4A96-A6C4-3EDDB129FAA8}"/>
    <cellStyle name="Normal 8 2 2 3 2 4 4" xfId="10322" xr:uid="{87D58CB7-9037-40A9-9509-47A95A6955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17098" xr:uid="{1E4F1169-5B2E-4584-B060-6F33CD6EA554}"/>
    <cellStyle name="Normal 8 2 2 3 2 5 2 3" xfId="12880" xr:uid="{BEF347DD-0184-4271-B3DA-ECEA9185E871}"/>
    <cellStyle name="Normal 8 2 2 3 2 5 3" xfId="6503" xr:uid="{00000000-0005-0000-0000-0000561C0000}"/>
    <cellStyle name="Normal 8 2 2 3 2 5 3 2" xfId="14953" xr:uid="{0FD02862-9BB2-41A2-848F-D580E5ED9783}"/>
    <cellStyle name="Normal 8 2 2 3 2 5 4" xfId="10735" xr:uid="{9AD40E93-363A-4CBF-8EBE-B2743B2EDD82}"/>
    <cellStyle name="Normal 8 2 2 3 2 6" xfId="2633" xr:uid="{00000000-0005-0000-0000-0000571C0000}"/>
    <cellStyle name="Normal 8 2 2 3 2 6 2" xfId="6916" xr:uid="{00000000-0005-0000-0000-0000581C0000}"/>
    <cellStyle name="Normal 8 2 2 3 2 6 2 2" xfId="15366" xr:uid="{EFA8DDF9-ED84-45A3-BF72-E4943DCDE383}"/>
    <cellStyle name="Normal 8 2 2 3 2 6 3" xfId="11148" xr:uid="{255C9ED2-DA9F-4602-830A-4FC02CA31A83}"/>
    <cellStyle name="Normal 8 2 2 3 2 7" xfId="4851" xr:uid="{00000000-0005-0000-0000-0000591C0000}"/>
    <cellStyle name="Normal 8 2 2 3 2 7 2" xfId="13301" xr:uid="{739D6984-C370-4732-B6E8-9FC55C39C909}"/>
    <cellStyle name="Normal 8 2 2 3 2 8" xfId="9083" xr:uid="{65C4A984-A329-4AB0-B0E6-B7CC8805C0FE}"/>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15858" xr:uid="{53E6A2D0-58FE-4415-A511-A1F2D53B0139}"/>
    <cellStyle name="Normal 8 2 2 3 3 2 3" xfId="11640" xr:uid="{A899FE14-AC96-4FD7-818C-61CE67B1FEF4}"/>
    <cellStyle name="Normal 8 2 2 3 3 3" xfId="5263" xr:uid="{00000000-0005-0000-0000-00005D1C0000}"/>
    <cellStyle name="Normal 8 2 2 3 3 3 2" xfId="13713" xr:uid="{96DBACA4-FD3B-4E5E-B4DB-D5426AF4D719}"/>
    <cellStyle name="Normal 8 2 2 3 3 4" xfId="9495" xr:uid="{448DC75F-4B47-40E5-95E9-9826737E20CE}"/>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16271" xr:uid="{B96B3E8A-C6CC-4EE3-9588-221086ECA69B}"/>
    <cellStyle name="Normal 8 2 2 3 4 2 3" xfId="12053" xr:uid="{B089A9B6-62DC-4661-9628-4B8A590F6D50}"/>
    <cellStyle name="Normal 8 2 2 3 4 3" xfId="5676" xr:uid="{00000000-0005-0000-0000-0000611C0000}"/>
    <cellStyle name="Normal 8 2 2 3 4 3 2" xfId="14126" xr:uid="{5F8C2D16-E124-478A-82FF-438E67975C86}"/>
    <cellStyle name="Normal 8 2 2 3 4 4" xfId="9908" xr:uid="{C633A0D8-D9FF-4BBA-9D9E-3B222571CD42}"/>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16684" xr:uid="{5D43FF62-91D7-4993-B7A4-342AD35E5794}"/>
    <cellStyle name="Normal 8 2 2 3 5 2 3" xfId="12466" xr:uid="{519C1998-472D-4E48-B6F7-0422640F4DFC}"/>
    <cellStyle name="Normal 8 2 2 3 5 3" xfId="6089" xr:uid="{00000000-0005-0000-0000-0000651C0000}"/>
    <cellStyle name="Normal 8 2 2 3 5 3 2" xfId="14539" xr:uid="{B590BD1C-40CA-47BF-8E38-1C7D1E8E895A}"/>
    <cellStyle name="Normal 8 2 2 3 5 4" xfId="10321" xr:uid="{4BA52B6D-96EC-4A16-BEB7-866C4290D49E}"/>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17097" xr:uid="{DB196360-A53A-4D81-AE31-6CE1FBC5050F}"/>
    <cellStyle name="Normal 8 2 2 3 6 2 3" xfId="12879" xr:uid="{409C4D9C-9293-4A43-9129-07811704D0A0}"/>
    <cellStyle name="Normal 8 2 2 3 6 3" xfId="6502" xr:uid="{00000000-0005-0000-0000-0000691C0000}"/>
    <cellStyle name="Normal 8 2 2 3 6 3 2" xfId="14952" xr:uid="{496396BA-EFFD-40D5-8562-E6F3F3471E27}"/>
    <cellStyle name="Normal 8 2 2 3 6 4" xfId="10734" xr:uid="{18A28CD7-AFBC-447D-A7D7-C4A1521B4669}"/>
    <cellStyle name="Normal 8 2 2 3 7" xfId="2632" xr:uid="{00000000-0005-0000-0000-00006A1C0000}"/>
    <cellStyle name="Normal 8 2 2 3 7 2" xfId="6915" xr:uid="{00000000-0005-0000-0000-00006B1C0000}"/>
    <cellStyle name="Normal 8 2 2 3 7 2 2" xfId="15365" xr:uid="{7E8904D1-19FE-4E50-BF4B-20B6F6151516}"/>
    <cellStyle name="Normal 8 2 2 3 7 3" xfId="11147" xr:uid="{387FBE50-2129-401B-8B02-C4E5516271CA}"/>
    <cellStyle name="Normal 8 2 2 3 8" xfId="4850" xr:uid="{00000000-0005-0000-0000-00006C1C0000}"/>
    <cellStyle name="Normal 8 2 2 3 8 2" xfId="13300" xr:uid="{B053E52F-5199-43E2-AB05-A57153F5DC33}"/>
    <cellStyle name="Normal 8 2 2 3 9" xfId="9082" xr:uid="{AE4E6E90-7814-450B-B3E3-7EFA39DA5F9D}"/>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15860" xr:uid="{39BD167B-BC59-4768-81EF-E9C156B6FAF5}"/>
    <cellStyle name="Normal 8 2 2 4 2 2 3" xfId="11642" xr:uid="{D24606C5-3F89-45B5-817A-C54319021879}"/>
    <cellStyle name="Normal 8 2 2 4 2 3" xfId="5265" xr:uid="{00000000-0005-0000-0000-0000711C0000}"/>
    <cellStyle name="Normal 8 2 2 4 2 3 2" xfId="13715" xr:uid="{4E59C843-7989-497E-8959-3D220EC451AE}"/>
    <cellStyle name="Normal 8 2 2 4 2 4" xfId="9497" xr:uid="{F8072813-92F6-45E8-AB86-57228B15F4F3}"/>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16273" xr:uid="{6150D023-15F6-4062-B840-41017E9C72D5}"/>
    <cellStyle name="Normal 8 2 2 4 3 2 3" xfId="12055" xr:uid="{17B99883-3F4B-4D2A-9257-F15A09EB99FD}"/>
    <cellStyle name="Normal 8 2 2 4 3 3" xfId="5678" xr:uid="{00000000-0005-0000-0000-0000751C0000}"/>
    <cellStyle name="Normal 8 2 2 4 3 3 2" xfId="14128" xr:uid="{908C40EA-0926-4E6A-AC57-E8BF3C939A3C}"/>
    <cellStyle name="Normal 8 2 2 4 3 4" xfId="9910" xr:uid="{087FEBD8-5966-402C-A7FB-CCAFFEA7C496}"/>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16686" xr:uid="{E6463A97-08AB-4529-8505-AFE68E7C3744}"/>
    <cellStyle name="Normal 8 2 2 4 4 2 3" xfId="12468" xr:uid="{87C9443E-A566-4EC3-96FB-4E4DE6CC0FDF}"/>
    <cellStyle name="Normal 8 2 2 4 4 3" xfId="6091" xr:uid="{00000000-0005-0000-0000-0000791C0000}"/>
    <cellStyle name="Normal 8 2 2 4 4 3 2" xfId="14541" xr:uid="{FDE1A746-EDFF-4997-B61F-A445D31D2BD8}"/>
    <cellStyle name="Normal 8 2 2 4 4 4" xfId="10323" xr:uid="{29D1E13E-7F90-404E-AFF2-B4658452CE90}"/>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17099" xr:uid="{03DB5922-8CB4-4292-BF20-2AFBBC5A19B2}"/>
    <cellStyle name="Normal 8 2 2 4 5 2 3" xfId="12881" xr:uid="{498DBBE5-BA0E-4B9D-B600-833C95602729}"/>
    <cellStyle name="Normal 8 2 2 4 5 3" xfId="6504" xr:uid="{00000000-0005-0000-0000-00007D1C0000}"/>
    <cellStyle name="Normal 8 2 2 4 5 3 2" xfId="14954" xr:uid="{9C520828-5890-4297-B28B-CCEE96F2D369}"/>
    <cellStyle name="Normal 8 2 2 4 5 4" xfId="10736" xr:uid="{469B699A-33C4-457D-82C9-2BA488D066D8}"/>
    <cellStyle name="Normal 8 2 2 4 6" xfId="2634" xr:uid="{00000000-0005-0000-0000-00007E1C0000}"/>
    <cellStyle name="Normal 8 2 2 4 6 2" xfId="6917" xr:uid="{00000000-0005-0000-0000-00007F1C0000}"/>
    <cellStyle name="Normal 8 2 2 4 6 2 2" xfId="15367" xr:uid="{E55F81DC-0B43-4588-AC9F-830DBDB1F259}"/>
    <cellStyle name="Normal 8 2 2 4 6 3" xfId="11149" xr:uid="{03D10C27-25B0-41F8-A800-0D02990EB57A}"/>
    <cellStyle name="Normal 8 2 2 4 7" xfId="4852" xr:uid="{00000000-0005-0000-0000-0000801C0000}"/>
    <cellStyle name="Normal 8 2 2 4 7 2" xfId="13302" xr:uid="{C92EDB7D-C776-4C5E-9173-DF67279A58CE}"/>
    <cellStyle name="Normal 8 2 2 4 8" xfId="9084" xr:uid="{C3656A3E-D819-4A7A-8A5A-74A55EE27B85}"/>
    <cellStyle name="Normal 8 2 2 5" xfId="947" xr:uid="{00000000-0005-0000-0000-0000811C0000}"/>
    <cellStyle name="Normal 8 2 2 5 2" xfId="3181" xr:uid="{00000000-0005-0000-0000-0000821C0000}"/>
    <cellStyle name="Normal 8 2 2 5 2 2" xfId="7403" xr:uid="{00000000-0005-0000-0000-0000831C0000}"/>
    <cellStyle name="Normal 8 2 2 5 2 2 2" xfId="15853" xr:uid="{DA698D8B-7FFE-4DC9-B1BF-374BDD198DD7}"/>
    <cellStyle name="Normal 8 2 2 5 2 3" xfId="11635" xr:uid="{54F01E4C-3B3A-45DA-9629-6672084EF618}"/>
    <cellStyle name="Normal 8 2 2 5 3" xfId="5258" xr:uid="{00000000-0005-0000-0000-0000841C0000}"/>
    <cellStyle name="Normal 8 2 2 5 3 2" xfId="13708" xr:uid="{2E44A81A-506A-4709-A7FD-DFFD70E4BA14}"/>
    <cellStyle name="Normal 8 2 2 5 4" xfId="9490" xr:uid="{BB01A5B9-D436-4BE2-B20A-3F96223D6756}"/>
    <cellStyle name="Normal 8 2 2 6" xfId="1364" xr:uid="{00000000-0005-0000-0000-0000851C0000}"/>
    <cellStyle name="Normal 8 2 2 6 2" xfId="3594" xr:uid="{00000000-0005-0000-0000-0000861C0000}"/>
    <cellStyle name="Normal 8 2 2 6 2 2" xfId="7816" xr:uid="{00000000-0005-0000-0000-0000871C0000}"/>
    <cellStyle name="Normal 8 2 2 6 2 2 2" xfId="16266" xr:uid="{E0F27486-8483-4884-A7F5-272FE6CA3469}"/>
    <cellStyle name="Normal 8 2 2 6 2 3" xfId="12048" xr:uid="{D1692329-F745-4518-9AB0-960C7028EF6D}"/>
    <cellStyle name="Normal 8 2 2 6 3" xfId="5671" xr:uid="{00000000-0005-0000-0000-0000881C0000}"/>
    <cellStyle name="Normal 8 2 2 6 3 2" xfId="14121" xr:uid="{6D7B0464-A031-4677-B3FC-F5DC12714DBE}"/>
    <cellStyle name="Normal 8 2 2 6 4" xfId="9903" xr:uid="{5C09EB53-DA76-465D-9355-2D5EC4350739}"/>
    <cellStyle name="Normal 8 2 2 7" xfId="1777" xr:uid="{00000000-0005-0000-0000-0000891C0000}"/>
    <cellStyle name="Normal 8 2 2 7 2" xfId="4007" xr:uid="{00000000-0005-0000-0000-00008A1C0000}"/>
    <cellStyle name="Normal 8 2 2 7 2 2" xfId="8229" xr:uid="{00000000-0005-0000-0000-00008B1C0000}"/>
    <cellStyle name="Normal 8 2 2 7 2 2 2" xfId="16679" xr:uid="{0147A1E6-22A3-450A-988E-1E64EC467D47}"/>
    <cellStyle name="Normal 8 2 2 7 2 3" xfId="12461" xr:uid="{D2FD386F-711C-41CC-8C3D-3F4607552037}"/>
    <cellStyle name="Normal 8 2 2 7 3" xfId="6084" xr:uid="{00000000-0005-0000-0000-00008C1C0000}"/>
    <cellStyle name="Normal 8 2 2 7 3 2" xfId="14534" xr:uid="{180EC043-593E-400F-BCC5-C816705031F2}"/>
    <cellStyle name="Normal 8 2 2 7 4" xfId="10316" xr:uid="{15DF9276-A2CE-4BAB-82D0-B9A40A8F3C8B}"/>
    <cellStyle name="Normal 8 2 2 8" xfId="2191" xr:uid="{00000000-0005-0000-0000-00008D1C0000}"/>
    <cellStyle name="Normal 8 2 2 8 2" xfId="4420" xr:uid="{00000000-0005-0000-0000-00008E1C0000}"/>
    <cellStyle name="Normal 8 2 2 8 2 2" xfId="8642" xr:uid="{00000000-0005-0000-0000-00008F1C0000}"/>
    <cellStyle name="Normal 8 2 2 8 2 2 2" xfId="17092" xr:uid="{B95065E7-1506-45D7-9F0C-815E7508BA28}"/>
    <cellStyle name="Normal 8 2 2 8 2 3" xfId="12874" xr:uid="{77F81722-7FDF-4135-AACF-4A40A04FEFAD}"/>
    <cellStyle name="Normal 8 2 2 8 3" xfId="6497" xr:uid="{00000000-0005-0000-0000-0000901C0000}"/>
    <cellStyle name="Normal 8 2 2 8 3 2" xfId="14947" xr:uid="{BE33BC09-3A15-4A45-B8E4-EF32D65558EB}"/>
    <cellStyle name="Normal 8 2 2 8 4" xfId="10729" xr:uid="{ABA96341-B7CC-4A45-8563-F93AD62C344F}"/>
    <cellStyle name="Normal 8 2 2 9" xfId="2627" xr:uid="{00000000-0005-0000-0000-0000911C0000}"/>
    <cellStyle name="Normal 8 2 2 9 2" xfId="6910" xr:uid="{00000000-0005-0000-0000-0000921C0000}"/>
    <cellStyle name="Normal 8 2 2 9 2 2" xfId="15360" xr:uid="{BD4568CA-D907-4CEC-9F06-6B88CB09A7D8}"/>
    <cellStyle name="Normal 8 2 2 9 3" xfId="11142" xr:uid="{F2516454-E065-4173-BD6B-0A498E7D64A7}"/>
    <cellStyle name="Normal 8 2 3" xfId="488" xr:uid="{00000000-0005-0000-0000-0000931C0000}"/>
    <cellStyle name="Normal 8 2 3 10" xfId="9085" xr:uid="{76214620-386D-4A55-9112-CA184179AE0F}"/>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15863" xr:uid="{CC3DF6EC-CBB7-4275-A740-19A9DF131A7D}"/>
    <cellStyle name="Normal 8 2 3 2 2 2 2 3" xfId="11645" xr:uid="{9920F8DE-7102-40CB-9F11-1E6ED71FAE66}"/>
    <cellStyle name="Normal 8 2 3 2 2 2 3" xfId="5268" xr:uid="{00000000-0005-0000-0000-0000991C0000}"/>
    <cellStyle name="Normal 8 2 3 2 2 2 3 2" xfId="13718" xr:uid="{6C001413-E1D0-4AC0-92D2-8AA4B131184D}"/>
    <cellStyle name="Normal 8 2 3 2 2 2 4" xfId="9500" xr:uid="{012A23DD-63BA-44EF-BFC0-DE365C0AF8A1}"/>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16276" xr:uid="{048577F5-9DA1-422F-8196-1D288B72D384}"/>
    <cellStyle name="Normal 8 2 3 2 2 3 2 3" xfId="12058" xr:uid="{F0189ABC-F3EC-4780-A6D7-11E40D296CAE}"/>
    <cellStyle name="Normal 8 2 3 2 2 3 3" xfId="5681" xr:uid="{00000000-0005-0000-0000-00009D1C0000}"/>
    <cellStyle name="Normal 8 2 3 2 2 3 3 2" xfId="14131" xr:uid="{5EAA24B7-4CCE-46CB-B7E8-CF35FE3B09EA}"/>
    <cellStyle name="Normal 8 2 3 2 2 3 4" xfId="9913" xr:uid="{0DB04E1C-2A82-4836-935C-F743C8E5239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16689" xr:uid="{F7107446-5842-490F-9156-3695B75C089E}"/>
    <cellStyle name="Normal 8 2 3 2 2 4 2 3" xfId="12471" xr:uid="{0FDA6203-2420-49BB-B93F-AA9DE5AB5DFB}"/>
    <cellStyle name="Normal 8 2 3 2 2 4 3" xfId="6094" xr:uid="{00000000-0005-0000-0000-0000A11C0000}"/>
    <cellStyle name="Normal 8 2 3 2 2 4 3 2" xfId="14544" xr:uid="{0CD70B22-F3CD-4154-B3F1-1A37CD5504A6}"/>
    <cellStyle name="Normal 8 2 3 2 2 4 4" xfId="10326" xr:uid="{560CF6DC-35EC-4375-AF42-DF1D3A968C1A}"/>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17102" xr:uid="{99117CE1-F709-402A-AFE3-3DD8AEF50D34}"/>
    <cellStyle name="Normal 8 2 3 2 2 5 2 3" xfId="12884" xr:uid="{7D8255A1-2705-42B0-A42E-9A309D28F13E}"/>
    <cellStyle name="Normal 8 2 3 2 2 5 3" xfId="6507" xr:uid="{00000000-0005-0000-0000-0000A51C0000}"/>
    <cellStyle name="Normal 8 2 3 2 2 5 3 2" xfId="14957" xr:uid="{8F1847B9-DA47-4BB9-B54C-6376BC9607EA}"/>
    <cellStyle name="Normal 8 2 3 2 2 5 4" xfId="10739" xr:uid="{1180BEA4-2A7D-45FB-90D1-04D792C9F52F}"/>
    <cellStyle name="Normal 8 2 3 2 2 6" xfId="2637" xr:uid="{00000000-0005-0000-0000-0000A61C0000}"/>
    <cellStyle name="Normal 8 2 3 2 2 6 2" xfId="6920" xr:uid="{00000000-0005-0000-0000-0000A71C0000}"/>
    <cellStyle name="Normal 8 2 3 2 2 6 2 2" xfId="15370" xr:uid="{8929FF2D-D82C-4191-AFC9-37B726DDA3F4}"/>
    <cellStyle name="Normal 8 2 3 2 2 6 3" xfId="11152" xr:uid="{B4D052B4-2C4E-4F7A-BF4C-8D878E61D9C2}"/>
    <cellStyle name="Normal 8 2 3 2 2 7" xfId="4855" xr:uid="{00000000-0005-0000-0000-0000A81C0000}"/>
    <cellStyle name="Normal 8 2 3 2 2 7 2" xfId="13305" xr:uid="{92833DE7-CB1D-412F-B39F-06D3CB4BC7F6}"/>
    <cellStyle name="Normal 8 2 3 2 2 8" xfId="9087" xr:uid="{72854F41-3BFC-48FB-8A3F-F151224E2A57}"/>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15862" xr:uid="{99B30DB9-4809-4EF5-887B-CD5FBF5807A4}"/>
    <cellStyle name="Normal 8 2 3 2 3 2 3" xfId="11644" xr:uid="{87543CCF-AA16-48D5-8B64-93AFFBEFC777}"/>
    <cellStyle name="Normal 8 2 3 2 3 3" xfId="5267" xr:uid="{00000000-0005-0000-0000-0000AC1C0000}"/>
    <cellStyle name="Normal 8 2 3 2 3 3 2" xfId="13717" xr:uid="{2FD0249E-0D2F-4128-BE43-A1FD2E472E03}"/>
    <cellStyle name="Normal 8 2 3 2 3 4" xfId="9499" xr:uid="{DFFEE212-273F-4774-8C0C-9322E4143768}"/>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16275" xr:uid="{CEAB8D78-AF04-469A-8882-E4FC8669DF6C}"/>
    <cellStyle name="Normal 8 2 3 2 4 2 3" xfId="12057" xr:uid="{64C13BE6-6E3F-4C24-91C4-5A0F9D3D50AD}"/>
    <cellStyle name="Normal 8 2 3 2 4 3" xfId="5680" xr:uid="{00000000-0005-0000-0000-0000B01C0000}"/>
    <cellStyle name="Normal 8 2 3 2 4 3 2" xfId="14130" xr:uid="{AFCF3532-607D-4973-8D43-58FAA61085D9}"/>
    <cellStyle name="Normal 8 2 3 2 4 4" xfId="9912" xr:uid="{F2BF7A17-77B5-42C4-919E-6FD5FD3EE2DC}"/>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16688" xr:uid="{5100A4F4-7531-4D3F-977A-13907B0220DA}"/>
    <cellStyle name="Normal 8 2 3 2 5 2 3" xfId="12470" xr:uid="{6AAA393A-1779-4210-8B7C-298E9DA67482}"/>
    <cellStyle name="Normal 8 2 3 2 5 3" xfId="6093" xr:uid="{00000000-0005-0000-0000-0000B41C0000}"/>
    <cellStyle name="Normal 8 2 3 2 5 3 2" xfId="14543" xr:uid="{53FE1D01-B226-4A71-BB90-0D942F5B87B2}"/>
    <cellStyle name="Normal 8 2 3 2 5 4" xfId="10325" xr:uid="{F59B3F81-B585-4E41-A08E-04A4EA099322}"/>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17101" xr:uid="{2F1C9078-58E4-4CD2-AE0A-E4D01277DA7E}"/>
    <cellStyle name="Normal 8 2 3 2 6 2 3" xfId="12883" xr:uid="{A8A28E5B-0869-49B6-B204-4B5E276D51AF}"/>
    <cellStyle name="Normal 8 2 3 2 6 3" xfId="6506" xr:uid="{00000000-0005-0000-0000-0000B81C0000}"/>
    <cellStyle name="Normal 8 2 3 2 6 3 2" xfId="14956" xr:uid="{6C06E831-4725-4610-979E-7F953308C42C}"/>
    <cellStyle name="Normal 8 2 3 2 6 4" xfId="10738" xr:uid="{C074A9E8-31F1-4383-8521-5332837EC84C}"/>
    <cellStyle name="Normal 8 2 3 2 7" xfId="2636" xr:uid="{00000000-0005-0000-0000-0000B91C0000}"/>
    <cellStyle name="Normal 8 2 3 2 7 2" xfId="6919" xr:uid="{00000000-0005-0000-0000-0000BA1C0000}"/>
    <cellStyle name="Normal 8 2 3 2 7 2 2" xfId="15369" xr:uid="{0F1CA412-2900-482A-A937-1CFE4DA21E48}"/>
    <cellStyle name="Normal 8 2 3 2 7 3" xfId="11151" xr:uid="{CA640905-E5CC-4FAC-AF13-E5D4BBE43AF6}"/>
    <cellStyle name="Normal 8 2 3 2 8" xfId="4854" xr:uid="{00000000-0005-0000-0000-0000BB1C0000}"/>
    <cellStyle name="Normal 8 2 3 2 8 2" xfId="13304" xr:uid="{8272148F-EF3E-4839-B985-D93F880CB665}"/>
    <cellStyle name="Normal 8 2 3 2 9" xfId="9086" xr:uid="{CC4CA5C5-C8DE-47F9-93C6-C2A4DF92FEFF}"/>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15864" xr:uid="{F2EA0218-4593-4EC4-A8E3-8F84141588AC}"/>
    <cellStyle name="Normal 8 2 3 3 2 2 3" xfId="11646" xr:uid="{25ECAC12-397B-4998-8B8B-457B00B8C945}"/>
    <cellStyle name="Normal 8 2 3 3 2 3" xfId="5269" xr:uid="{00000000-0005-0000-0000-0000C01C0000}"/>
    <cellStyle name="Normal 8 2 3 3 2 3 2" xfId="13719" xr:uid="{5C5FFFDF-862D-46ED-A47C-87D8887B8F96}"/>
    <cellStyle name="Normal 8 2 3 3 2 4" xfId="9501" xr:uid="{1A4E0455-91E6-412B-9FFA-94AAF60866FC}"/>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16277" xr:uid="{AE256F3E-4E78-4E63-AD5C-B00B3C3377A1}"/>
    <cellStyle name="Normal 8 2 3 3 3 2 3" xfId="12059" xr:uid="{B35E76F3-ACFC-4B07-A05E-FECB86234A75}"/>
    <cellStyle name="Normal 8 2 3 3 3 3" xfId="5682" xr:uid="{00000000-0005-0000-0000-0000C41C0000}"/>
    <cellStyle name="Normal 8 2 3 3 3 3 2" xfId="14132" xr:uid="{98FC7DDF-23AC-436B-B1DB-B991B0FFD1B4}"/>
    <cellStyle name="Normal 8 2 3 3 3 4" xfId="9914" xr:uid="{05A71276-64C1-45FD-B8EF-5C6E05EB9043}"/>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16690" xr:uid="{4C859077-F479-4FBF-81CA-0825B4FC866E}"/>
    <cellStyle name="Normal 8 2 3 3 4 2 3" xfId="12472" xr:uid="{5DD523EA-E26B-428E-AE16-CD9CCD28C092}"/>
    <cellStyle name="Normal 8 2 3 3 4 3" xfId="6095" xr:uid="{00000000-0005-0000-0000-0000C81C0000}"/>
    <cellStyle name="Normal 8 2 3 3 4 3 2" xfId="14545" xr:uid="{5BBEF32A-E9B2-467E-BDA6-28658C74B5EA}"/>
    <cellStyle name="Normal 8 2 3 3 4 4" xfId="10327" xr:uid="{D22AD7FA-DC84-40F2-B456-CEF25206F7D1}"/>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17103" xr:uid="{859C39CA-9752-4E8C-80A2-8AC1083E2045}"/>
    <cellStyle name="Normal 8 2 3 3 5 2 3" xfId="12885" xr:uid="{0D81BADE-9F46-4664-AA15-D3EA616C3122}"/>
    <cellStyle name="Normal 8 2 3 3 5 3" xfId="6508" xr:uid="{00000000-0005-0000-0000-0000CC1C0000}"/>
    <cellStyle name="Normal 8 2 3 3 5 3 2" xfId="14958" xr:uid="{8665C275-FA2D-4D19-ABFA-ECB4F4591787}"/>
    <cellStyle name="Normal 8 2 3 3 5 4" xfId="10740" xr:uid="{3C8B3F02-2399-487D-AB2B-B706BD52D072}"/>
    <cellStyle name="Normal 8 2 3 3 6" xfId="2638" xr:uid="{00000000-0005-0000-0000-0000CD1C0000}"/>
    <cellStyle name="Normal 8 2 3 3 6 2" xfId="6921" xr:uid="{00000000-0005-0000-0000-0000CE1C0000}"/>
    <cellStyle name="Normal 8 2 3 3 6 2 2" xfId="15371" xr:uid="{42F60A99-BB0E-4481-A9FA-28D239B9FB51}"/>
    <cellStyle name="Normal 8 2 3 3 6 3" xfId="11153" xr:uid="{E001C6D4-4791-4A0B-AA1E-FF701392B613}"/>
    <cellStyle name="Normal 8 2 3 3 7" xfId="4856" xr:uid="{00000000-0005-0000-0000-0000CF1C0000}"/>
    <cellStyle name="Normal 8 2 3 3 7 2" xfId="13306" xr:uid="{77FC6DC0-5FC4-4ACF-93D2-5482E904ED35}"/>
    <cellStyle name="Normal 8 2 3 3 8" xfId="9088" xr:uid="{3C042E15-2F94-4F4C-930A-BFCD49ED2BD1}"/>
    <cellStyle name="Normal 8 2 3 4" xfId="955" xr:uid="{00000000-0005-0000-0000-0000D01C0000}"/>
    <cellStyle name="Normal 8 2 3 4 2" xfId="3189" xr:uid="{00000000-0005-0000-0000-0000D11C0000}"/>
    <cellStyle name="Normal 8 2 3 4 2 2" xfId="7411" xr:uid="{00000000-0005-0000-0000-0000D21C0000}"/>
    <cellStyle name="Normal 8 2 3 4 2 2 2" xfId="15861" xr:uid="{EAA7F13C-A0C0-4CE6-9C0B-36B08E5C05B3}"/>
    <cellStyle name="Normal 8 2 3 4 2 3" xfId="11643" xr:uid="{681CA1F6-BB3C-49D8-8F41-07590166663C}"/>
    <cellStyle name="Normal 8 2 3 4 3" xfId="5266" xr:uid="{00000000-0005-0000-0000-0000D31C0000}"/>
    <cellStyle name="Normal 8 2 3 4 3 2" xfId="13716" xr:uid="{781D3792-212F-4CCC-8079-B5225C0A31D7}"/>
    <cellStyle name="Normal 8 2 3 4 4" xfId="9498" xr:uid="{298D64A1-E232-4B7F-863C-95F87C7E86E3}"/>
    <cellStyle name="Normal 8 2 3 5" xfId="1372" xr:uid="{00000000-0005-0000-0000-0000D41C0000}"/>
    <cellStyle name="Normal 8 2 3 5 2" xfId="3602" xr:uid="{00000000-0005-0000-0000-0000D51C0000}"/>
    <cellStyle name="Normal 8 2 3 5 2 2" xfId="7824" xr:uid="{00000000-0005-0000-0000-0000D61C0000}"/>
    <cellStyle name="Normal 8 2 3 5 2 2 2" xfId="16274" xr:uid="{72445760-AA52-48A7-9211-88E05985C362}"/>
    <cellStyle name="Normal 8 2 3 5 2 3" xfId="12056" xr:uid="{B5422DD2-BA2D-409A-91E3-02FD19806BE8}"/>
    <cellStyle name="Normal 8 2 3 5 3" xfId="5679" xr:uid="{00000000-0005-0000-0000-0000D71C0000}"/>
    <cellStyle name="Normal 8 2 3 5 3 2" xfId="14129" xr:uid="{3E92BE85-A02F-4FF1-9F78-C05282BC6BE8}"/>
    <cellStyle name="Normal 8 2 3 5 4" xfId="9911" xr:uid="{AB0AECCA-0A79-4FAE-965F-C88B56908F5D}"/>
    <cellStyle name="Normal 8 2 3 6" xfId="1785" xr:uid="{00000000-0005-0000-0000-0000D81C0000}"/>
    <cellStyle name="Normal 8 2 3 6 2" xfId="4015" xr:uid="{00000000-0005-0000-0000-0000D91C0000}"/>
    <cellStyle name="Normal 8 2 3 6 2 2" xfId="8237" xr:uid="{00000000-0005-0000-0000-0000DA1C0000}"/>
    <cellStyle name="Normal 8 2 3 6 2 2 2" xfId="16687" xr:uid="{6F15A7BC-022E-4B2A-B896-D0D1CBE5CF47}"/>
    <cellStyle name="Normal 8 2 3 6 2 3" xfId="12469" xr:uid="{2790F7BF-8C7B-4229-8B07-2BE5785E5644}"/>
    <cellStyle name="Normal 8 2 3 6 3" xfId="6092" xr:uid="{00000000-0005-0000-0000-0000DB1C0000}"/>
    <cellStyle name="Normal 8 2 3 6 3 2" xfId="14542" xr:uid="{AFEC7D9C-871B-4BA8-9B0A-CE23054DEAFC}"/>
    <cellStyle name="Normal 8 2 3 6 4" xfId="10324" xr:uid="{62583476-FDF7-4793-90BB-50F24B79A012}"/>
    <cellStyle name="Normal 8 2 3 7" xfId="2199" xr:uid="{00000000-0005-0000-0000-0000DC1C0000}"/>
    <cellStyle name="Normal 8 2 3 7 2" xfId="4428" xr:uid="{00000000-0005-0000-0000-0000DD1C0000}"/>
    <cellStyle name="Normal 8 2 3 7 2 2" xfId="8650" xr:uid="{00000000-0005-0000-0000-0000DE1C0000}"/>
    <cellStyle name="Normal 8 2 3 7 2 2 2" xfId="17100" xr:uid="{E6EA4FB9-2D99-469B-AD29-EB33A2C53E5F}"/>
    <cellStyle name="Normal 8 2 3 7 2 3" xfId="12882" xr:uid="{74BB3EB8-A5AF-4E84-B5EE-4662258A87C0}"/>
    <cellStyle name="Normal 8 2 3 7 3" xfId="6505" xr:uid="{00000000-0005-0000-0000-0000DF1C0000}"/>
    <cellStyle name="Normal 8 2 3 7 3 2" xfId="14955" xr:uid="{B35A3139-6F93-494D-9EFE-D8EF07CE4C20}"/>
    <cellStyle name="Normal 8 2 3 7 4" xfId="10737" xr:uid="{9FF0478E-908F-4B20-BE64-0CA07BEBDD95}"/>
    <cellStyle name="Normal 8 2 3 8" xfId="2635" xr:uid="{00000000-0005-0000-0000-0000E01C0000}"/>
    <cellStyle name="Normal 8 2 3 8 2" xfId="6918" xr:uid="{00000000-0005-0000-0000-0000E11C0000}"/>
    <cellStyle name="Normal 8 2 3 8 2 2" xfId="15368" xr:uid="{8E051616-96BC-4EB4-9023-F3F701701ADD}"/>
    <cellStyle name="Normal 8 2 3 8 3" xfId="11150" xr:uid="{BC4A226A-5695-4B03-90A7-36F5BE013C2E}"/>
    <cellStyle name="Normal 8 2 3 9" xfId="4853" xr:uid="{00000000-0005-0000-0000-0000E21C0000}"/>
    <cellStyle name="Normal 8 2 3 9 2" xfId="13303" xr:uid="{F6E127F2-8D0A-4323-B678-F67CE2B77F8B}"/>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15866" xr:uid="{6FD2B0DF-C5E3-47A3-9EA9-795A12DB746E}"/>
    <cellStyle name="Normal 8 2 4 2 2 2 3" xfId="11648" xr:uid="{6FB6D45E-5AEC-43A5-83FC-DADD24CB77FD}"/>
    <cellStyle name="Normal 8 2 4 2 2 3" xfId="5271" xr:uid="{00000000-0005-0000-0000-0000E81C0000}"/>
    <cellStyle name="Normal 8 2 4 2 2 3 2" xfId="13721" xr:uid="{61D3C8AD-CEFC-4B26-B1B8-7A391BFC1475}"/>
    <cellStyle name="Normal 8 2 4 2 2 4" xfId="9503" xr:uid="{43D12289-55B0-4B3E-84CD-8AF6650C0FE1}"/>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16279" xr:uid="{C4C89B22-E602-4684-8B9B-51B7AB4C5D47}"/>
    <cellStyle name="Normal 8 2 4 2 3 2 3" xfId="12061" xr:uid="{7E9CBEE0-7A56-4622-818C-187C8DB085F6}"/>
    <cellStyle name="Normal 8 2 4 2 3 3" xfId="5684" xr:uid="{00000000-0005-0000-0000-0000EC1C0000}"/>
    <cellStyle name="Normal 8 2 4 2 3 3 2" xfId="14134" xr:uid="{D2BF71E7-1D87-4D3F-B193-C1316382077B}"/>
    <cellStyle name="Normal 8 2 4 2 3 4" xfId="9916" xr:uid="{CF59CC5D-A4D3-4B92-AB45-0FD66A5E6CC9}"/>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16692" xr:uid="{8480C139-0F31-4C22-B0E6-352C756FB680}"/>
    <cellStyle name="Normal 8 2 4 2 4 2 3" xfId="12474" xr:uid="{19DC8CD0-0A5E-466C-A32C-75D0AAA4538C}"/>
    <cellStyle name="Normal 8 2 4 2 4 3" xfId="6097" xr:uid="{00000000-0005-0000-0000-0000F01C0000}"/>
    <cellStyle name="Normal 8 2 4 2 4 3 2" xfId="14547" xr:uid="{39C7E6A2-D939-465B-94B1-69F581463F24}"/>
    <cellStyle name="Normal 8 2 4 2 4 4" xfId="10329" xr:uid="{208C5859-A152-43D0-ABCD-A1650580BC82}"/>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17105" xr:uid="{A3A04C8C-5C3C-46A7-BD62-C1C90018770E}"/>
    <cellStyle name="Normal 8 2 4 2 5 2 3" xfId="12887" xr:uid="{1E425D4F-8779-4030-8718-4F1C57B45EF7}"/>
    <cellStyle name="Normal 8 2 4 2 5 3" xfId="6510" xr:uid="{00000000-0005-0000-0000-0000F41C0000}"/>
    <cellStyle name="Normal 8 2 4 2 5 3 2" xfId="14960" xr:uid="{09C9D36A-D2BB-4D13-B3E2-207774FE3C79}"/>
    <cellStyle name="Normal 8 2 4 2 5 4" xfId="10742" xr:uid="{248E5F6C-9360-49F7-905A-B85064B7697A}"/>
    <cellStyle name="Normal 8 2 4 2 6" xfId="2640" xr:uid="{00000000-0005-0000-0000-0000F51C0000}"/>
    <cellStyle name="Normal 8 2 4 2 6 2" xfId="6923" xr:uid="{00000000-0005-0000-0000-0000F61C0000}"/>
    <cellStyle name="Normal 8 2 4 2 6 2 2" xfId="15373" xr:uid="{1210CCB8-3473-4D5D-97A6-2056FEE2061E}"/>
    <cellStyle name="Normal 8 2 4 2 6 3" xfId="11155" xr:uid="{4615A3A5-60E0-40F0-B313-FB23CDBE4E96}"/>
    <cellStyle name="Normal 8 2 4 2 7" xfId="4858" xr:uid="{00000000-0005-0000-0000-0000F71C0000}"/>
    <cellStyle name="Normal 8 2 4 2 7 2" xfId="13308" xr:uid="{939796D4-3646-4C95-99BD-557ED62F7401}"/>
    <cellStyle name="Normal 8 2 4 2 8" xfId="9090" xr:uid="{8661187B-1C85-4BE9-AA0E-E2E1C35D08F6}"/>
    <cellStyle name="Normal 8 2 4 3" xfId="959" xr:uid="{00000000-0005-0000-0000-0000F81C0000}"/>
    <cellStyle name="Normal 8 2 4 3 2" xfId="3193" xr:uid="{00000000-0005-0000-0000-0000F91C0000}"/>
    <cellStyle name="Normal 8 2 4 3 2 2" xfId="7415" xr:uid="{00000000-0005-0000-0000-0000FA1C0000}"/>
    <cellStyle name="Normal 8 2 4 3 2 2 2" xfId="15865" xr:uid="{7DDB37CA-A8DF-4DF3-A4D2-019CD998BA60}"/>
    <cellStyle name="Normal 8 2 4 3 2 3" xfId="11647" xr:uid="{AF37482D-CE9D-4013-B3DF-61633D11F087}"/>
    <cellStyle name="Normal 8 2 4 3 3" xfId="5270" xr:uid="{00000000-0005-0000-0000-0000FB1C0000}"/>
    <cellStyle name="Normal 8 2 4 3 3 2" xfId="13720" xr:uid="{1F7360A0-22BE-4FD6-932D-197BD08AECC5}"/>
    <cellStyle name="Normal 8 2 4 3 4" xfId="9502" xr:uid="{39046813-C32A-492C-8297-18BD45334B9C}"/>
    <cellStyle name="Normal 8 2 4 4" xfId="1376" xr:uid="{00000000-0005-0000-0000-0000FC1C0000}"/>
    <cellStyle name="Normal 8 2 4 4 2" xfId="3606" xr:uid="{00000000-0005-0000-0000-0000FD1C0000}"/>
    <cellStyle name="Normal 8 2 4 4 2 2" xfId="7828" xr:uid="{00000000-0005-0000-0000-0000FE1C0000}"/>
    <cellStyle name="Normal 8 2 4 4 2 2 2" xfId="16278" xr:uid="{1D983A90-0144-4D37-B986-885691B44F69}"/>
    <cellStyle name="Normal 8 2 4 4 2 3" xfId="12060" xr:uid="{C7B78D64-93DB-4F95-8D9A-91A9986BA9C8}"/>
    <cellStyle name="Normal 8 2 4 4 3" xfId="5683" xr:uid="{00000000-0005-0000-0000-0000FF1C0000}"/>
    <cellStyle name="Normal 8 2 4 4 3 2" xfId="14133" xr:uid="{7AEAB905-3163-4529-9F65-F0BAFDC24BFC}"/>
    <cellStyle name="Normal 8 2 4 4 4" xfId="9915" xr:uid="{B1DC86AA-0681-408E-BB57-23029BA84B48}"/>
    <cellStyle name="Normal 8 2 4 5" xfId="1789" xr:uid="{00000000-0005-0000-0000-0000001D0000}"/>
    <cellStyle name="Normal 8 2 4 5 2" xfId="4019" xr:uid="{00000000-0005-0000-0000-0000011D0000}"/>
    <cellStyle name="Normal 8 2 4 5 2 2" xfId="8241" xr:uid="{00000000-0005-0000-0000-0000021D0000}"/>
    <cellStyle name="Normal 8 2 4 5 2 2 2" xfId="16691" xr:uid="{9ADEDC74-6C56-4BD8-ACFA-94A19FD1AD77}"/>
    <cellStyle name="Normal 8 2 4 5 2 3" xfId="12473" xr:uid="{97125645-D5D6-468C-84FB-5797EADA0D85}"/>
    <cellStyle name="Normal 8 2 4 5 3" xfId="6096" xr:uid="{00000000-0005-0000-0000-0000031D0000}"/>
    <cellStyle name="Normal 8 2 4 5 3 2" xfId="14546" xr:uid="{A8043077-834B-4B6F-9105-69F0332DE2B6}"/>
    <cellStyle name="Normal 8 2 4 5 4" xfId="10328" xr:uid="{42EA8D20-F832-4988-A89A-B3D8C94BA089}"/>
    <cellStyle name="Normal 8 2 4 6" xfId="2203" xr:uid="{00000000-0005-0000-0000-0000041D0000}"/>
    <cellStyle name="Normal 8 2 4 6 2" xfId="4432" xr:uid="{00000000-0005-0000-0000-0000051D0000}"/>
    <cellStyle name="Normal 8 2 4 6 2 2" xfId="8654" xr:uid="{00000000-0005-0000-0000-0000061D0000}"/>
    <cellStyle name="Normal 8 2 4 6 2 2 2" xfId="17104" xr:uid="{FD278779-7E16-409D-A7F4-D7B32A253FF4}"/>
    <cellStyle name="Normal 8 2 4 6 2 3" xfId="12886" xr:uid="{969FEA94-3729-4ACA-99F2-9EE89678EF9E}"/>
    <cellStyle name="Normal 8 2 4 6 3" xfId="6509" xr:uid="{00000000-0005-0000-0000-0000071D0000}"/>
    <cellStyle name="Normal 8 2 4 6 3 2" xfId="14959" xr:uid="{E33C8B47-B39F-4A97-9BB5-B167F11CE5CC}"/>
    <cellStyle name="Normal 8 2 4 6 4" xfId="10741" xr:uid="{108ADAB7-A06C-4E89-BD08-F7A960F8CFDE}"/>
    <cellStyle name="Normal 8 2 4 7" xfId="2639" xr:uid="{00000000-0005-0000-0000-0000081D0000}"/>
    <cellStyle name="Normal 8 2 4 7 2" xfId="6922" xr:uid="{00000000-0005-0000-0000-0000091D0000}"/>
    <cellStyle name="Normal 8 2 4 7 2 2" xfId="15372" xr:uid="{D4A91CCF-55B9-4EFA-B83B-4AF8985EB453}"/>
    <cellStyle name="Normal 8 2 4 7 3" xfId="11154" xr:uid="{86589A82-BEFE-4156-A64E-F5C905D7FAE3}"/>
    <cellStyle name="Normal 8 2 4 8" xfId="4857" xr:uid="{00000000-0005-0000-0000-00000A1D0000}"/>
    <cellStyle name="Normal 8 2 4 8 2" xfId="13307" xr:uid="{1BA3DC25-0C19-4726-A161-0BFCE563E318}"/>
    <cellStyle name="Normal 8 2 4 9" xfId="9089" xr:uid="{374A9708-589D-4305-A5C6-8EB366E4A08D}"/>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2 2 2" xfId="15867" xr:uid="{98C8C74C-DC4C-4FC6-A9A5-5348C14BE409}"/>
    <cellStyle name="Normal 8 2 5 2 2 3" xfId="11649" xr:uid="{1D636146-94DD-45CA-B0D4-7E1CC1081B3F}"/>
    <cellStyle name="Normal 8 2 5 2 3" xfId="5272" xr:uid="{00000000-0005-0000-0000-00000F1D0000}"/>
    <cellStyle name="Normal 8 2 5 2 3 2" xfId="13722" xr:uid="{BB1D92DC-4DAF-4565-9390-977A27B2E661}"/>
    <cellStyle name="Normal 8 2 5 2 4" xfId="9504" xr:uid="{331CC7E9-CAD8-4E2E-816E-1D5D9BB8D0B6}"/>
    <cellStyle name="Normal 8 2 5 3" xfId="1378" xr:uid="{00000000-0005-0000-0000-0000101D0000}"/>
    <cellStyle name="Normal 8 2 5 3 2" xfId="3608" xr:uid="{00000000-0005-0000-0000-0000111D0000}"/>
    <cellStyle name="Normal 8 2 5 3 2 2" xfId="7830" xr:uid="{00000000-0005-0000-0000-0000121D0000}"/>
    <cellStyle name="Normal 8 2 5 3 2 2 2" xfId="16280" xr:uid="{AAC3891D-AC6C-4A1C-B08D-EF19AAD43605}"/>
    <cellStyle name="Normal 8 2 5 3 2 3" xfId="12062" xr:uid="{8BAA1AC5-998D-44C1-A724-FCF7443B9B3F}"/>
    <cellStyle name="Normal 8 2 5 3 3" xfId="5685" xr:uid="{00000000-0005-0000-0000-0000131D0000}"/>
    <cellStyle name="Normal 8 2 5 3 3 2" xfId="14135" xr:uid="{CCEE4783-3259-4394-AFCE-291337C85DD7}"/>
    <cellStyle name="Normal 8 2 5 3 4" xfId="9917" xr:uid="{6AC4AE55-1F50-475C-8A71-A45D14F9FB42}"/>
    <cellStyle name="Normal 8 2 5 4" xfId="1791" xr:uid="{00000000-0005-0000-0000-0000141D0000}"/>
    <cellStyle name="Normal 8 2 5 4 2" xfId="4021" xr:uid="{00000000-0005-0000-0000-0000151D0000}"/>
    <cellStyle name="Normal 8 2 5 4 2 2" xfId="8243" xr:uid="{00000000-0005-0000-0000-0000161D0000}"/>
    <cellStyle name="Normal 8 2 5 4 2 2 2" xfId="16693" xr:uid="{13BB9D48-F309-4D68-9D57-1C43CEF485AA}"/>
    <cellStyle name="Normal 8 2 5 4 2 3" xfId="12475" xr:uid="{1E57E36C-E0AC-424B-A3FD-609A53E50EF4}"/>
    <cellStyle name="Normal 8 2 5 4 3" xfId="6098" xr:uid="{00000000-0005-0000-0000-0000171D0000}"/>
    <cellStyle name="Normal 8 2 5 4 3 2" xfId="14548" xr:uid="{00026F48-F8CD-43ED-877C-EB79AEEF1F57}"/>
    <cellStyle name="Normal 8 2 5 4 4" xfId="10330" xr:uid="{A247EFB9-EBBF-4F92-8591-2C821A448F90}"/>
    <cellStyle name="Normal 8 2 5 5" xfId="2205" xr:uid="{00000000-0005-0000-0000-0000181D0000}"/>
    <cellStyle name="Normal 8 2 5 5 2" xfId="4434" xr:uid="{00000000-0005-0000-0000-0000191D0000}"/>
    <cellStyle name="Normal 8 2 5 5 2 2" xfId="8656" xr:uid="{00000000-0005-0000-0000-00001A1D0000}"/>
    <cellStyle name="Normal 8 2 5 5 2 2 2" xfId="17106" xr:uid="{008E74C6-5ABF-44D7-AFC9-222F3AEE52C7}"/>
    <cellStyle name="Normal 8 2 5 5 2 3" xfId="12888" xr:uid="{09FAC3B2-705D-4EC1-9213-02E9AD225A7E}"/>
    <cellStyle name="Normal 8 2 5 5 3" xfId="6511" xr:uid="{00000000-0005-0000-0000-00001B1D0000}"/>
    <cellStyle name="Normal 8 2 5 5 3 2" xfId="14961" xr:uid="{699F746B-D91B-4DB9-A5B1-BF434003D6FF}"/>
    <cellStyle name="Normal 8 2 5 5 4" xfId="10743" xr:uid="{75EA85D1-4E11-4F33-BC70-21250C6A0868}"/>
    <cellStyle name="Normal 8 2 5 6" xfId="2641" xr:uid="{00000000-0005-0000-0000-00001C1D0000}"/>
    <cellStyle name="Normal 8 2 5 6 2" xfId="6924" xr:uid="{00000000-0005-0000-0000-00001D1D0000}"/>
    <cellStyle name="Normal 8 2 5 6 2 2" xfId="15374" xr:uid="{EF89BD19-4E31-4222-A66A-7D040F64667F}"/>
    <cellStyle name="Normal 8 2 5 6 3" xfId="11156" xr:uid="{6CFA56BB-0776-4914-B753-E2AC342035A9}"/>
    <cellStyle name="Normal 8 2 5 7" xfId="4859" xr:uid="{00000000-0005-0000-0000-00001E1D0000}"/>
    <cellStyle name="Normal 8 2 5 7 2" xfId="13309" xr:uid="{81588283-2474-450C-A5C3-DFE5AE0A3CBF}"/>
    <cellStyle name="Normal 8 2 5 8" xfId="9091" xr:uid="{D6E57649-1838-438F-B45C-CC1A12A5E5F0}"/>
    <cellStyle name="Normal 8 2 6" xfId="946" xr:uid="{00000000-0005-0000-0000-00001F1D0000}"/>
    <cellStyle name="Normal 8 2 6 2" xfId="3180" xr:uid="{00000000-0005-0000-0000-0000201D0000}"/>
    <cellStyle name="Normal 8 2 6 2 2" xfId="7402" xr:uid="{00000000-0005-0000-0000-0000211D0000}"/>
    <cellStyle name="Normal 8 2 6 2 2 2" xfId="15852" xr:uid="{A69542E7-F288-4A2E-8777-87E99F672FBD}"/>
    <cellStyle name="Normal 8 2 6 2 3" xfId="11634" xr:uid="{C5598F90-4D44-431B-A20A-925F7B7835B0}"/>
    <cellStyle name="Normal 8 2 6 3" xfId="5257" xr:uid="{00000000-0005-0000-0000-0000221D0000}"/>
    <cellStyle name="Normal 8 2 6 3 2" xfId="13707" xr:uid="{1FD56557-955A-4186-9026-4625B509D276}"/>
    <cellStyle name="Normal 8 2 6 4" xfId="9489" xr:uid="{48DFF6AD-CAF4-4F57-AE0A-0C80AB4FEBE2}"/>
    <cellStyle name="Normal 8 2 7" xfId="1363" xr:uid="{00000000-0005-0000-0000-0000231D0000}"/>
    <cellStyle name="Normal 8 2 7 2" xfId="3593" xr:uid="{00000000-0005-0000-0000-0000241D0000}"/>
    <cellStyle name="Normal 8 2 7 2 2" xfId="7815" xr:uid="{00000000-0005-0000-0000-0000251D0000}"/>
    <cellStyle name="Normal 8 2 7 2 2 2" xfId="16265" xr:uid="{3B518B6F-0C9A-4597-95F4-6DCA4E993F07}"/>
    <cellStyle name="Normal 8 2 7 2 3" xfId="12047" xr:uid="{133452FF-7B47-417A-AAFF-497A8B8B1686}"/>
    <cellStyle name="Normal 8 2 7 3" xfId="5670" xr:uid="{00000000-0005-0000-0000-0000261D0000}"/>
    <cellStyle name="Normal 8 2 7 3 2" xfId="14120" xr:uid="{68A8E6A8-F42F-4A0C-BF9F-602E7210C1D7}"/>
    <cellStyle name="Normal 8 2 7 4" xfId="9902" xr:uid="{33B4AD5E-6E26-40DD-8D43-0C96C63FC77A}"/>
    <cellStyle name="Normal 8 2 8" xfId="1776" xr:uid="{00000000-0005-0000-0000-0000271D0000}"/>
    <cellStyle name="Normal 8 2 8 2" xfId="4006" xr:uid="{00000000-0005-0000-0000-0000281D0000}"/>
    <cellStyle name="Normal 8 2 8 2 2" xfId="8228" xr:uid="{00000000-0005-0000-0000-0000291D0000}"/>
    <cellStyle name="Normal 8 2 8 2 2 2" xfId="16678" xr:uid="{50721A4F-FF08-473C-80EB-81EC9BA0AD89}"/>
    <cellStyle name="Normal 8 2 8 2 3" xfId="12460" xr:uid="{9B098CA3-05EE-43AF-A49C-BF0FA9C75F88}"/>
    <cellStyle name="Normal 8 2 8 3" xfId="6083" xr:uid="{00000000-0005-0000-0000-00002A1D0000}"/>
    <cellStyle name="Normal 8 2 8 3 2" xfId="14533" xr:uid="{F1585DCB-1157-4B46-A4D7-50B64CB08A7B}"/>
    <cellStyle name="Normal 8 2 8 4" xfId="10315" xr:uid="{3DEA2FBE-8CB6-4333-B586-76711EFC5CAC}"/>
    <cellStyle name="Normal 8 2 9" xfId="2190" xr:uid="{00000000-0005-0000-0000-00002B1D0000}"/>
    <cellStyle name="Normal 8 2 9 2" xfId="4419" xr:uid="{00000000-0005-0000-0000-00002C1D0000}"/>
    <cellStyle name="Normal 8 2 9 2 2" xfId="8641" xr:uid="{00000000-0005-0000-0000-00002D1D0000}"/>
    <cellStyle name="Normal 8 2 9 2 2 2" xfId="17091" xr:uid="{7BDF0062-4DCA-482F-842B-7EF443B5B05E}"/>
    <cellStyle name="Normal 8 2 9 2 3" xfId="12873" xr:uid="{43DC1BF0-412F-4A57-9F34-8763D6F7A87A}"/>
    <cellStyle name="Normal 8 2 9 3" xfId="6496" xr:uid="{00000000-0005-0000-0000-00002E1D0000}"/>
    <cellStyle name="Normal 8 2 9 3 2" xfId="14946" xr:uid="{02518279-A5B3-40F1-9F99-1AABB9F7FA12}"/>
    <cellStyle name="Normal 8 2 9 4" xfId="10728" xr:uid="{051E30BD-B888-4C5A-A8D1-E75FA22AF181}"/>
    <cellStyle name="Normal 8 3" xfId="495" xr:uid="{00000000-0005-0000-0000-00002F1D0000}"/>
    <cellStyle name="Normal 8 3 10" xfId="4860" xr:uid="{00000000-0005-0000-0000-0000301D0000}"/>
    <cellStyle name="Normal 8 3 10 2" xfId="13310" xr:uid="{8CF3425E-8629-4909-9E73-DD55AE10FA98}"/>
    <cellStyle name="Normal 8 3 11" xfId="9092" xr:uid="{B6D20851-1B95-4B9A-8007-58983AD4BAED}"/>
    <cellStyle name="Normal 8 3 2" xfId="496" xr:uid="{00000000-0005-0000-0000-0000311D0000}"/>
    <cellStyle name="Normal 8 3 2 10" xfId="9093" xr:uid="{09298921-739D-4B2C-A1A1-04D4B6C83B99}"/>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15871" xr:uid="{74793197-C2B6-4F4E-9003-5C509D4438EC}"/>
    <cellStyle name="Normal 8 3 2 2 2 2 2 3" xfId="11653" xr:uid="{E8150EAB-410E-4E4A-B949-F5B70A28ABC3}"/>
    <cellStyle name="Normal 8 3 2 2 2 2 3" xfId="5276" xr:uid="{00000000-0005-0000-0000-0000371D0000}"/>
    <cellStyle name="Normal 8 3 2 2 2 2 3 2" xfId="13726" xr:uid="{3549B5AE-5721-449A-92C6-3DED1C1D1DE2}"/>
    <cellStyle name="Normal 8 3 2 2 2 2 4" xfId="9508" xr:uid="{9D98181D-6B87-4FF3-8119-DEE693AB4ADE}"/>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16284" xr:uid="{48060B5C-5A2C-4F58-A4F2-462FBDD6FA3D}"/>
    <cellStyle name="Normal 8 3 2 2 2 3 2 3" xfId="12066" xr:uid="{F9DAB9EA-AB44-4CC8-A60D-902DCC057158}"/>
    <cellStyle name="Normal 8 3 2 2 2 3 3" xfId="5689" xr:uid="{00000000-0005-0000-0000-00003B1D0000}"/>
    <cellStyle name="Normal 8 3 2 2 2 3 3 2" xfId="14139" xr:uid="{82F8CF4A-B057-484C-9D5F-198491641E76}"/>
    <cellStyle name="Normal 8 3 2 2 2 3 4" xfId="9921" xr:uid="{62A0FD98-B90B-4574-863A-20C552BFE38A}"/>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16697" xr:uid="{D475E9FF-8C9D-4A6E-BCD7-1CBE2C455E64}"/>
    <cellStyle name="Normal 8 3 2 2 2 4 2 3" xfId="12479" xr:uid="{C7819190-766C-45FD-BF07-EE20B9EDAA1B}"/>
    <cellStyle name="Normal 8 3 2 2 2 4 3" xfId="6102" xr:uid="{00000000-0005-0000-0000-00003F1D0000}"/>
    <cellStyle name="Normal 8 3 2 2 2 4 3 2" xfId="14552" xr:uid="{D76394B3-049E-48D7-BB7E-52E9D0079AC5}"/>
    <cellStyle name="Normal 8 3 2 2 2 4 4" xfId="10334" xr:uid="{7521EF7F-F89F-4930-A3D9-7EBF18443577}"/>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17110" xr:uid="{A647C121-C18D-48A7-B808-064698735FE7}"/>
    <cellStyle name="Normal 8 3 2 2 2 5 2 3" xfId="12892" xr:uid="{B5A176E2-84E2-4173-AD1D-6FA2B5537598}"/>
    <cellStyle name="Normal 8 3 2 2 2 5 3" xfId="6515" xr:uid="{00000000-0005-0000-0000-0000431D0000}"/>
    <cellStyle name="Normal 8 3 2 2 2 5 3 2" xfId="14965" xr:uid="{48FC340A-57BC-4688-BE67-57B18B397596}"/>
    <cellStyle name="Normal 8 3 2 2 2 5 4" xfId="10747" xr:uid="{C0EEFA41-6A2D-4CFA-B4B4-95D2C29CCA2B}"/>
    <cellStyle name="Normal 8 3 2 2 2 6" xfId="2645" xr:uid="{00000000-0005-0000-0000-0000441D0000}"/>
    <cellStyle name="Normal 8 3 2 2 2 6 2" xfId="6928" xr:uid="{00000000-0005-0000-0000-0000451D0000}"/>
    <cellStyle name="Normal 8 3 2 2 2 6 2 2" xfId="15378" xr:uid="{F6C82792-6A36-4F2D-B84A-CED7F87D2615}"/>
    <cellStyle name="Normal 8 3 2 2 2 6 3" xfId="11160" xr:uid="{5E9B6186-C459-41AB-B3A1-95D7B07CF521}"/>
    <cellStyle name="Normal 8 3 2 2 2 7" xfId="4863" xr:uid="{00000000-0005-0000-0000-0000461D0000}"/>
    <cellStyle name="Normal 8 3 2 2 2 7 2" xfId="13313" xr:uid="{F161005D-9EE0-4E15-A61B-C4F30E7B35A2}"/>
    <cellStyle name="Normal 8 3 2 2 2 8" xfId="9095" xr:uid="{CA5A26D7-8DD1-4C55-96E3-1B870F2A5A6A}"/>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15870" xr:uid="{41ABFAA6-2958-4920-8429-9EF838B15F0B}"/>
    <cellStyle name="Normal 8 3 2 2 3 2 3" xfId="11652" xr:uid="{9E8B566F-5E1D-4419-B5AA-48646D79E172}"/>
    <cellStyle name="Normal 8 3 2 2 3 3" xfId="5275" xr:uid="{00000000-0005-0000-0000-00004A1D0000}"/>
    <cellStyle name="Normal 8 3 2 2 3 3 2" xfId="13725" xr:uid="{38B1FB8D-53FE-4C57-8B7A-3CBA6FAD057E}"/>
    <cellStyle name="Normal 8 3 2 2 3 4" xfId="9507" xr:uid="{F5FA3BBE-EAFC-401D-ABD9-1C91BA890164}"/>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16283" xr:uid="{7F38D270-2961-4A3F-8B65-0B70DD9E2A1A}"/>
    <cellStyle name="Normal 8 3 2 2 4 2 3" xfId="12065" xr:uid="{E77CFB91-628B-4664-9829-A5DB1E6BF61D}"/>
    <cellStyle name="Normal 8 3 2 2 4 3" xfId="5688" xr:uid="{00000000-0005-0000-0000-00004E1D0000}"/>
    <cellStyle name="Normal 8 3 2 2 4 3 2" xfId="14138" xr:uid="{CF73CD7E-FC9C-4C42-848B-6B47145F6BBB}"/>
    <cellStyle name="Normal 8 3 2 2 4 4" xfId="9920" xr:uid="{493072CD-88A8-415A-9E7F-BCA5206F5C5B}"/>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16696" xr:uid="{341A0DD9-7E79-4162-B1F5-F23D8674F44E}"/>
    <cellStyle name="Normal 8 3 2 2 5 2 3" xfId="12478" xr:uid="{03EB82B7-6271-432F-BBC9-667D2109E669}"/>
    <cellStyle name="Normal 8 3 2 2 5 3" xfId="6101" xr:uid="{00000000-0005-0000-0000-0000521D0000}"/>
    <cellStyle name="Normal 8 3 2 2 5 3 2" xfId="14551" xr:uid="{1BA66ACB-16C6-4A0D-9227-48BE078D0A5C}"/>
    <cellStyle name="Normal 8 3 2 2 5 4" xfId="10333" xr:uid="{AB423A81-786F-482B-BFCD-F150D22C9EB8}"/>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17109" xr:uid="{8DB587DB-A4BA-41D3-B831-BFA5965EBF8F}"/>
    <cellStyle name="Normal 8 3 2 2 6 2 3" xfId="12891" xr:uid="{05D701FD-2C68-4AFD-827C-A761B8AF1BDA}"/>
    <cellStyle name="Normal 8 3 2 2 6 3" xfId="6514" xr:uid="{00000000-0005-0000-0000-0000561D0000}"/>
    <cellStyle name="Normal 8 3 2 2 6 3 2" xfId="14964" xr:uid="{09D4F579-6715-447F-8F9C-2FA13C49A9A5}"/>
    <cellStyle name="Normal 8 3 2 2 6 4" xfId="10746" xr:uid="{78BD2A2A-E582-477B-BF2B-CAE87F70074E}"/>
    <cellStyle name="Normal 8 3 2 2 7" xfId="2644" xr:uid="{00000000-0005-0000-0000-0000571D0000}"/>
    <cellStyle name="Normal 8 3 2 2 7 2" xfId="6927" xr:uid="{00000000-0005-0000-0000-0000581D0000}"/>
    <cellStyle name="Normal 8 3 2 2 7 2 2" xfId="15377" xr:uid="{4866EF6D-C0B5-4386-9AEA-6BE8524632D7}"/>
    <cellStyle name="Normal 8 3 2 2 7 3" xfId="11159" xr:uid="{EFB9AB08-0F3C-47B1-8A54-49EB329D2F80}"/>
    <cellStyle name="Normal 8 3 2 2 8" xfId="4862" xr:uid="{00000000-0005-0000-0000-0000591D0000}"/>
    <cellStyle name="Normal 8 3 2 2 8 2" xfId="13312" xr:uid="{B2DA3C3B-4C17-4105-AF42-4C917C18174A}"/>
    <cellStyle name="Normal 8 3 2 2 9" xfId="9094" xr:uid="{8B8B7C75-E8C6-4F51-BAD8-D4219846007E}"/>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15872" xr:uid="{F3559B45-2EE5-4C28-9415-603F7BD854EF}"/>
    <cellStyle name="Normal 8 3 2 3 2 2 3" xfId="11654" xr:uid="{02BCD051-31DD-43AF-9B46-CF3DF5392205}"/>
    <cellStyle name="Normal 8 3 2 3 2 3" xfId="5277" xr:uid="{00000000-0005-0000-0000-00005E1D0000}"/>
    <cellStyle name="Normal 8 3 2 3 2 3 2" xfId="13727" xr:uid="{C9E80E0A-DD10-458C-AC80-CB010A5910BB}"/>
    <cellStyle name="Normal 8 3 2 3 2 4" xfId="9509" xr:uid="{5DAD8DD3-9B76-4E69-9EBA-C00E8FBD508E}"/>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16285" xr:uid="{C9425F8E-EA35-4380-BE8A-DB996B764AD4}"/>
    <cellStyle name="Normal 8 3 2 3 3 2 3" xfId="12067" xr:uid="{A4B1BAA1-4A44-4D73-99FD-5159D85794F8}"/>
    <cellStyle name="Normal 8 3 2 3 3 3" xfId="5690" xr:uid="{00000000-0005-0000-0000-0000621D0000}"/>
    <cellStyle name="Normal 8 3 2 3 3 3 2" xfId="14140" xr:uid="{0897F778-F4DA-405C-8CE5-E3534B5963F9}"/>
    <cellStyle name="Normal 8 3 2 3 3 4" xfId="9922" xr:uid="{E4A2FC4B-75AE-4451-A55E-927CC65C86AC}"/>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16698" xr:uid="{36AAE62E-4F74-45D3-8149-2A6B2253B09D}"/>
    <cellStyle name="Normal 8 3 2 3 4 2 3" xfId="12480" xr:uid="{07D0BE0B-5683-4C37-B9E7-6F1A072D1F9E}"/>
    <cellStyle name="Normal 8 3 2 3 4 3" xfId="6103" xr:uid="{00000000-0005-0000-0000-0000661D0000}"/>
    <cellStyle name="Normal 8 3 2 3 4 3 2" xfId="14553" xr:uid="{CCFD816D-ABC2-4C8B-8BDF-129B51B22EC8}"/>
    <cellStyle name="Normal 8 3 2 3 4 4" xfId="10335" xr:uid="{9538E904-CF2B-4749-BDAC-89C034590C1D}"/>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17111" xr:uid="{CFD95DB7-B55A-4D9D-A503-D3707D21D5A8}"/>
    <cellStyle name="Normal 8 3 2 3 5 2 3" xfId="12893" xr:uid="{E9CE9833-FE52-4A9E-8D15-7B362B0B250F}"/>
    <cellStyle name="Normal 8 3 2 3 5 3" xfId="6516" xr:uid="{00000000-0005-0000-0000-00006A1D0000}"/>
    <cellStyle name="Normal 8 3 2 3 5 3 2" xfId="14966" xr:uid="{F6F3BD40-321C-4C1A-A4CE-A46904430F8F}"/>
    <cellStyle name="Normal 8 3 2 3 5 4" xfId="10748" xr:uid="{3643502C-E6CD-4BE1-9BEB-6758A4D3B664}"/>
    <cellStyle name="Normal 8 3 2 3 6" xfId="2646" xr:uid="{00000000-0005-0000-0000-00006B1D0000}"/>
    <cellStyle name="Normal 8 3 2 3 6 2" xfId="6929" xr:uid="{00000000-0005-0000-0000-00006C1D0000}"/>
    <cellStyle name="Normal 8 3 2 3 6 2 2" xfId="15379" xr:uid="{251B542A-413F-4872-B3A6-3CFF70A5DB47}"/>
    <cellStyle name="Normal 8 3 2 3 6 3" xfId="11161" xr:uid="{6D655FD7-9B0E-45A5-A811-E5B15A57803E}"/>
    <cellStyle name="Normal 8 3 2 3 7" xfId="4864" xr:uid="{00000000-0005-0000-0000-00006D1D0000}"/>
    <cellStyle name="Normal 8 3 2 3 7 2" xfId="13314" xr:uid="{BB59B9BA-B048-4BBC-B820-4731DCEC8612}"/>
    <cellStyle name="Normal 8 3 2 3 8" xfId="9096" xr:uid="{E44917DA-6EBB-4456-9A0A-577ECF77148E}"/>
    <cellStyle name="Normal 8 3 2 4" xfId="963" xr:uid="{00000000-0005-0000-0000-00006E1D0000}"/>
    <cellStyle name="Normal 8 3 2 4 2" xfId="3197" xr:uid="{00000000-0005-0000-0000-00006F1D0000}"/>
    <cellStyle name="Normal 8 3 2 4 2 2" xfId="7419" xr:uid="{00000000-0005-0000-0000-0000701D0000}"/>
    <cellStyle name="Normal 8 3 2 4 2 2 2" xfId="15869" xr:uid="{AA1BCE58-1D30-4549-9FC9-4639AA72AB80}"/>
    <cellStyle name="Normal 8 3 2 4 2 3" xfId="11651" xr:uid="{09AB6A14-505A-4682-BDFA-76369354FC21}"/>
    <cellStyle name="Normal 8 3 2 4 3" xfId="5274" xr:uid="{00000000-0005-0000-0000-0000711D0000}"/>
    <cellStyle name="Normal 8 3 2 4 3 2" xfId="13724" xr:uid="{060A874B-4CEC-44CA-A5F9-0782DEC85055}"/>
    <cellStyle name="Normal 8 3 2 4 4" xfId="9506" xr:uid="{E0C920FA-1A01-4599-A540-147702EC2B4E}"/>
    <cellStyle name="Normal 8 3 2 5" xfId="1380" xr:uid="{00000000-0005-0000-0000-0000721D0000}"/>
    <cellStyle name="Normal 8 3 2 5 2" xfId="3610" xr:uid="{00000000-0005-0000-0000-0000731D0000}"/>
    <cellStyle name="Normal 8 3 2 5 2 2" xfId="7832" xr:uid="{00000000-0005-0000-0000-0000741D0000}"/>
    <cellStyle name="Normal 8 3 2 5 2 2 2" xfId="16282" xr:uid="{54828D4B-2788-477F-B125-41E20691B921}"/>
    <cellStyle name="Normal 8 3 2 5 2 3" xfId="12064" xr:uid="{B91B06B0-9F7B-4A0B-A869-F5A50748FF26}"/>
    <cellStyle name="Normal 8 3 2 5 3" xfId="5687" xr:uid="{00000000-0005-0000-0000-0000751D0000}"/>
    <cellStyle name="Normal 8 3 2 5 3 2" xfId="14137" xr:uid="{2597473F-FB2A-4C21-BBEB-FB6F1ECED7BC}"/>
    <cellStyle name="Normal 8 3 2 5 4" xfId="9919" xr:uid="{C92912CD-3FB4-4A5F-9100-D9E8A107F308}"/>
    <cellStyle name="Normal 8 3 2 6" xfId="1793" xr:uid="{00000000-0005-0000-0000-0000761D0000}"/>
    <cellStyle name="Normal 8 3 2 6 2" xfId="4023" xr:uid="{00000000-0005-0000-0000-0000771D0000}"/>
    <cellStyle name="Normal 8 3 2 6 2 2" xfId="8245" xr:uid="{00000000-0005-0000-0000-0000781D0000}"/>
    <cellStyle name="Normal 8 3 2 6 2 2 2" xfId="16695" xr:uid="{D91BC0E9-A9CA-4029-B545-A0E9B03046E1}"/>
    <cellStyle name="Normal 8 3 2 6 2 3" xfId="12477" xr:uid="{6E582F88-3B78-422F-8F8B-E32C86521E1C}"/>
    <cellStyle name="Normal 8 3 2 6 3" xfId="6100" xr:uid="{00000000-0005-0000-0000-0000791D0000}"/>
    <cellStyle name="Normal 8 3 2 6 3 2" xfId="14550" xr:uid="{8BA3D712-C1CB-495A-8F3E-C8028A59D623}"/>
    <cellStyle name="Normal 8 3 2 6 4" xfId="10332" xr:uid="{1EB4EB8F-FC7A-41F6-AB5C-CD472CE0A881}"/>
    <cellStyle name="Normal 8 3 2 7" xfId="2207" xr:uid="{00000000-0005-0000-0000-00007A1D0000}"/>
    <cellStyle name="Normal 8 3 2 7 2" xfId="4436" xr:uid="{00000000-0005-0000-0000-00007B1D0000}"/>
    <cellStyle name="Normal 8 3 2 7 2 2" xfId="8658" xr:uid="{00000000-0005-0000-0000-00007C1D0000}"/>
    <cellStyle name="Normal 8 3 2 7 2 2 2" xfId="17108" xr:uid="{5ADB7CB3-47AE-415E-B45D-1F01492C9DBC}"/>
    <cellStyle name="Normal 8 3 2 7 2 3" xfId="12890" xr:uid="{C8197D52-4153-4C7B-A2E7-FD3E984F739B}"/>
    <cellStyle name="Normal 8 3 2 7 3" xfId="6513" xr:uid="{00000000-0005-0000-0000-00007D1D0000}"/>
    <cellStyle name="Normal 8 3 2 7 3 2" xfId="14963" xr:uid="{0398FE33-9EB7-4C86-9610-AF4555EDA2A8}"/>
    <cellStyle name="Normal 8 3 2 7 4" xfId="10745" xr:uid="{86FEAC3A-0F5C-4C80-8D06-0BB9585D82A4}"/>
    <cellStyle name="Normal 8 3 2 8" xfId="2643" xr:uid="{00000000-0005-0000-0000-00007E1D0000}"/>
    <cellStyle name="Normal 8 3 2 8 2" xfId="6926" xr:uid="{00000000-0005-0000-0000-00007F1D0000}"/>
    <cellStyle name="Normal 8 3 2 8 2 2" xfId="15376" xr:uid="{95971907-C832-42E1-A548-F159590775A1}"/>
    <cellStyle name="Normal 8 3 2 8 3" xfId="11158" xr:uid="{33E576E9-06E7-4A5A-A6D4-7611F028E185}"/>
    <cellStyle name="Normal 8 3 2 9" xfId="4861" xr:uid="{00000000-0005-0000-0000-0000801D0000}"/>
    <cellStyle name="Normal 8 3 2 9 2" xfId="13311" xr:uid="{28EBA5CB-08E9-4044-89EC-CB27456B6BCD}"/>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15874" xr:uid="{1EA2CAAA-0700-49A0-B76F-51A36AD1B454}"/>
    <cellStyle name="Normal 8 3 3 2 2 2 3" xfId="11656" xr:uid="{AC9F43DC-C4F9-4821-AF3B-8BF29381EDF2}"/>
    <cellStyle name="Normal 8 3 3 2 2 3" xfId="5279" xr:uid="{00000000-0005-0000-0000-0000861D0000}"/>
    <cellStyle name="Normal 8 3 3 2 2 3 2" xfId="13729" xr:uid="{488ADD14-F94B-49FB-9110-95C3FEC8369D}"/>
    <cellStyle name="Normal 8 3 3 2 2 4" xfId="9511" xr:uid="{F2A628BE-5793-4243-BED3-5C6C4747B7B6}"/>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16287" xr:uid="{BAF2A296-4276-458A-BFFC-B933560B3D55}"/>
    <cellStyle name="Normal 8 3 3 2 3 2 3" xfId="12069" xr:uid="{4E90B823-F148-4F2F-A6E3-E49396D2D483}"/>
    <cellStyle name="Normal 8 3 3 2 3 3" xfId="5692" xr:uid="{00000000-0005-0000-0000-00008A1D0000}"/>
    <cellStyle name="Normal 8 3 3 2 3 3 2" xfId="14142" xr:uid="{4551700A-B7F3-4AEA-901C-519E7980A0FA}"/>
    <cellStyle name="Normal 8 3 3 2 3 4" xfId="9924" xr:uid="{D8F7A288-8AC7-43B1-B373-1A299883E9B6}"/>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16700" xr:uid="{0172DC7C-32DF-48F1-A6D2-69319A730F11}"/>
    <cellStyle name="Normal 8 3 3 2 4 2 3" xfId="12482" xr:uid="{FFAB7931-94FC-4236-89A1-60F3D5D74A3B}"/>
    <cellStyle name="Normal 8 3 3 2 4 3" xfId="6105" xr:uid="{00000000-0005-0000-0000-00008E1D0000}"/>
    <cellStyle name="Normal 8 3 3 2 4 3 2" xfId="14555" xr:uid="{391FA6A3-29DA-4B72-B54A-13298ADE8BF8}"/>
    <cellStyle name="Normal 8 3 3 2 4 4" xfId="10337" xr:uid="{9652D876-3695-4D74-A715-6313E0FB22FB}"/>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17113" xr:uid="{5C529A91-6B9B-4452-8F6B-B2CF292AEBA9}"/>
    <cellStyle name="Normal 8 3 3 2 5 2 3" xfId="12895" xr:uid="{92DE2FEA-FFF2-4533-9F00-3EA38C5D5CF5}"/>
    <cellStyle name="Normal 8 3 3 2 5 3" xfId="6518" xr:uid="{00000000-0005-0000-0000-0000921D0000}"/>
    <cellStyle name="Normal 8 3 3 2 5 3 2" xfId="14968" xr:uid="{00C4BE1E-F0CD-45B7-B4C8-ED1509D5AD07}"/>
    <cellStyle name="Normal 8 3 3 2 5 4" xfId="10750" xr:uid="{E033040C-36DB-4C76-B64B-916E49FA60E8}"/>
    <cellStyle name="Normal 8 3 3 2 6" xfId="2648" xr:uid="{00000000-0005-0000-0000-0000931D0000}"/>
    <cellStyle name="Normal 8 3 3 2 6 2" xfId="6931" xr:uid="{00000000-0005-0000-0000-0000941D0000}"/>
    <cellStyle name="Normal 8 3 3 2 6 2 2" xfId="15381" xr:uid="{B7CEA19C-7656-4D94-9576-AC24FF8DD373}"/>
    <cellStyle name="Normal 8 3 3 2 6 3" xfId="11163" xr:uid="{D608AE11-6343-4ED1-850B-6127E01DF4D9}"/>
    <cellStyle name="Normal 8 3 3 2 7" xfId="4866" xr:uid="{00000000-0005-0000-0000-0000951D0000}"/>
    <cellStyle name="Normal 8 3 3 2 7 2" xfId="13316" xr:uid="{44E9F79E-28DC-4D65-B844-0152C89A1EBB}"/>
    <cellStyle name="Normal 8 3 3 2 8" xfId="9098" xr:uid="{94394396-9A87-4CDE-A75F-2115BC14F857}"/>
    <cellStyle name="Normal 8 3 3 3" xfId="967" xr:uid="{00000000-0005-0000-0000-0000961D0000}"/>
    <cellStyle name="Normal 8 3 3 3 2" xfId="3201" xr:uid="{00000000-0005-0000-0000-0000971D0000}"/>
    <cellStyle name="Normal 8 3 3 3 2 2" xfId="7423" xr:uid="{00000000-0005-0000-0000-0000981D0000}"/>
    <cellStyle name="Normal 8 3 3 3 2 2 2" xfId="15873" xr:uid="{84E2253B-F289-42CB-93F4-0AB707BD6C7A}"/>
    <cellStyle name="Normal 8 3 3 3 2 3" xfId="11655" xr:uid="{229D6F84-2E7A-49D9-8A48-F9E598A85ABB}"/>
    <cellStyle name="Normal 8 3 3 3 3" xfId="5278" xr:uid="{00000000-0005-0000-0000-0000991D0000}"/>
    <cellStyle name="Normal 8 3 3 3 3 2" xfId="13728" xr:uid="{BDFF5BE9-B0C1-44A1-A3CC-AE1DBDAEDF68}"/>
    <cellStyle name="Normal 8 3 3 3 4" xfId="9510" xr:uid="{50357A70-0F72-4040-9030-783D5AE5A391}"/>
    <cellStyle name="Normal 8 3 3 4" xfId="1384" xr:uid="{00000000-0005-0000-0000-00009A1D0000}"/>
    <cellStyle name="Normal 8 3 3 4 2" xfId="3614" xr:uid="{00000000-0005-0000-0000-00009B1D0000}"/>
    <cellStyle name="Normal 8 3 3 4 2 2" xfId="7836" xr:uid="{00000000-0005-0000-0000-00009C1D0000}"/>
    <cellStyle name="Normal 8 3 3 4 2 2 2" xfId="16286" xr:uid="{8E857F4C-69F9-4833-93E0-DE1548133F3D}"/>
    <cellStyle name="Normal 8 3 3 4 2 3" xfId="12068" xr:uid="{E45413F8-DCB5-473C-A6BC-9C2BFAD09796}"/>
    <cellStyle name="Normal 8 3 3 4 3" xfId="5691" xr:uid="{00000000-0005-0000-0000-00009D1D0000}"/>
    <cellStyle name="Normal 8 3 3 4 3 2" xfId="14141" xr:uid="{DB965156-B4E3-41C4-B04B-EB5A421D151F}"/>
    <cellStyle name="Normal 8 3 3 4 4" xfId="9923" xr:uid="{0084E9FF-DA08-47B8-8D38-ECB57EA3B724}"/>
    <cellStyle name="Normal 8 3 3 5" xfId="1797" xr:uid="{00000000-0005-0000-0000-00009E1D0000}"/>
    <cellStyle name="Normal 8 3 3 5 2" xfId="4027" xr:uid="{00000000-0005-0000-0000-00009F1D0000}"/>
    <cellStyle name="Normal 8 3 3 5 2 2" xfId="8249" xr:uid="{00000000-0005-0000-0000-0000A01D0000}"/>
    <cellStyle name="Normal 8 3 3 5 2 2 2" xfId="16699" xr:uid="{8017CED0-2EF2-4227-B131-82119A684DF7}"/>
    <cellStyle name="Normal 8 3 3 5 2 3" xfId="12481" xr:uid="{CBC4DE5F-BBF0-4AA4-8414-926EB5BE31FD}"/>
    <cellStyle name="Normal 8 3 3 5 3" xfId="6104" xr:uid="{00000000-0005-0000-0000-0000A11D0000}"/>
    <cellStyle name="Normal 8 3 3 5 3 2" xfId="14554" xr:uid="{F20C1117-65C1-4E7E-B4A3-076650117BA4}"/>
    <cellStyle name="Normal 8 3 3 5 4" xfId="10336" xr:uid="{AB8320B4-5204-401B-A37F-02178D40E239}"/>
    <cellStyle name="Normal 8 3 3 6" xfId="2211" xr:uid="{00000000-0005-0000-0000-0000A21D0000}"/>
    <cellStyle name="Normal 8 3 3 6 2" xfId="4440" xr:uid="{00000000-0005-0000-0000-0000A31D0000}"/>
    <cellStyle name="Normal 8 3 3 6 2 2" xfId="8662" xr:uid="{00000000-0005-0000-0000-0000A41D0000}"/>
    <cellStyle name="Normal 8 3 3 6 2 2 2" xfId="17112" xr:uid="{8ACA8E7B-E41E-4719-90D3-4588116AD198}"/>
    <cellStyle name="Normal 8 3 3 6 2 3" xfId="12894" xr:uid="{046A8474-803D-45D5-9A76-3FF6836DA154}"/>
    <cellStyle name="Normal 8 3 3 6 3" xfId="6517" xr:uid="{00000000-0005-0000-0000-0000A51D0000}"/>
    <cellStyle name="Normal 8 3 3 6 3 2" xfId="14967" xr:uid="{1539F336-CB64-4B7F-B5B8-45881CF68D08}"/>
    <cellStyle name="Normal 8 3 3 6 4" xfId="10749" xr:uid="{6FD3A648-8435-47A6-8BA2-EC33E28CF8F5}"/>
    <cellStyle name="Normal 8 3 3 7" xfId="2647" xr:uid="{00000000-0005-0000-0000-0000A61D0000}"/>
    <cellStyle name="Normal 8 3 3 7 2" xfId="6930" xr:uid="{00000000-0005-0000-0000-0000A71D0000}"/>
    <cellStyle name="Normal 8 3 3 7 2 2" xfId="15380" xr:uid="{22B28D58-5763-4702-93E8-0CF4938507E0}"/>
    <cellStyle name="Normal 8 3 3 7 3" xfId="11162" xr:uid="{A5218EBF-D475-46CA-BB81-160B3F86980C}"/>
    <cellStyle name="Normal 8 3 3 8" xfId="4865" xr:uid="{00000000-0005-0000-0000-0000A81D0000}"/>
    <cellStyle name="Normal 8 3 3 8 2" xfId="13315" xr:uid="{85FB3DCA-5C9A-4BB3-8597-9AC6FEBA51E4}"/>
    <cellStyle name="Normal 8 3 3 9" xfId="9097" xr:uid="{DCF8E404-E562-428D-9835-B5CDC8A6C99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2 2 2" xfId="15875" xr:uid="{4D5D4252-24C9-4AE0-A845-5B20E74314AC}"/>
    <cellStyle name="Normal 8 3 4 2 2 3" xfId="11657" xr:uid="{FA80B38F-0F4A-40AE-8D6B-EBD10EF4E3E2}"/>
    <cellStyle name="Normal 8 3 4 2 3" xfId="5280" xr:uid="{00000000-0005-0000-0000-0000AD1D0000}"/>
    <cellStyle name="Normal 8 3 4 2 3 2" xfId="13730" xr:uid="{8D103CEC-BEC2-4B7D-ACC2-F39C27ADA1DD}"/>
    <cellStyle name="Normal 8 3 4 2 4" xfId="9512" xr:uid="{5798F643-C897-49A3-BCBA-F39F18DA9A33}"/>
    <cellStyle name="Normal 8 3 4 3" xfId="1386" xr:uid="{00000000-0005-0000-0000-0000AE1D0000}"/>
    <cellStyle name="Normal 8 3 4 3 2" xfId="3616" xr:uid="{00000000-0005-0000-0000-0000AF1D0000}"/>
    <cellStyle name="Normal 8 3 4 3 2 2" xfId="7838" xr:uid="{00000000-0005-0000-0000-0000B01D0000}"/>
    <cellStyle name="Normal 8 3 4 3 2 2 2" xfId="16288" xr:uid="{56749CFC-7707-4380-904A-C19CFF9313E2}"/>
    <cellStyle name="Normal 8 3 4 3 2 3" xfId="12070" xr:uid="{47A01FE4-6586-424D-801F-854E53D58DD8}"/>
    <cellStyle name="Normal 8 3 4 3 3" xfId="5693" xr:uid="{00000000-0005-0000-0000-0000B11D0000}"/>
    <cellStyle name="Normal 8 3 4 3 3 2" xfId="14143" xr:uid="{3EB2B6F4-8052-452E-9032-324DFBCC4850}"/>
    <cellStyle name="Normal 8 3 4 3 4" xfId="9925" xr:uid="{FFDA36DB-007B-4066-BD05-701505E1F857}"/>
    <cellStyle name="Normal 8 3 4 4" xfId="1799" xr:uid="{00000000-0005-0000-0000-0000B21D0000}"/>
    <cellStyle name="Normal 8 3 4 4 2" xfId="4029" xr:uid="{00000000-0005-0000-0000-0000B31D0000}"/>
    <cellStyle name="Normal 8 3 4 4 2 2" xfId="8251" xr:uid="{00000000-0005-0000-0000-0000B41D0000}"/>
    <cellStyle name="Normal 8 3 4 4 2 2 2" xfId="16701" xr:uid="{76C86950-22ED-4440-8C0B-7A286381F5B1}"/>
    <cellStyle name="Normal 8 3 4 4 2 3" xfId="12483" xr:uid="{6AC6B45C-1F0F-49E7-B7F3-3BB4CF999FC1}"/>
    <cellStyle name="Normal 8 3 4 4 3" xfId="6106" xr:uid="{00000000-0005-0000-0000-0000B51D0000}"/>
    <cellStyle name="Normal 8 3 4 4 3 2" xfId="14556" xr:uid="{8B6B62FB-21DF-45BF-992D-619B5F936365}"/>
    <cellStyle name="Normal 8 3 4 4 4" xfId="10338" xr:uid="{D4D2A38A-9691-40E4-92CF-DD6AC0C95CC6}"/>
    <cellStyle name="Normal 8 3 4 5" xfId="2213" xr:uid="{00000000-0005-0000-0000-0000B61D0000}"/>
    <cellStyle name="Normal 8 3 4 5 2" xfId="4442" xr:uid="{00000000-0005-0000-0000-0000B71D0000}"/>
    <cellStyle name="Normal 8 3 4 5 2 2" xfId="8664" xr:uid="{00000000-0005-0000-0000-0000B81D0000}"/>
    <cellStyle name="Normal 8 3 4 5 2 2 2" xfId="17114" xr:uid="{C2F7B8FB-41AF-442D-B900-18B011F241EA}"/>
    <cellStyle name="Normal 8 3 4 5 2 3" xfId="12896" xr:uid="{F76CC959-2AD8-447D-8D40-DB1692652335}"/>
    <cellStyle name="Normal 8 3 4 5 3" xfId="6519" xr:uid="{00000000-0005-0000-0000-0000B91D0000}"/>
    <cellStyle name="Normal 8 3 4 5 3 2" xfId="14969" xr:uid="{1A405CF0-E32C-44C5-BB45-69EAC1F28848}"/>
    <cellStyle name="Normal 8 3 4 5 4" xfId="10751" xr:uid="{E2CE256C-6ED5-42D5-8C58-3747421E857A}"/>
    <cellStyle name="Normal 8 3 4 6" xfId="2649" xr:uid="{00000000-0005-0000-0000-0000BA1D0000}"/>
    <cellStyle name="Normal 8 3 4 6 2" xfId="6932" xr:uid="{00000000-0005-0000-0000-0000BB1D0000}"/>
    <cellStyle name="Normal 8 3 4 6 2 2" xfId="15382" xr:uid="{5209836B-4FB5-48D5-9474-5E9868D66F33}"/>
    <cellStyle name="Normal 8 3 4 6 3" xfId="11164" xr:uid="{9AF19704-DC78-43AE-BD44-0921B05FC088}"/>
    <cellStyle name="Normal 8 3 4 7" xfId="4867" xr:uid="{00000000-0005-0000-0000-0000BC1D0000}"/>
    <cellStyle name="Normal 8 3 4 7 2" xfId="13317" xr:uid="{DE0B4128-544E-4093-9F85-8E55620FFEF4}"/>
    <cellStyle name="Normal 8 3 4 8" xfId="9099" xr:uid="{69D0CB6D-5008-44A0-9400-E896A8BB870B}"/>
    <cellStyle name="Normal 8 3 5" xfId="962" xr:uid="{00000000-0005-0000-0000-0000BD1D0000}"/>
    <cellStyle name="Normal 8 3 5 2" xfId="3196" xr:uid="{00000000-0005-0000-0000-0000BE1D0000}"/>
    <cellStyle name="Normal 8 3 5 2 2" xfId="7418" xr:uid="{00000000-0005-0000-0000-0000BF1D0000}"/>
    <cellStyle name="Normal 8 3 5 2 2 2" xfId="15868" xr:uid="{CF3F162C-76B3-47B9-B3C1-35E67E16DA2D}"/>
    <cellStyle name="Normal 8 3 5 2 3" xfId="11650" xr:uid="{27A697DD-0F96-4818-A24F-331D2472416C}"/>
    <cellStyle name="Normal 8 3 5 3" xfId="5273" xr:uid="{00000000-0005-0000-0000-0000C01D0000}"/>
    <cellStyle name="Normal 8 3 5 3 2" xfId="13723" xr:uid="{F8E5A0A9-D094-494D-A040-23A004DE670A}"/>
    <cellStyle name="Normal 8 3 5 4" xfId="9505" xr:uid="{E13F6AF3-3E59-4AAF-816B-AA872F040573}"/>
    <cellStyle name="Normal 8 3 6" xfId="1379" xr:uid="{00000000-0005-0000-0000-0000C11D0000}"/>
    <cellStyle name="Normal 8 3 6 2" xfId="3609" xr:uid="{00000000-0005-0000-0000-0000C21D0000}"/>
    <cellStyle name="Normal 8 3 6 2 2" xfId="7831" xr:uid="{00000000-0005-0000-0000-0000C31D0000}"/>
    <cellStyle name="Normal 8 3 6 2 2 2" xfId="16281" xr:uid="{2210F821-26AD-4A43-AB28-9ED750F518AA}"/>
    <cellStyle name="Normal 8 3 6 2 3" xfId="12063" xr:uid="{9D8A9B62-76FD-4D9F-9BFE-BAD83EBA7E57}"/>
    <cellStyle name="Normal 8 3 6 3" xfId="5686" xr:uid="{00000000-0005-0000-0000-0000C41D0000}"/>
    <cellStyle name="Normal 8 3 6 3 2" xfId="14136" xr:uid="{103B8942-3BFB-474D-ABFC-F8351EF8B4A5}"/>
    <cellStyle name="Normal 8 3 6 4" xfId="9918" xr:uid="{61581916-6DB8-4211-9D35-E3720FB2AB3F}"/>
    <cellStyle name="Normal 8 3 7" xfId="1792" xr:uid="{00000000-0005-0000-0000-0000C51D0000}"/>
    <cellStyle name="Normal 8 3 7 2" xfId="4022" xr:uid="{00000000-0005-0000-0000-0000C61D0000}"/>
    <cellStyle name="Normal 8 3 7 2 2" xfId="8244" xr:uid="{00000000-0005-0000-0000-0000C71D0000}"/>
    <cellStyle name="Normal 8 3 7 2 2 2" xfId="16694" xr:uid="{923B6DB3-167B-42D1-851F-97F26C1C387D}"/>
    <cellStyle name="Normal 8 3 7 2 3" xfId="12476" xr:uid="{001A5BE7-44CE-4BE1-BD90-C4ED5F572E55}"/>
    <cellStyle name="Normal 8 3 7 3" xfId="6099" xr:uid="{00000000-0005-0000-0000-0000C81D0000}"/>
    <cellStyle name="Normal 8 3 7 3 2" xfId="14549" xr:uid="{8EC230E1-4387-4746-9ABD-0504AD1D04B0}"/>
    <cellStyle name="Normal 8 3 7 4" xfId="10331" xr:uid="{96656DEC-A9B7-41F2-B67B-4DED4CDE68CB}"/>
    <cellStyle name="Normal 8 3 8" xfId="2206" xr:uid="{00000000-0005-0000-0000-0000C91D0000}"/>
    <cellStyle name="Normal 8 3 8 2" xfId="4435" xr:uid="{00000000-0005-0000-0000-0000CA1D0000}"/>
    <cellStyle name="Normal 8 3 8 2 2" xfId="8657" xr:uid="{00000000-0005-0000-0000-0000CB1D0000}"/>
    <cellStyle name="Normal 8 3 8 2 2 2" xfId="17107" xr:uid="{579A5716-6B22-41B4-8602-BA2D8F952872}"/>
    <cellStyle name="Normal 8 3 8 2 3" xfId="12889" xr:uid="{306DA542-F637-457C-B9D4-C388E0E3E773}"/>
    <cellStyle name="Normal 8 3 8 3" xfId="6512" xr:uid="{00000000-0005-0000-0000-0000CC1D0000}"/>
    <cellStyle name="Normal 8 3 8 3 2" xfId="14962" xr:uid="{E97E1269-195A-4CE2-95E7-4E41DEB17668}"/>
    <cellStyle name="Normal 8 3 8 4" xfId="10744" xr:uid="{7827028C-BF31-45F8-BAA9-F6B39E283330}"/>
    <cellStyle name="Normal 8 3 9" xfId="2642" xr:uid="{00000000-0005-0000-0000-0000CD1D0000}"/>
    <cellStyle name="Normal 8 3 9 2" xfId="6925" xr:uid="{00000000-0005-0000-0000-0000CE1D0000}"/>
    <cellStyle name="Normal 8 3 9 2 2" xfId="15375" xr:uid="{A0B30F7A-7956-4DAB-98FB-58739F131BBE}"/>
    <cellStyle name="Normal 8 3 9 3" xfId="11157" xr:uid="{07F3364B-1011-46F2-87D4-ACAD630A53B0}"/>
    <cellStyle name="Normal 8 4" xfId="503" xr:uid="{00000000-0005-0000-0000-0000CF1D0000}"/>
    <cellStyle name="Normal 8 4 10" xfId="9100" xr:uid="{D18EB27F-F01C-4778-B5F1-F524CCA61C91}"/>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15878" xr:uid="{3DA931C0-F6CB-4370-ACCA-64852F9AC571}"/>
    <cellStyle name="Normal 8 4 2 2 2 2 3" xfId="11660" xr:uid="{43D754B4-3891-4BDF-9F6B-8E7417B32E24}"/>
    <cellStyle name="Normal 8 4 2 2 2 3" xfId="5283" xr:uid="{00000000-0005-0000-0000-0000D51D0000}"/>
    <cellStyle name="Normal 8 4 2 2 2 3 2" xfId="13733" xr:uid="{F9913F2C-0A0F-45D5-A3B4-7D3BCAB24B2E}"/>
    <cellStyle name="Normal 8 4 2 2 2 4" xfId="9515" xr:uid="{176B91C2-8F35-4151-AF70-AC3A1E7C972C}"/>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16291" xr:uid="{717DEEE8-0B3A-461B-9964-552BCDAF4C2B}"/>
    <cellStyle name="Normal 8 4 2 2 3 2 3" xfId="12073" xr:uid="{B3CFCB8D-08C3-406F-81BA-ABDE8D57D211}"/>
    <cellStyle name="Normal 8 4 2 2 3 3" xfId="5696" xr:uid="{00000000-0005-0000-0000-0000D91D0000}"/>
    <cellStyle name="Normal 8 4 2 2 3 3 2" xfId="14146" xr:uid="{4D502DD7-1A8F-4157-AC18-3A21F16E9676}"/>
    <cellStyle name="Normal 8 4 2 2 3 4" xfId="9928" xr:uid="{18F2E154-9F28-4C9D-8B50-2D5B86A88EB1}"/>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16704" xr:uid="{426115CE-8A63-46BE-98EE-7641F4EBD214}"/>
    <cellStyle name="Normal 8 4 2 2 4 2 3" xfId="12486" xr:uid="{2F2844DF-ACD4-4F6B-8ABA-FD066CE45784}"/>
    <cellStyle name="Normal 8 4 2 2 4 3" xfId="6109" xr:uid="{00000000-0005-0000-0000-0000DD1D0000}"/>
    <cellStyle name="Normal 8 4 2 2 4 3 2" xfId="14559" xr:uid="{5BF614E4-FFCD-438B-AE6C-45AA11F3F0CD}"/>
    <cellStyle name="Normal 8 4 2 2 4 4" xfId="10341" xr:uid="{93501D51-8946-43B1-89B6-A66D5C763E64}"/>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17117" xr:uid="{12BA119A-9B3E-44C4-B576-84F2116F4182}"/>
    <cellStyle name="Normal 8 4 2 2 5 2 3" xfId="12899" xr:uid="{543A1D3F-049F-41E4-92AE-6FC8C18C76A5}"/>
    <cellStyle name="Normal 8 4 2 2 5 3" xfId="6522" xr:uid="{00000000-0005-0000-0000-0000E11D0000}"/>
    <cellStyle name="Normal 8 4 2 2 5 3 2" xfId="14972" xr:uid="{6597C27B-324D-4B61-A718-408EECD3DE39}"/>
    <cellStyle name="Normal 8 4 2 2 5 4" xfId="10754" xr:uid="{5273BB6A-1D48-4F33-85FB-BE47BC1C2A2D}"/>
    <cellStyle name="Normal 8 4 2 2 6" xfId="2652" xr:uid="{00000000-0005-0000-0000-0000E21D0000}"/>
    <cellStyle name="Normal 8 4 2 2 6 2" xfId="6935" xr:uid="{00000000-0005-0000-0000-0000E31D0000}"/>
    <cellStyle name="Normal 8 4 2 2 6 2 2" xfId="15385" xr:uid="{662A873E-9C50-4DEC-A024-6B77FA95C198}"/>
    <cellStyle name="Normal 8 4 2 2 6 3" xfId="11167" xr:uid="{C0B77E57-0B4F-44E5-ACE8-CE4157D0F79C}"/>
    <cellStyle name="Normal 8 4 2 2 7" xfId="4870" xr:uid="{00000000-0005-0000-0000-0000E41D0000}"/>
    <cellStyle name="Normal 8 4 2 2 7 2" xfId="13320" xr:uid="{B433F1E8-11CD-4DC9-8EEB-161AB8E8B0F3}"/>
    <cellStyle name="Normal 8 4 2 2 8" xfId="9102" xr:uid="{66940BE4-8465-468D-8ADC-191A98886D98}"/>
    <cellStyle name="Normal 8 4 2 3" xfId="971" xr:uid="{00000000-0005-0000-0000-0000E51D0000}"/>
    <cellStyle name="Normal 8 4 2 3 2" xfId="3205" xr:uid="{00000000-0005-0000-0000-0000E61D0000}"/>
    <cellStyle name="Normal 8 4 2 3 2 2" xfId="7427" xr:uid="{00000000-0005-0000-0000-0000E71D0000}"/>
    <cellStyle name="Normal 8 4 2 3 2 2 2" xfId="15877" xr:uid="{ED56352E-EF63-41AF-8A76-B15C2BB01CB6}"/>
    <cellStyle name="Normal 8 4 2 3 2 3" xfId="11659" xr:uid="{1F40F63A-A379-4822-840C-A7243FBEC711}"/>
    <cellStyle name="Normal 8 4 2 3 3" xfId="5282" xr:uid="{00000000-0005-0000-0000-0000E81D0000}"/>
    <cellStyle name="Normal 8 4 2 3 3 2" xfId="13732" xr:uid="{4E8C99C3-C6F0-420A-9517-D0ECB23EEA19}"/>
    <cellStyle name="Normal 8 4 2 3 4" xfId="9514" xr:uid="{315219C9-9E81-4AED-AEC5-CF2B6D169EA3}"/>
    <cellStyle name="Normal 8 4 2 4" xfId="1388" xr:uid="{00000000-0005-0000-0000-0000E91D0000}"/>
    <cellStyle name="Normal 8 4 2 4 2" xfId="3618" xr:uid="{00000000-0005-0000-0000-0000EA1D0000}"/>
    <cellStyle name="Normal 8 4 2 4 2 2" xfId="7840" xr:uid="{00000000-0005-0000-0000-0000EB1D0000}"/>
    <cellStyle name="Normal 8 4 2 4 2 2 2" xfId="16290" xr:uid="{B6642B2F-1F7F-49DA-AB19-4190D1C53AE5}"/>
    <cellStyle name="Normal 8 4 2 4 2 3" xfId="12072" xr:uid="{DBF13421-3357-4B9C-A930-799992901D47}"/>
    <cellStyle name="Normal 8 4 2 4 3" xfId="5695" xr:uid="{00000000-0005-0000-0000-0000EC1D0000}"/>
    <cellStyle name="Normal 8 4 2 4 3 2" xfId="14145" xr:uid="{BBC13DF1-9023-4F51-9BE0-A147D314E5A2}"/>
    <cellStyle name="Normal 8 4 2 4 4" xfId="9927" xr:uid="{7A08EDCA-68C6-4DAC-8C88-1BE2A4B20C86}"/>
    <cellStyle name="Normal 8 4 2 5" xfId="1801" xr:uid="{00000000-0005-0000-0000-0000ED1D0000}"/>
    <cellStyle name="Normal 8 4 2 5 2" xfId="4031" xr:uid="{00000000-0005-0000-0000-0000EE1D0000}"/>
    <cellStyle name="Normal 8 4 2 5 2 2" xfId="8253" xr:uid="{00000000-0005-0000-0000-0000EF1D0000}"/>
    <cellStyle name="Normal 8 4 2 5 2 2 2" xfId="16703" xr:uid="{9CBC9A94-3573-46BE-B665-830E31826EB2}"/>
    <cellStyle name="Normal 8 4 2 5 2 3" xfId="12485" xr:uid="{151CB98E-0686-48E7-BECA-07190C8E8821}"/>
    <cellStyle name="Normal 8 4 2 5 3" xfId="6108" xr:uid="{00000000-0005-0000-0000-0000F01D0000}"/>
    <cellStyle name="Normal 8 4 2 5 3 2" xfId="14558" xr:uid="{8997F1B4-F80F-4068-9CF7-E0A05AC3AAF5}"/>
    <cellStyle name="Normal 8 4 2 5 4" xfId="10340" xr:uid="{E894198B-87B7-49EB-A346-FB4C822922C3}"/>
    <cellStyle name="Normal 8 4 2 6" xfId="2215" xr:uid="{00000000-0005-0000-0000-0000F11D0000}"/>
    <cellStyle name="Normal 8 4 2 6 2" xfId="4444" xr:uid="{00000000-0005-0000-0000-0000F21D0000}"/>
    <cellStyle name="Normal 8 4 2 6 2 2" xfId="8666" xr:uid="{00000000-0005-0000-0000-0000F31D0000}"/>
    <cellStyle name="Normal 8 4 2 6 2 2 2" xfId="17116" xr:uid="{FA923D8E-B73E-4DAA-8A1A-1E6B1FA9EA86}"/>
    <cellStyle name="Normal 8 4 2 6 2 3" xfId="12898" xr:uid="{7F8DDD82-0948-4CC8-8AD6-3E2B89092118}"/>
    <cellStyle name="Normal 8 4 2 6 3" xfId="6521" xr:uid="{00000000-0005-0000-0000-0000F41D0000}"/>
    <cellStyle name="Normal 8 4 2 6 3 2" xfId="14971" xr:uid="{8CBCC9DD-5107-4A85-A384-CE684E569FD7}"/>
    <cellStyle name="Normal 8 4 2 6 4" xfId="10753" xr:uid="{0E8B6DB3-02E9-4A09-AED6-8C3D00FC7A95}"/>
    <cellStyle name="Normal 8 4 2 7" xfId="2651" xr:uid="{00000000-0005-0000-0000-0000F51D0000}"/>
    <cellStyle name="Normal 8 4 2 7 2" xfId="6934" xr:uid="{00000000-0005-0000-0000-0000F61D0000}"/>
    <cellStyle name="Normal 8 4 2 7 2 2" xfId="15384" xr:uid="{DB218B93-245A-432A-A873-D221D4C0DCA8}"/>
    <cellStyle name="Normal 8 4 2 7 3" xfId="11166" xr:uid="{E01F3D4A-CFDB-42DD-9C5F-120AFC22780E}"/>
    <cellStyle name="Normal 8 4 2 8" xfId="4869" xr:uid="{00000000-0005-0000-0000-0000F71D0000}"/>
    <cellStyle name="Normal 8 4 2 8 2" xfId="13319" xr:uid="{9CCD73A1-0F65-4725-8556-C96CCFDF52BE}"/>
    <cellStyle name="Normal 8 4 2 9" xfId="9101" xr:uid="{7D268606-B324-43D7-BB6C-61A35E222B7D}"/>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2 2 2" xfId="15879" xr:uid="{5B5B7B53-F3C1-41E6-A5DD-24546BBD9CD2}"/>
    <cellStyle name="Normal 8 4 3 2 2 3" xfId="11661" xr:uid="{9FC73F89-8034-4713-86B5-48DCF3580DE5}"/>
    <cellStyle name="Normal 8 4 3 2 3" xfId="5284" xr:uid="{00000000-0005-0000-0000-0000FC1D0000}"/>
    <cellStyle name="Normal 8 4 3 2 3 2" xfId="13734" xr:uid="{B257A54E-1DC8-4FE2-9011-007BF7863B3C}"/>
    <cellStyle name="Normal 8 4 3 2 4" xfId="9516" xr:uid="{71BC8FAF-0694-4C9E-BCDA-90067614B063}"/>
    <cellStyle name="Normal 8 4 3 3" xfId="1390" xr:uid="{00000000-0005-0000-0000-0000FD1D0000}"/>
    <cellStyle name="Normal 8 4 3 3 2" xfId="3620" xr:uid="{00000000-0005-0000-0000-0000FE1D0000}"/>
    <cellStyle name="Normal 8 4 3 3 2 2" xfId="7842" xr:uid="{00000000-0005-0000-0000-0000FF1D0000}"/>
    <cellStyle name="Normal 8 4 3 3 2 2 2" xfId="16292" xr:uid="{DEFFFB7B-2E01-44FB-AB2F-7D22003A4206}"/>
    <cellStyle name="Normal 8 4 3 3 2 3" xfId="12074" xr:uid="{45683D6C-F547-40ED-9ADC-866D1B4E30CD}"/>
    <cellStyle name="Normal 8 4 3 3 3" xfId="5697" xr:uid="{00000000-0005-0000-0000-0000001E0000}"/>
    <cellStyle name="Normal 8 4 3 3 3 2" xfId="14147" xr:uid="{8DAB7DC5-8D96-4803-B0E7-D3DB0D0CE851}"/>
    <cellStyle name="Normal 8 4 3 3 4" xfId="9929" xr:uid="{BB521A04-9C38-4185-A617-CECA5EBDA36F}"/>
    <cellStyle name="Normal 8 4 3 4" xfId="1803" xr:uid="{00000000-0005-0000-0000-0000011E0000}"/>
    <cellStyle name="Normal 8 4 3 4 2" xfId="4033" xr:uid="{00000000-0005-0000-0000-0000021E0000}"/>
    <cellStyle name="Normal 8 4 3 4 2 2" xfId="8255" xr:uid="{00000000-0005-0000-0000-0000031E0000}"/>
    <cellStyle name="Normal 8 4 3 4 2 2 2" xfId="16705" xr:uid="{D2841D45-CE28-49A6-9EE5-F05FA839ACC1}"/>
    <cellStyle name="Normal 8 4 3 4 2 3" xfId="12487" xr:uid="{81DC32AA-F12A-4E15-913F-DE875F831588}"/>
    <cellStyle name="Normal 8 4 3 4 3" xfId="6110" xr:uid="{00000000-0005-0000-0000-0000041E0000}"/>
    <cellStyle name="Normal 8 4 3 4 3 2" xfId="14560" xr:uid="{4BD764F7-E61A-45F4-B479-23F66F8B0262}"/>
    <cellStyle name="Normal 8 4 3 4 4" xfId="10342" xr:uid="{129AAB65-3223-4AC8-B27D-15496A932C0B}"/>
    <cellStyle name="Normal 8 4 3 5" xfId="2217" xr:uid="{00000000-0005-0000-0000-0000051E0000}"/>
    <cellStyle name="Normal 8 4 3 5 2" xfId="4446" xr:uid="{00000000-0005-0000-0000-0000061E0000}"/>
    <cellStyle name="Normal 8 4 3 5 2 2" xfId="8668" xr:uid="{00000000-0005-0000-0000-0000071E0000}"/>
    <cellStyle name="Normal 8 4 3 5 2 2 2" xfId="17118" xr:uid="{0823A0BC-25BD-4156-AD70-190392B6C0D6}"/>
    <cellStyle name="Normal 8 4 3 5 2 3" xfId="12900" xr:uid="{9D003BE3-C4B4-4510-A1CB-5DA2032309C9}"/>
    <cellStyle name="Normal 8 4 3 5 3" xfId="6523" xr:uid="{00000000-0005-0000-0000-0000081E0000}"/>
    <cellStyle name="Normal 8 4 3 5 3 2" xfId="14973" xr:uid="{3F4CCCBA-BC66-4734-A077-21200FFCE6DC}"/>
    <cellStyle name="Normal 8 4 3 5 4" xfId="10755" xr:uid="{5CDDB834-82F2-4C1D-B9F3-4B4FEA4803D5}"/>
    <cellStyle name="Normal 8 4 3 6" xfId="2653" xr:uid="{00000000-0005-0000-0000-0000091E0000}"/>
    <cellStyle name="Normal 8 4 3 6 2" xfId="6936" xr:uid="{00000000-0005-0000-0000-00000A1E0000}"/>
    <cellStyle name="Normal 8 4 3 6 2 2" xfId="15386" xr:uid="{EFDC3D69-A063-4B11-8937-93E9B14E986C}"/>
    <cellStyle name="Normal 8 4 3 6 3" xfId="11168" xr:uid="{628F7025-C3A7-4B07-BA6F-364E03B6750E}"/>
    <cellStyle name="Normal 8 4 3 7" xfId="4871" xr:uid="{00000000-0005-0000-0000-00000B1E0000}"/>
    <cellStyle name="Normal 8 4 3 7 2" xfId="13321" xr:uid="{4E4E3541-A651-4406-9E29-4E56ADB93CF7}"/>
    <cellStyle name="Normal 8 4 3 8" xfId="9103" xr:uid="{1C5A8BF7-F02E-470A-89CE-FD34D1CC88D8}"/>
    <cellStyle name="Normal 8 4 4" xfId="970" xr:uid="{00000000-0005-0000-0000-00000C1E0000}"/>
    <cellStyle name="Normal 8 4 4 2" xfId="3204" xr:uid="{00000000-0005-0000-0000-00000D1E0000}"/>
    <cellStyle name="Normal 8 4 4 2 2" xfId="7426" xr:uid="{00000000-0005-0000-0000-00000E1E0000}"/>
    <cellStyle name="Normal 8 4 4 2 2 2" xfId="15876" xr:uid="{8AE6C327-E9C6-4CF3-BC09-74F531A28971}"/>
    <cellStyle name="Normal 8 4 4 2 3" xfId="11658" xr:uid="{75DCF6D8-DB29-43F0-9117-B197C5622C89}"/>
    <cellStyle name="Normal 8 4 4 3" xfId="5281" xr:uid="{00000000-0005-0000-0000-00000F1E0000}"/>
    <cellStyle name="Normal 8 4 4 3 2" xfId="13731" xr:uid="{C33FEF27-947A-43B4-9665-3B216B423709}"/>
    <cellStyle name="Normal 8 4 4 4" xfId="9513" xr:uid="{B50247EA-1CA4-4F5A-8AED-349374E48D2D}"/>
    <cellStyle name="Normal 8 4 5" xfId="1387" xr:uid="{00000000-0005-0000-0000-0000101E0000}"/>
    <cellStyle name="Normal 8 4 5 2" xfId="3617" xr:uid="{00000000-0005-0000-0000-0000111E0000}"/>
    <cellStyle name="Normal 8 4 5 2 2" xfId="7839" xr:uid="{00000000-0005-0000-0000-0000121E0000}"/>
    <cellStyle name="Normal 8 4 5 2 2 2" xfId="16289" xr:uid="{8BB0BE79-854B-4609-9928-1896BD0080A0}"/>
    <cellStyle name="Normal 8 4 5 2 3" xfId="12071" xr:uid="{088949CF-4696-44B6-975D-4574B11DCB45}"/>
    <cellStyle name="Normal 8 4 5 3" xfId="5694" xr:uid="{00000000-0005-0000-0000-0000131E0000}"/>
    <cellStyle name="Normal 8 4 5 3 2" xfId="14144" xr:uid="{C615947C-7A02-442E-A99C-B43E6DB4698C}"/>
    <cellStyle name="Normal 8 4 5 4" xfId="9926" xr:uid="{8BC5D175-F0EC-468A-9DF6-99B289BDEC78}"/>
    <cellStyle name="Normal 8 4 6" xfId="1800" xr:uid="{00000000-0005-0000-0000-0000141E0000}"/>
    <cellStyle name="Normal 8 4 6 2" xfId="4030" xr:uid="{00000000-0005-0000-0000-0000151E0000}"/>
    <cellStyle name="Normal 8 4 6 2 2" xfId="8252" xr:uid="{00000000-0005-0000-0000-0000161E0000}"/>
    <cellStyle name="Normal 8 4 6 2 2 2" xfId="16702" xr:uid="{B0310EFE-175E-4295-8395-7F4602AA05F7}"/>
    <cellStyle name="Normal 8 4 6 2 3" xfId="12484" xr:uid="{ECE99C31-5565-4443-8201-E9AD7BB1900B}"/>
    <cellStyle name="Normal 8 4 6 3" xfId="6107" xr:uid="{00000000-0005-0000-0000-0000171E0000}"/>
    <cellStyle name="Normal 8 4 6 3 2" xfId="14557" xr:uid="{4FBB8FA1-8A1E-434A-BCD9-805501D88726}"/>
    <cellStyle name="Normal 8 4 6 4" xfId="10339" xr:uid="{1350D637-5A12-4C22-B72A-49B69B57C157}"/>
    <cellStyle name="Normal 8 4 7" xfId="2214" xr:uid="{00000000-0005-0000-0000-0000181E0000}"/>
    <cellStyle name="Normal 8 4 7 2" xfId="4443" xr:uid="{00000000-0005-0000-0000-0000191E0000}"/>
    <cellStyle name="Normal 8 4 7 2 2" xfId="8665" xr:uid="{00000000-0005-0000-0000-00001A1E0000}"/>
    <cellStyle name="Normal 8 4 7 2 2 2" xfId="17115" xr:uid="{FF3BD410-70BB-4A42-A84C-F47CB1F6EF46}"/>
    <cellStyle name="Normal 8 4 7 2 3" xfId="12897" xr:uid="{D41F2076-64B3-4D3F-AAD7-3C6B51042090}"/>
    <cellStyle name="Normal 8 4 7 3" xfId="6520" xr:uid="{00000000-0005-0000-0000-00001B1E0000}"/>
    <cellStyle name="Normal 8 4 7 3 2" xfId="14970" xr:uid="{3FA2405C-C78B-40DE-96A6-4F6CFA0CD711}"/>
    <cellStyle name="Normal 8 4 7 4" xfId="10752" xr:uid="{3B625602-9A87-45C5-AF07-2C7411697F3A}"/>
    <cellStyle name="Normal 8 4 8" xfId="2650" xr:uid="{00000000-0005-0000-0000-00001C1E0000}"/>
    <cellStyle name="Normal 8 4 8 2" xfId="6933" xr:uid="{00000000-0005-0000-0000-00001D1E0000}"/>
    <cellStyle name="Normal 8 4 8 2 2" xfId="15383" xr:uid="{294B1ABC-4040-4E2D-9DBD-532430BB1196}"/>
    <cellStyle name="Normal 8 4 8 3" xfId="11165" xr:uid="{5DFAA3D3-528B-4558-AE87-98D4BC3352B3}"/>
    <cellStyle name="Normal 8 4 9" xfId="4868" xr:uid="{00000000-0005-0000-0000-00001E1E0000}"/>
    <cellStyle name="Normal 8 4 9 2" xfId="13318" xr:uid="{7B9DD0A6-BFE2-40BE-ACEC-0B37B060C269}"/>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2 2 2" xfId="15881" xr:uid="{C6A9F1BF-9740-48C1-9237-979BAB7B191F}"/>
    <cellStyle name="Normal 8 5 2 2 2 3" xfId="11663" xr:uid="{955E6DF3-F3B1-412D-BFBF-49AB4CA7478F}"/>
    <cellStyle name="Normal 8 5 2 2 3" xfId="5286" xr:uid="{00000000-0005-0000-0000-0000241E0000}"/>
    <cellStyle name="Normal 8 5 2 2 3 2" xfId="13736" xr:uid="{5D109EC9-E4E1-4A28-890B-7C078EAE3472}"/>
    <cellStyle name="Normal 8 5 2 2 4" xfId="9518" xr:uid="{B970C6E8-CB4A-4456-BA41-83346B98C309}"/>
    <cellStyle name="Normal 8 5 2 3" xfId="1392" xr:uid="{00000000-0005-0000-0000-0000251E0000}"/>
    <cellStyle name="Normal 8 5 2 3 2" xfId="3622" xr:uid="{00000000-0005-0000-0000-0000261E0000}"/>
    <cellStyle name="Normal 8 5 2 3 2 2" xfId="7844" xr:uid="{00000000-0005-0000-0000-0000271E0000}"/>
    <cellStyle name="Normal 8 5 2 3 2 2 2" xfId="16294" xr:uid="{B91FC56E-48BF-4433-955F-2AA42D2AD668}"/>
    <cellStyle name="Normal 8 5 2 3 2 3" xfId="12076" xr:uid="{3E2761FC-C1CF-4D29-9E28-F4DD93E524EA}"/>
    <cellStyle name="Normal 8 5 2 3 3" xfId="5699" xr:uid="{00000000-0005-0000-0000-0000281E0000}"/>
    <cellStyle name="Normal 8 5 2 3 3 2" xfId="14149" xr:uid="{E4B05E27-1795-4096-B6B1-00EDF8FEAAC3}"/>
    <cellStyle name="Normal 8 5 2 3 4" xfId="9931" xr:uid="{C7D3E2D0-9691-48F9-B963-06D05FAB6D01}"/>
    <cellStyle name="Normal 8 5 2 4" xfId="1805" xr:uid="{00000000-0005-0000-0000-0000291E0000}"/>
    <cellStyle name="Normal 8 5 2 4 2" xfId="4035" xr:uid="{00000000-0005-0000-0000-00002A1E0000}"/>
    <cellStyle name="Normal 8 5 2 4 2 2" xfId="8257" xr:uid="{00000000-0005-0000-0000-00002B1E0000}"/>
    <cellStyle name="Normal 8 5 2 4 2 2 2" xfId="16707" xr:uid="{F8EF833B-3E4A-4A2C-B10D-0584351EF99C}"/>
    <cellStyle name="Normal 8 5 2 4 2 3" xfId="12489" xr:uid="{FB46464F-D675-4C5D-AA27-643A82BF3184}"/>
    <cellStyle name="Normal 8 5 2 4 3" xfId="6112" xr:uid="{00000000-0005-0000-0000-00002C1E0000}"/>
    <cellStyle name="Normal 8 5 2 4 3 2" xfId="14562" xr:uid="{3A15E13B-8394-4D8B-876C-C3975476963D}"/>
    <cellStyle name="Normal 8 5 2 4 4" xfId="10344" xr:uid="{BB4B8140-D4E1-4EB9-AB3C-5E2905AEFACE}"/>
    <cellStyle name="Normal 8 5 2 5" xfId="2219" xr:uid="{00000000-0005-0000-0000-00002D1E0000}"/>
    <cellStyle name="Normal 8 5 2 5 2" xfId="4448" xr:uid="{00000000-0005-0000-0000-00002E1E0000}"/>
    <cellStyle name="Normal 8 5 2 5 2 2" xfId="8670" xr:uid="{00000000-0005-0000-0000-00002F1E0000}"/>
    <cellStyle name="Normal 8 5 2 5 2 2 2" xfId="17120" xr:uid="{1DC4118E-714B-450C-840A-22302B295301}"/>
    <cellStyle name="Normal 8 5 2 5 2 3" xfId="12902" xr:uid="{50921D28-97E7-4B21-9CA2-553F8D3FC1D9}"/>
    <cellStyle name="Normal 8 5 2 5 3" xfId="6525" xr:uid="{00000000-0005-0000-0000-0000301E0000}"/>
    <cellStyle name="Normal 8 5 2 5 3 2" xfId="14975" xr:uid="{A0CE6C92-E8D1-4B59-8375-80C4A6B44EFE}"/>
    <cellStyle name="Normal 8 5 2 5 4" xfId="10757" xr:uid="{5A36F774-27BC-435D-8B71-F622928B08A7}"/>
    <cellStyle name="Normal 8 5 2 6" xfId="2655" xr:uid="{00000000-0005-0000-0000-0000311E0000}"/>
    <cellStyle name="Normal 8 5 2 6 2" xfId="6938" xr:uid="{00000000-0005-0000-0000-0000321E0000}"/>
    <cellStyle name="Normal 8 5 2 6 2 2" xfId="15388" xr:uid="{FC41CABD-5A92-44A8-8F15-50576B206810}"/>
    <cellStyle name="Normal 8 5 2 6 3" xfId="11170" xr:uid="{199A5D22-05A8-4788-92F8-2748DB02CB8B}"/>
    <cellStyle name="Normal 8 5 2 7" xfId="4873" xr:uid="{00000000-0005-0000-0000-0000331E0000}"/>
    <cellStyle name="Normal 8 5 2 7 2" xfId="13323" xr:uid="{E58C310C-C55D-4413-8124-63DFCF3DCCA4}"/>
    <cellStyle name="Normal 8 5 2 8" xfId="9105" xr:uid="{2EC95CF9-F63F-4672-A37B-8F73912DC454}"/>
    <cellStyle name="Normal 8 5 3" xfId="974" xr:uid="{00000000-0005-0000-0000-0000341E0000}"/>
    <cellStyle name="Normal 8 5 3 2" xfId="3208" xr:uid="{00000000-0005-0000-0000-0000351E0000}"/>
    <cellStyle name="Normal 8 5 3 2 2" xfId="7430" xr:uid="{00000000-0005-0000-0000-0000361E0000}"/>
    <cellStyle name="Normal 8 5 3 2 2 2" xfId="15880" xr:uid="{1D9CFB23-93F6-44A8-9252-A6D94C272328}"/>
    <cellStyle name="Normal 8 5 3 2 3" xfId="11662" xr:uid="{2D77E849-C2C8-49BE-B492-F988720BAFF1}"/>
    <cellStyle name="Normal 8 5 3 3" xfId="5285" xr:uid="{00000000-0005-0000-0000-0000371E0000}"/>
    <cellStyle name="Normal 8 5 3 3 2" xfId="13735" xr:uid="{1F1F934C-C0B3-496D-A349-9F506D6AD3AD}"/>
    <cellStyle name="Normal 8 5 3 4" xfId="9517" xr:uid="{29DDB6AD-DC19-4D08-A725-36BBB0FA264F}"/>
    <cellStyle name="Normal 8 5 4" xfId="1391" xr:uid="{00000000-0005-0000-0000-0000381E0000}"/>
    <cellStyle name="Normal 8 5 4 2" xfId="3621" xr:uid="{00000000-0005-0000-0000-0000391E0000}"/>
    <cellStyle name="Normal 8 5 4 2 2" xfId="7843" xr:uid="{00000000-0005-0000-0000-00003A1E0000}"/>
    <cellStyle name="Normal 8 5 4 2 2 2" xfId="16293" xr:uid="{FE07AE01-F2FE-4251-B539-D16318CDED12}"/>
    <cellStyle name="Normal 8 5 4 2 3" xfId="12075" xr:uid="{9A281379-AAA6-4C16-A26A-22B1B96068F9}"/>
    <cellStyle name="Normal 8 5 4 3" xfId="5698" xr:uid="{00000000-0005-0000-0000-00003B1E0000}"/>
    <cellStyle name="Normal 8 5 4 3 2" xfId="14148" xr:uid="{A7D2660B-E3BB-496B-96B1-21873F0A9084}"/>
    <cellStyle name="Normal 8 5 4 4" xfId="9930" xr:uid="{5841A13E-E16E-4FE7-A4FB-BC8985CAA6D5}"/>
    <cellStyle name="Normal 8 5 5" xfId="1804" xr:uid="{00000000-0005-0000-0000-00003C1E0000}"/>
    <cellStyle name="Normal 8 5 5 2" xfId="4034" xr:uid="{00000000-0005-0000-0000-00003D1E0000}"/>
    <cellStyle name="Normal 8 5 5 2 2" xfId="8256" xr:uid="{00000000-0005-0000-0000-00003E1E0000}"/>
    <cellStyle name="Normal 8 5 5 2 2 2" xfId="16706" xr:uid="{DE32C76B-F999-4113-9B74-361BE9552949}"/>
    <cellStyle name="Normal 8 5 5 2 3" xfId="12488" xr:uid="{8D15ADAE-9B37-4533-8966-D4A5563CF2EE}"/>
    <cellStyle name="Normal 8 5 5 3" xfId="6111" xr:uid="{00000000-0005-0000-0000-00003F1E0000}"/>
    <cellStyle name="Normal 8 5 5 3 2" xfId="14561" xr:uid="{E3F7AE14-A564-4E07-8F3A-8FFFAB8060DC}"/>
    <cellStyle name="Normal 8 5 5 4" xfId="10343" xr:uid="{5E8D6F47-E57A-47C1-BE4C-B795010AD3C7}"/>
    <cellStyle name="Normal 8 5 6" xfId="2218" xr:uid="{00000000-0005-0000-0000-0000401E0000}"/>
    <cellStyle name="Normal 8 5 6 2" xfId="4447" xr:uid="{00000000-0005-0000-0000-0000411E0000}"/>
    <cellStyle name="Normal 8 5 6 2 2" xfId="8669" xr:uid="{00000000-0005-0000-0000-0000421E0000}"/>
    <cellStyle name="Normal 8 5 6 2 2 2" xfId="17119" xr:uid="{EFBC4BF2-819F-41BD-BE17-123682CC1A2D}"/>
    <cellStyle name="Normal 8 5 6 2 3" xfId="12901" xr:uid="{16F644AA-6888-4894-8113-493693170ACC}"/>
    <cellStyle name="Normal 8 5 6 3" xfId="6524" xr:uid="{00000000-0005-0000-0000-0000431E0000}"/>
    <cellStyle name="Normal 8 5 6 3 2" xfId="14974" xr:uid="{268403C0-9C2E-4420-942C-6B5CBCCC7D7E}"/>
    <cellStyle name="Normal 8 5 6 4" xfId="10756" xr:uid="{F909E12D-51CE-4EF4-A8A2-21D7D19374AC}"/>
    <cellStyle name="Normal 8 5 7" xfId="2654" xr:uid="{00000000-0005-0000-0000-0000441E0000}"/>
    <cellStyle name="Normal 8 5 7 2" xfId="6937" xr:uid="{00000000-0005-0000-0000-0000451E0000}"/>
    <cellStyle name="Normal 8 5 7 2 2" xfId="15387" xr:uid="{87C78C20-CB76-4114-8C04-FC8314937EB1}"/>
    <cellStyle name="Normal 8 5 7 3" xfId="11169" xr:uid="{610E25F5-6CF6-43D5-ACD1-80D70B80FE0F}"/>
    <cellStyle name="Normal 8 5 8" xfId="4872" xr:uid="{00000000-0005-0000-0000-0000461E0000}"/>
    <cellStyle name="Normal 8 5 8 2" xfId="13322" xr:uid="{48FDB8B8-4DA3-46FB-8B07-3E87B4656DDD}"/>
    <cellStyle name="Normal 8 5 9" xfId="9104" xr:uid="{3E30987F-6ADE-4916-A120-EA333AD0C516}"/>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2 2 2" xfId="15882" xr:uid="{612BDDCB-BB3B-4B73-8F93-B09C3B49A45F}"/>
    <cellStyle name="Normal 8 6 2 2 3" xfId="11664" xr:uid="{79870F6F-88C9-46D8-AFEB-C0E2FF5071EC}"/>
    <cellStyle name="Normal 8 6 2 3" xfId="5287" xr:uid="{00000000-0005-0000-0000-00004B1E0000}"/>
    <cellStyle name="Normal 8 6 2 3 2" xfId="13737" xr:uid="{BAF1D347-7CB7-4E47-87A8-EC725820B442}"/>
    <cellStyle name="Normal 8 6 2 4" xfId="9519" xr:uid="{B0B503BB-BF36-4E3F-A784-B9D5BAB372AE}"/>
    <cellStyle name="Normal 8 6 3" xfId="1393" xr:uid="{00000000-0005-0000-0000-00004C1E0000}"/>
    <cellStyle name="Normal 8 6 3 2" xfId="3623" xr:uid="{00000000-0005-0000-0000-00004D1E0000}"/>
    <cellStyle name="Normal 8 6 3 2 2" xfId="7845" xr:uid="{00000000-0005-0000-0000-00004E1E0000}"/>
    <cellStyle name="Normal 8 6 3 2 2 2" xfId="16295" xr:uid="{00D1CACB-5CE9-49C4-BFAF-777D66691785}"/>
    <cellStyle name="Normal 8 6 3 2 3" xfId="12077" xr:uid="{3C91B9E6-CDF1-4C3E-A821-FDDFB3298992}"/>
    <cellStyle name="Normal 8 6 3 3" xfId="5700" xr:uid="{00000000-0005-0000-0000-00004F1E0000}"/>
    <cellStyle name="Normal 8 6 3 3 2" xfId="14150" xr:uid="{E78D92CF-A0BB-4442-9686-345D6284925C}"/>
    <cellStyle name="Normal 8 6 3 4" xfId="9932" xr:uid="{E3A0FDFE-C844-4B61-B8B2-1FBB350A45CF}"/>
    <cellStyle name="Normal 8 6 4" xfId="1806" xr:uid="{00000000-0005-0000-0000-0000501E0000}"/>
    <cellStyle name="Normal 8 6 4 2" xfId="4036" xr:uid="{00000000-0005-0000-0000-0000511E0000}"/>
    <cellStyle name="Normal 8 6 4 2 2" xfId="8258" xr:uid="{00000000-0005-0000-0000-0000521E0000}"/>
    <cellStyle name="Normal 8 6 4 2 2 2" xfId="16708" xr:uid="{D6FB523B-EEF2-483A-B408-83D61E7874B6}"/>
    <cellStyle name="Normal 8 6 4 2 3" xfId="12490" xr:uid="{2178732D-2971-49A4-8F7D-6C715DE78582}"/>
    <cellStyle name="Normal 8 6 4 3" xfId="6113" xr:uid="{00000000-0005-0000-0000-0000531E0000}"/>
    <cellStyle name="Normal 8 6 4 3 2" xfId="14563" xr:uid="{51FBF50D-D409-439C-9980-C556925284BF}"/>
    <cellStyle name="Normal 8 6 4 4" xfId="10345" xr:uid="{69FF6553-6E14-49EC-80A1-2988380B4531}"/>
    <cellStyle name="Normal 8 6 5" xfId="2220" xr:uid="{00000000-0005-0000-0000-0000541E0000}"/>
    <cellStyle name="Normal 8 6 5 2" xfId="4449" xr:uid="{00000000-0005-0000-0000-0000551E0000}"/>
    <cellStyle name="Normal 8 6 5 2 2" xfId="8671" xr:uid="{00000000-0005-0000-0000-0000561E0000}"/>
    <cellStyle name="Normal 8 6 5 2 2 2" xfId="17121" xr:uid="{982AA13B-A4AE-4748-A122-B6196082812F}"/>
    <cellStyle name="Normal 8 6 5 2 3" xfId="12903" xr:uid="{33EFF2B1-312F-4B80-9032-CE63D28121F4}"/>
    <cellStyle name="Normal 8 6 5 3" xfId="6526" xr:uid="{00000000-0005-0000-0000-0000571E0000}"/>
    <cellStyle name="Normal 8 6 5 3 2" xfId="14976" xr:uid="{13BE6CFC-F285-4C2C-B7AB-585C3F514638}"/>
    <cellStyle name="Normal 8 6 5 4" xfId="10758" xr:uid="{F5B1D4BC-086B-4B25-963F-3DD393B1F3A2}"/>
    <cellStyle name="Normal 8 6 6" xfId="2656" xr:uid="{00000000-0005-0000-0000-0000581E0000}"/>
    <cellStyle name="Normal 8 6 6 2" xfId="6939" xr:uid="{00000000-0005-0000-0000-0000591E0000}"/>
    <cellStyle name="Normal 8 6 6 2 2" xfId="15389" xr:uid="{1EBAB0A1-6700-44BF-A4B6-BB4BA85D92B2}"/>
    <cellStyle name="Normal 8 6 6 3" xfId="11171" xr:uid="{3574343F-3248-4185-B9AB-C26B4606DBEB}"/>
    <cellStyle name="Normal 8 6 7" xfId="4874" xr:uid="{00000000-0005-0000-0000-00005A1E0000}"/>
    <cellStyle name="Normal 8 6 7 2" xfId="13324" xr:uid="{7E2DDFAC-F011-40D9-B2A6-5600EC296A1F}"/>
    <cellStyle name="Normal 8 6 8" xfId="9106" xr:uid="{965D4F0D-7628-46D3-A795-F863894CACE7}"/>
    <cellStyle name="Normal 8 7" xfId="945" xr:uid="{00000000-0005-0000-0000-00005B1E0000}"/>
    <cellStyle name="Normal 8 7 2" xfId="3179" xr:uid="{00000000-0005-0000-0000-00005C1E0000}"/>
    <cellStyle name="Normal 8 7 2 2" xfId="7401" xr:uid="{00000000-0005-0000-0000-00005D1E0000}"/>
    <cellStyle name="Normal 8 7 2 2 2" xfId="15851" xr:uid="{5D3A1F1E-BA49-4C0C-8081-4FC9437072E8}"/>
    <cellStyle name="Normal 8 7 2 3" xfId="11633" xr:uid="{A695A81A-3F9E-45C2-A669-18CCF08486A2}"/>
    <cellStyle name="Normal 8 7 3" xfId="5256" xr:uid="{00000000-0005-0000-0000-00005E1E0000}"/>
    <cellStyle name="Normal 8 7 3 2" xfId="13706" xr:uid="{082F57F8-0A1D-4D91-9AAC-FFD96566C30A}"/>
    <cellStyle name="Normal 8 7 4" xfId="9488" xr:uid="{8F97C763-FAAB-4D29-BED2-DB6E4498E2AE}"/>
    <cellStyle name="Normal 8 8" xfId="1362" xr:uid="{00000000-0005-0000-0000-00005F1E0000}"/>
    <cellStyle name="Normal 8 8 2" xfId="3592" xr:uid="{00000000-0005-0000-0000-0000601E0000}"/>
    <cellStyle name="Normal 8 8 2 2" xfId="7814" xr:uid="{00000000-0005-0000-0000-0000611E0000}"/>
    <cellStyle name="Normal 8 8 2 2 2" xfId="16264" xr:uid="{544EDBD0-026A-415E-9B60-7CD227885BE9}"/>
    <cellStyle name="Normal 8 8 2 3" xfId="12046" xr:uid="{5791761B-C541-49A0-9704-767F09FE0F72}"/>
    <cellStyle name="Normal 8 8 3" xfId="5669" xr:uid="{00000000-0005-0000-0000-0000621E0000}"/>
    <cellStyle name="Normal 8 8 3 2" xfId="14119" xr:uid="{86FAD406-5080-4255-9EEA-6188B4A23AFF}"/>
    <cellStyle name="Normal 8 8 4" xfId="9901" xr:uid="{939E427F-CF77-4200-A8D2-99773AE3EB66}"/>
    <cellStyle name="Normal 8 9" xfId="1775" xr:uid="{00000000-0005-0000-0000-0000631E0000}"/>
    <cellStyle name="Normal 8 9 2" xfId="4005" xr:uid="{00000000-0005-0000-0000-0000641E0000}"/>
    <cellStyle name="Normal 8 9 2 2" xfId="8227" xr:uid="{00000000-0005-0000-0000-0000651E0000}"/>
    <cellStyle name="Normal 8 9 2 2 2" xfId="16677" xr:uid="{482B6B4D-E981-43D2-91D5-01F8C35F475B}"/>
    <cellStyle name="Normal 8 9 2 3" xfId="12459" xr:uid="{A80BDB5E-8289-4469-88D4-0C545B1C9F72}"/>
    <cellStyle name="Normal 8 9 3" xfId="6082" xr:uid="{00000000-0005-0000-0000-0000661E0000}"/>
    <cellStyle name="Normal 8 9 3 2" xfId="14532" xr:uid="{19A8D0C2-2249-4C40-8037-73F63341D804}"/>
    <cellStyle name="Normal 8 9 4" xfId="10314" xr:uid="{DF159419-FE38-4613-86EB-6E8B3529187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15390" xr:uid="{F6557855-99A1-4201-8F40-8B9BD1F6F7AF}"/>
    <cellStyle name="Normal 9 2 10 3" xfId="11172" xr:uid="{83030B57-C9B0-4CE3-8964-C095CBC646A4}"/>
    <cellStyle name="Normal 9 2 11" xfId="4875" xr:uid="{00000000-0005-0000-0000-00006B1E0000}"/>
    <cellStyle name="Normal 9 2 11 2" xfId="13325" xr:uid="{A860323E-6C57-4A51-BCD5-5535ADD95961}"/>
    <cellStyle name="Normal 9 2 12" xfId="9107" xr:uid="{6F7CA3DD-FA87-4A1A-96A6-978AFBCAD97D}"/>
    <cellStyle name="Normal 9 2 2" xfId="512" xr:uid="{00000000-0005-0000-0000-00006C1E0000}"/>
    <cellStyle name="Normal 9 2 2 10" xfId="4876" xr:uid="{00000000-0005-0000-0000-00006D1E0000}"/>
    <cellStyle name="Normal 9 2 2 10 2" xfId="13326" xr:uid="{621A9FAC-F64F-4185-AD14-29951EABE35F}"/>
    <cellStyle name="Normal 9 2 2 11" xfId="9108" xr:uid="{BAE920B1-51D9-4993-A1F7-C64BA884C1AC}"/>
    <cellStyle name="Normal 9 2 2 2" xfId="513" xr:uid="{00000000-0005-0000-0000-00006E1E0000}"/>
    <cellStyle name="Normal 9 2 2 2 10" xfId="9109" xr:uid="{394A962C-70CA-4428-9B00-142C68044ED5}"/>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15887" xr:uid="{044E23C1-5C45-4B1D-9457-7BBEEEE06FEA}"/>
    <cellStyle name="Normal 9 2 2 2 2 2 2 2 3" xfId="11669" xr:uid="{5E1BE667-EF18-4808-AFB5-E00EE72C6CB3}"/>
    <cellStyle name="Normal 9 2 2 2 2 2 2 3" xfId="5292" xr:uid="{00000000-0005-0000-0000-0000741E0000}"/>
    <cellStyle name="Normal 9 2 2 2 2 2 2 3 2" xfId="13742" xr:uid="{18C67E46-E013-48AC-9A24-7DC63A79A942}"/>
    <cellStyle name="Normal 9 2 2 2 2 2 2 4" xfId="9524" xr:uid="{6F6492D9-FC94-4BB4-A149-9A542A4DFF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16300" xr:uid="{DCF0DE5E-EC2F-434D-9ED4-80830A31CCF9}"/>
    <cellStyle name="Normal 9 2 2 2 2 2 3 2 3" xfId="12082" xr:uid="{7EBC540D-C4C6-4F0C-AC4F-2FDBFC7A007F}"/>
    <cellStyle name="Normal 9 2 2 2 2 2 3 3" xfId="5705" xr:uid="{00000000-0005-0000-0000-0000781E0000}"/>
    <cellStyle name="Normal 9 2 2 2 2 2 3 3 2" xfId="14155" xr:uid="{8DFE6F3E-DC09-4C18-A571-FE6B9696187F}"/>
    <cellStyle name="Normal 9 2 2 2 2 2 3 4" xfId="9937" xr:uid="{419463BB-DA7B-47FC-9F1B-7AA870C1D616}"/>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16713" xr:uid="{4826E97D-A719-4521-8C58-12B6B9872A8F}"/>
    <cellStyle name="Normal 9 2 2 2 2 2 4 2 3" xfId="12495" xr:uid="{56A12311-3CE4-49EB-A24E-52AEEA006309}"/>
    <cellStyle name="Normal 9 2 2 2 2 2 4 3" xfId="6118" xr:uid="{00000000-0005-0000-0000-00007C1E0000}"/>
    <cellStyle name="Normal 9 2 2 2 2 2 4 3 2" xfId="14568" xr:uid="{7590CA76-03F6-4FBD-8BD6-3593553CCAAE}"/>
    <cellStyle name="Normal 9 2 2 2 2 2 4 4" xfId="10350" xr:uid="{B64F9E78-6E0F-481F-8E41-D72F20CFA95C}"/>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17126" xr:uid="{CD2E9EBA-C40D-47CA-9B0D-44FA500FAE9B}"/>
    <cellStyle name="Normal 9 2 2 2 2 2 5 2 3" xfId="12908" xr:uid="{5E609CC9-8DEB-423B-8851-D0AE873D78AE}"/>
    <cellStyle name="Normal 9 2 2 2 2 2 5 3" xfId="6531" xr:uid="{00000000-0005-0000-0000-0000801E0000}"/>
    <cellStyle name="Normal 9 2 2 2 2 2 5 3 2" xfId="14981" xr:uid="{75CEA91B-50AC-4B86-A0E8-7CB835425A67}"/>
    <cellStyle name="Normal 9 2 2 2 2 2 5 4" xfId="10763" xr:uid="{5B9301CB-F306-469C-A435-FFD72AECA339}"/>
    <cellStyle name="Normal 9 2 2 2 2 2 6" xfId="2661" xr:uid="{00000000-0005-0000-0000-0000811E0000}"/>
    <cellStyle name="Normal 9 2 2 2 2 2 6 2" xfId="6944" xr:uid="{00000000-0005-0000-0000-0000821E0000}"/>
    <cellStyle name="Normal 9 2 2 2 2 2 6 2 2" xfId="15394" xr:uid="{472FF391-02EE-4275-AFB1-9D4DE7F55C87}"/>
    <cellStyle name="Normal 9 2 2 2 2 2 6 3" xfId="11176" xr:uid="{093C8C0B-096A-4EA2-99A9-BF4E75C47BA9}"/>
    <cellStyle name="Normal 9 2 2 2 2 2 7" xfId="4879" xr:uid="{00000000-0005-0000-0000-0000831E0000}"/>
    <cellStyle name="Normal 9 2 2 2 2 2 7 2" xfId="13329" xr:uid="{17E5EBAC-1A44-48AE-BC18-A31E22816BD6}"/>
    <cellStyle name="Normal 9 2 2 2 2 2 8" xfId="9111" xr:uid="{3F7B55B0-CAFC-4D4E-B232-D24D00E70589}"/>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15886" xr:uid="{834E825B-11DC-4A9E-AC79-9FE09670054A}"/>
    <cellStyle name="Normal 9 2 2 2 2 3 2 3" xfId="11668" xr:uid="{8A3EF59E-DEB3-43E6-AEE8-3F98287F9F69}"/>
    <cellStyle name="Normal 9 2 2 2 2 3 3" xfId="5291" xr:uid="{00000000-0005-0000-0000-0000871E0000}"/>
    <cellStyle name="Normal 9 2 2 2 2 3 3 2" xfId="13741" xr:uid="{0371F637-9C8D-475E-9D94-D069B187B259}"/>
    <cellStyle name="Normal 9 2 2 2 2 3 4" xfId="9523" xr:uid="{A30FCA59-42C9-4BBC-9B75-A250FCE9A079}"/>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16299" xr:uid="{187DE7EC-59C4-409B-81B8-60B889F0EBC7}"/>
    <cellStyle name="Normal 9 2 2 2 2 4 2 3" xfId="12081" xr:uid="{C0CAC981-D2A8-4060-A1BC-B1E6234E92F4}"/>
    <cellStyle name="Normal 9 2 2 2 2 4 3" xfId="5704" xr:uid="{00000000-0005-0000-0000-00008B1E0000}"/>
    <cellStyle name="Normal 9 2 2 2 2 4 3 2" xfId="14154" xr:uid="{CBB8B0BD-B83A-418B-8875-5520623BFFE4}"/>
    <cellStyle name="Normal 9 2 2 2 2 4 4" xfId="9936" xr:uid="{7408E5C5-1B8A-4841-8ECC-0FA40DA12615}"/>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16712" xr:uid="{FE0F49BB-1BD8-4846-9EC7-7863B2C22DE4}"/>
    <cellStyle name="Normal 9 2 2 2 2 5 2 3" xfId="12494" xr:uid="{894F9BDE-75EA-4AB3-897F-363B473ABA6F}"/>
    <cellStyle name="Normal 9 2 2 2 2 5 3" xfId="6117" xr:uid="{00000000-0005-0000-0000-00008F1E0000}"/>
    <cellStyle name="Normal 9 2 2 2 2 5 3 2" xfId="14567" xr:uid="{3B95AED1-5F92-4D0A-9CEA-43BBC1E55F77}"/>
    <cellStyle name="Normal 9 2 2 2 2 5 4" xfId="10349" xr:uid="{B9EAB8BF-7E71-4C0E-B96E-2D5ED32CC081}"/>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17125" xr:uid="{0D985427-1324-463D-9B93-E986C98B4DEC}"/>
    <cellStyle name="Normal 9 2 2 2 2 6 2 3" xfId="12907" xr:uid="{96B60175-A1D5-4832-9146-8777728CBE63}"/>
    <cellStyle name="Normal 9 2 2 2 2 6 3" xfId="6530" xr:uid="{00000000-0005-0000-0000-0000931E0000}"/>
    <cellStyle name="Normal 9 2 2 2 2 6 3 2" xfId="14980" xr:uid="{E51E010D-9075-4210-AE4A-0DE0260D09BC}"/>
    <cellStyle name="Normal 9 2 2 2 2 6 4" xfId="10762" xr:uid="{283B9DE3-52EC-4931-A5A5-8291D1FDD48A}"/>
    <cellStyle name="Normal 9 2 2 2 2 7" xfId="2660" xr:uid="{00000000-0005-0000-0000-0000941E0000}"/>
    <cellStyle name="Normal 9 2 2 2 2 7 2" xfId="6943" xr:uid="{00000000-0005-0000-0000-0000951E0000}"/>
    <cellStyle name="Normal 9 2 2 2 2 7 2 2" xfId="15393" xr:uid="{98FD0552-478E-42A4-91A1-083D7C5881D9}"/>
    <cellStyle name="Normal 9 2 2 2 2 7 3" xfId="11175" xr:uid="{184B9DBD-F3F1-4993-8F58-5EDB1E7D1C4E}"/>
    <cellStyle name="Normal 9 2 2 2 2 8" xfId="4878" xr:uid="{00000000-0005-0000-0000-0000961E0000}"/>
    <cellStyle name="Normal 9 2 2 2 2 8 2" xfId="13328" xr:uid="{228C3213-0D2C-4FD2-A04F-43556BC52A37}"/>
    <cellStyle name="Normal 9 2 2 2 2 9" xfId="9110" xr:uid="{53C96F62-6165-40C8-B11E-D222304ED636}"/>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15888" xr:uid="{641474D3-62F2-4C72-9BA5-9A08617E7AEE}"/>
    <cellStyle name="Normal 9 2 2 2 3 2 2 3" xfId="11670" xr:uid="{790A238B-FAA1-425E-A808-B8838BF5260F}"/>
    <cellStyle name="Normal 9 2 2 2 3 2 3" xfId="5293" xr:uid="{00000000-0005-0000-0000-00009B1E0000}"/>
    <cellStyle name="Normal 9 2 2 2 3 2 3 2" xfId="13743" xr:uid="{67F5F79D-4ADB-4A77-8B43-8038F800EAA2}"/>
    <cellStyle name="Normal 9 2 2 2 3 2 4" xfId="9525" xr:uid="{1506A8C3-AD84-4376-A3AD-78CA875B03D9}"/>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16301" xr:uid="{5AF0989E-2FDE-4DED-A9EE-CC4FBF4335CD}"/>
    <cellStyle name="Normal 9 2 2 2 3 3 2 3" xfId="12083" xr:uid="{6EB44CE2-AB22-4EC5-9401-F7995061B61C}"/>
    <cellStyle name="Normal 9 2 2 2 3 3 3" xfId="5706" xr:uid="{00000000-0005-0000-0000-00009F1E0000}"/>
    <cellStyle name="Normal 9 2 2 2 3 3 3 2" xfId="14156" xr:uid="{D4BACEE9-77F6-4DC5-98A5-65F29E3E2C9D}"/>
    <cellStyle name="Normal 9 2 2 2 3 3 4" xfId="9938" xr:uid="{72635C33-8E77-4BD7-996E-D7C6599537D2}"/>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16714" xr:uid="{DDCADBEC-9C9B-409F-A801-65A96E218536}"/>
    <cellStyle name="Normal 9 2 2 2 3 4 2 3" xfId="12496" xr:uid="{9B62E290-521B-48C3-8F82-6852D219BACD}"/>
    <cellStyle name="Normal 9 2 2 2 3 4 3" xfId="6119" xr:uid="{00000000-0005-0000-0000-0000A31E0000}"/>
    <cellStyle name="Normal 9 2 2 2 3 4 3 2" xfId="14569" xr:uid="{10BFF518-E049-4B13-92A2-BDE5C90EF849}"/>
    <cellStyle name="Normal 9 2 2 2 3 4 4" xfId="10351" xr:uid="{9358E126-B02B-4E60-AF1D-CAE8C4606C9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17127" xr:uid="{E2609699-FD89-44F0-B120-C45167A86206}"/>
    <cellStyle name="Normal 9 2 2 2 3 5 2 3" xfId="12909" xr:uid="{FF567EEF-28A6-44DF-99F9-6B8A59297D07}"/>
    <cellStyle name="Normal 9 2 2 2 3 5 3" xfId="6532" xr:uid="{00000000-0005-0000-0000-0000A71E0000}"/>
    <cellStyle name="Normal 9 2 2 2 3 5 3 2" xfId="14982" xr:uid="{64284047-4F96-42BA-B1DB-43FD1B9C52B9}"/>
    <cellStyle name="Normal 9 2 2 2 3 5 4" xfId="10764" xr:uid="{24F23DD4-A8D7-4C14-96C6-5D15D1F35D12}"/>
    <cellStyle name="Normal 9 2 2 2 3 6" xfId="2662" xr:uid="{00000000-0005-0000-0000-0000A81E0000}"/>
    <cellStyle name="Normal 9 2 2 2 3 6 2" xfId="6945" xr:uid="{00000000-0005-0000-0000-0000A91E0000}"/>
    <cellStyle name="Normal 9 2 2 2 3 6 2 2" xfId="15395" xr:uid="{2812E0B4-E552-49DE-BAE7-FAA336068382}"/>
    <cellStyle name="Normal 9 2 2 2 3 6 3" xfId="11177" xr:uid="{79B612A1-1819-43C6-9F4F-5C181C31037C}"/>
    <cellStyle name="Normal 9 2 2 2 3 7" xfId="4880" xr:uid="{00000000-0005-0000-0000-0000AA1E0000}"/>
    <cellStyle name="Normal 9 2 2 2 3 7 2" xfId="13330" xr:uid="{21478665-95E9-426F-B0A8-B8B9C5EEB2B9}"/>
    <cellStyle name="Normal 9 2 2 2 3 8" xfId="9112" xr:uid="{B1C9A53C-D5C3-4F2B-9994-86105B640987}"/>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15885" xr:uid="{22AD2389-26D7-4BCC-A910-1BBF40DF6A96}"/>
    <cellStyle name="Normal 9 2 2 2 4 2 3" xfId="11667" xr:uid="{E96E7FEA-6F5A-4159-82D8-45D80BEF0299}"/>
    <cellStyle name="Normal 9 2 2 2 4 3" xfId="5290" xr:uid="{00000000-0005-0000-0000-0000AE1E0000}"/>
    <cellStyle name="Normal 9 2 2 2 4 3 2" xfId="13740" xr:uid="{3FF9E6FB-DBEF-4A0A-9570-09BACF9B4BD5}"/>
    <cellStyle name="Normal 9 2 2 2 4 4" xfId="9522" xr:uid="{5910D51C-6041-407D-A558-372C5832159F}"/>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16298" xr:uid="{05ECB5B1-4484-4D01-9C79-8B8257367BCE}"/>
    <cellStyle name="Normal 9 2 2 2 5 2 3" xfId="12080" xr:uid="{73B6892B-A957-483A-9CD4-6FCE0FE9C584}"/>
    <cellStyle name="Normal 9 2 2 2 5 3" xfId="5703" xr:uid="{00000000-0005-0000-0000-0000B21E0000}"/>
    <cellStyle name="Normal 9 2 2 2 5 3 2" xfId="14153" xr:uid="{6A9819B0-9AD7-4CE5-A3D4-C1705A1E7765}"/>
    <cellStyle name="Normal 9 2 2 2 5 4" xfId="9935" xr:uid="{A6B9E2E2-4A3B-49E0-B492-473E3D343A26}"/>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16711" xr:uid="{406FE17F-B751-4B87-94FD-E1BFB817B36F}"/>
    <cellStyle name="Normal 9 2 2 2 6 2 3" xfId="12493" xr:uid="{B103C536-8398-4D38-A7AA-A9F8F5DBCBCA}"/>
    <cellStyle name="Normal 9 2 2 2 6 3" xfId="6116" xr:uid="{00000000-0005-0000-0000-0000B61E0000}"/>
    <cellStyle name="Normal 9 2 2 2 6 3 2" xfId="14566" xr:uid="{DE193CE2-7762-4831-9F61-ADAA5FA7F959}"/>
    <cellStyle name="Normal 9 2 2 2 6 4" xfId="10348" xr:uid="{62C92B48-614A-4B72-9ACF-154FD8E7EAB7}"/>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17124" xr:uid="{07B8F226-CA33-488A-8D8D-F7D89E48846A}"/>
    <cellStyle name="Normal 9 2 2 2 7 2 3" xfId="12906" xr:uid="{9482FE87-F62C-4762-90A0-D74CAFA067E3}"/>
    <cellStyle name="Normal 9 2 2 2 7 3" xfId="6529" xr:uid="{00000000-0005-0000-0000-0000BA1E0000}"/>
    <cellStyle name="Normal 9 2 2 2 7 3 2" xfId="14979" xr:uid="{4A2B9AC3-5F08-4E90-AC4E-62570DA301EC}"/>
    <cellStyle name="Normal 9 2 2 2 7 4" xfId="10761" xr:uid="{453C95A1-0FCE-4824-BA7D-A5B7B10D9250}"/>
    <cellStyle name="Normal 9 2 2 2 8" xfId="2659" xr:uid="{00000000-0005-0000-0000-0000BB1E0000}"/>
    <cellStyle name="Normal 9 2 2 2 8 2" xfId="6942" xr:uid="{00000000-0005-0000-0000-0000BC1E0000}"/>
    <cellStyle name="Normal 9 2 2 2 8 2 2" xfId="15392" xr:uid="{98DD0254-1109-4DDC-9408-DCA5A761ACA6}"/>
    <cellStyle name="Normal 9 2 2 2 8 3" xfId="11174" xr:uid="{991D0458-D3D6-4D25-9994-8FABAA963709}"/>
    <cellStyle name="Normal 9 2 2 2 9" xfId="4877" xr:uid="{00000000-0005-0000-0000-0000BD1E0000}"/>
    <cellStyle name="Normal 9 2 2 2 9 2" xfId="13327" xr:uid="{3FF1E56A-625B-49FD-9925-C5B66B814E13}"/>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15890" xr:uid="{CA719365-7142-4AE4-A1ED-D278885D0F5A}"/>
    <cellStyle name="Normal 9 2 2 3 2 2 2 3" xfId="11672" xr:uid="{32B51B52-E0C2-4791-A2E1-25E095A66F29}"/>
    <cellStyle name="Normal 9 2 2 3 2 2 3" xfId="5295" xr:uid="{00000000-0005-0000-0000-0000C31E0000}"/>
    <cellStyle name="Normal 9 2 2 3 2 2 3 2" xfId="13745" xr:uid="{275AC812-D4E3-4EC9-9FC2-68B396582547}"/>
    <cellStyle name="Normal 9 2 2 3 2 2 4" xfId="9527" xr:uid="{DC7702AE-8A87-4C42-94AA-33E6815FA8AE}"/>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16303" xr:uid="{6F0C48AE-4F32-4731-9648-CBC829C5ED7E}"/>
    <cellStyle name="Normal 9 2 2 3 2 3 2 3" xfId="12085" xr:uid="{253787E1-031F-4906-86DA-525B1B9108A4}"/>
    <cellStyle name="Normal 9 2 2 3 2 3 3" xfId="5708" xr:uid="{00000000-0005-0000-0000-0000C71E0000}"/>
    <cellStyle name="Normal 9 2 2 3 2 3 3 2" xfId="14158" xr:uid="{42CCF924-AF6C-4F69-B59A-E8F4BBFFCAF6}"/>
    <cellStyle name="Normal 9 2 2 3 2 3 4" xfId="9940" xr:uid="{E9A0A12C-030E-48AB-9496-ECE44B17AF96}"/>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16716" xr:uid="{E674C443-8A13-4A50-B348-F466E0600C32}"/>
    <cellStyle name="Normal 9 2 2 3 2 4 2 3" xfId="12498" xr:uid="{0B0A8D1B-8349-407A-B091-DD838D60DD18}"/>
    <cellStyle name="Normal 9 2 2 3 2 4 3" xfId="6121" xr:uid="{00000000-0005-0000-0000-0000CB1E0000}"/>
    <cellStyle name="Normal 9 2 2 3 2 4 3 2" xfId="14571" xr:uid="{35492600-8381-4C77-9A3C-5907AF7D3678}"/>
    <cellStyle name="Normal 9 2 2 3 2 4 4" xfId="10353" xr:uid="{ADF5AE8C-7C0E-475D-8FF7-29E1FD56F54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17129" xr:uid="{BBF93A13-CE38-4469-8BB9-D04E41CF4E52}"/>
    <cellStyle name="Normal 9 2 2 3 2 5 2 3" xfId="12911" xr:uid="{F28D700B-046A-4245-AC33-C06C501E1926}"/>
    <cellStyle name="Normal 9 2 2 3 2 5 3" xfId="6534" xr:uid="{00000000-0005-0000-0000-0000CF1E0000}"/>
    <cellStyle name="Normal 9 2 2 3 2 5 3 2" xfId="14984" xr:uid="{FFB3FEED-A55C-4041-BD20-148F0CE1C181}"/>
    <cellStyle name="Normal 9 2 2 3 2 5 4" xfId="10766" xr:uid="{C4EAB565-4246-4E56-9B7B-939DD97D2CB7}"/>
    <cellStyle name="Normal 9 2 2 3 2 6" xfId="2664" xr:uid="{00000000-0005-0000-0000-0000D01E0000}"/>
    <cellStyle name="Normal 9 2 2 3 2 6 2" xfId="6947" xr:uid="{00000000-0005-0000-0000-0000D11E0000}"/>
    <cellStyle name="Normal 9 2 2 3 2 6 2 2" xfId="15397" xr:uid="{EA40720C-AFB1-4A08-A442-93209529A346}"/>
    <cellStyle name="Normal 9 2 2 3 2 6 3" xfId="11179" xr:uid="{4C498828-1894-4C40-93B6-ED1B60AD55E3}"/>
    <cellStyle name="Normal 9 2 2 3 2 7" xfId="4882" xr:uid="{00000000-0005-0000-0000-0000D21E0000}"/>
    <cellStyle name="Normal 9 2 2 3 2 7 2" xfId="13332" xr:uid="{B9B7D987-8223-4299-8899-941CDC152FEF}"/>
    <cellStyle name="Normal 9 2 2 3 2 8" xfId="9114" xr:uid="{6F445E12-FC0F-4F4A-A334-75318205E684}"/>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15889" xr:uid="{3A41ED41-6966-4181-9144-D926AC09EE4A}"/>
    <cellStyle name="Normal 9 2 2 3 3 2 3" xfId="11671" xr:uid="{8A2B8A54-7BAB-4721-A5D5-C8D7DDA7D038}"/>
    <cellStyle name="Normal 9 2 2 3 3 3" xfId="5294" xr:uid="{00000000-0005-0000-0000-0000D61E0000}"/>
    <cellStyle name="Normal 9 2 2 3 3 3 2" xfId="13744" xr:uid="{8E6CAF1B-1DB5-4C9B-B7E6-EDE18226BA68}"/>
    <cellStyle name="Normal 9 2 2 3 3 4" xfId="9526" xr:uid="{B36D1635-6C6F-4536-9A20-4233AAC4ECC8}"/>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16302" xr:uid="{D48075F7-79CD-448B-85EA-CDD761229ADF}"/>
    <cellStyle name="Normal 9 2 2 3 4 2 3" xfId="12084" xr:uid="{9D22E791-67E1-42CC-8649-70432A0B53B0}"/>
    <cellStyle name="Normal 9 2 2 3 4 3" xfId="5707" xr:uid="{00000000-0005-0000-0000-0000DA1E0000}"/>
    <cellStyle name="Normal 9 2 2 3 4 3 2" xfId="14157" xr:uid="{A25B7D1E-53D9-4594-8AB0-FF1F8DB11564}"/>
    <cellStyle name="Normal 9 2 2 3 4 4" xfId="9939" xr:uid="{618671D3-4C7D-4054-8785-6FA88A8ECFE1}"/>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16715" xr:uid="{FD7C55B7-3117-435C-9FC5-CD94495219EC}"/>
    <cellStyle name="Normal 9 2 2 3 5 2 3" xfId="12497" xr:uid="{1D5A0616-D713-4D32-8CE6-845579A6D516}"/>
    <cellStyle name="Normal 9 2 2 3 5 3" xfId="6120" xr:uid="{00000000-0005-0000-0000-0000DE1E0000}"/>
    <cellStyle name="Normal 9 2 2 3 5 3 2" xfId="14570" xr:uid="{D0C37218-7664-4DB4-8829-8CB360D0E21A}"/>
    <cellStyle name="Normal 9 2 2 3 5 4" xfId="10352" xr:uid="{9CC32C47-C56B-45BA-B185-FB470650DE37}"/>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17128" xr:uid="{B3AF1C63-D9DE-46ED-B7D4-233F17F2C452}"/>
    <cellStyle name="Normal 9 2 2 3 6 2 3" xfId="12910" xr:uid="{6D956935-AB16-4E08-A2AD-2D1EF4CFBA52}"/>
    <cellStyle name="Normal 9 2 2 3 6 3" xfId="6533" xr:uid="{00000000-0005-0000-0000-0000E21E0000}"/>
    <cellStyle name="Normal 9 2 2 3 6 3 2" xfId="14983" xr:uid="{103F65E8-A40C-498F-A222-4308B86FB597}"/>
    <cellStyle name="Normal 9 2 2 3 6 4" xfId="10765" xr:uid="{2109F2FD-8F39-43E6-B7EB-9B4FD9D283D4}"/>
    <cellStyle name="Normal 9 2 2 3 7" xfId="2663" xr:uid="{00000000-0005-0000-0000-0000E31E0000}"/>
    <cellStyle name="Normal 9 2 2 3 7 2" xfId="6946" xr:uid="{00000000-0005-0000-0000-0000E41E0000}"/>
    <cellStyle name="Normal 9 2 2 3 7 2 2" xfId="15396" xr:uid="{91B93040-55DB-45E1-8F14-E5C20A6B1B7F}"/>
    <cellStyle name="Normal 9 2 2 3 7 3" xfId="11178" xr:uid="{A66B2503-5DBF-4CBE-9395-9A6A972BE93D}"/>
    <cellStyle name="Normal 9 2 2 3 8" xfId="4881" xr:uid="{00000000-0005-0000-0000-0000E51E0000}"/>
    <cellStyle name="Normal 9 2 2 3 8 2" xfId="13331" xr:uid="{A2E2FCB7-8349-406E-8E2E-8B8CD5D364F5}"/>
    <cellStyle name="Normal 9 2 2 3 9" xfId="9113" xr:uid="{F7AB0DC5-DA52-41B1-9B78-549C2C11395F}"/>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15891" xr:uid="{27590CF0-C113-4320-A1E9-C241879BE270}"/>
    <cellStyle name="Normal 9 2 2 4 2 2 3" xfId="11673" xr:uid="{B959CBD3-C838-4818-9CFA-0EECCD44AF20}"/>
    <cellStyle name="Normal 9 2 2 4 2 3" xfId="5296" xr:uid="{00000000-0005-0000-0000-0000EA1E0000}"/>
    <cellStyle name="Normal 9 2 2 4 2 3 2" xfId="13746" xr:uid="{29D63C98-F9DA-4999-B96A-C02A819AB349}"/>
    <cellStyle name="Normal 9 2 2 4 2 4" xfId="9528" xr:uid="{FE819C6A-8181-47BE-8ADF-C23B3145DAB8}"/>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16304" xr:uid="{0D2BD495-6726-436F-9AA3-D9AAB3A39A4B}"/>
    <cellStyle name="Normal 9 2 2 4 3 2 3" xfId="12086" xr:uid="{5DD046E9-6DC5-4B4D-922F-84FDC99A27E5}"/>
    <cellStyle name="Normal 9 2 2 4 3 3" xfId="5709" xr:uid="{00000000-0005-0000-0000-0000EE1E0000}"/>
    <cellStyle name="Normal 9 2 2 4 3 3 2" xfId="14159" xr:uid="{8E74E621-935E-469D-8D54-6B526E7BDB7C}"/>
    <cellStyle name="Normal 9 2 2 4 3 4" xfId="9941" xr:uid="{2844EC24-276E-4415-98F3-EF97970F93B3}"/>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16717" xr:uid="{BE163AF9-9114-470B-8AD1-B1CC108B4EB1}"/>
    <cellStyle name="Normal 9 2 2 4 4 2 3" xfId="12499" xr:uid="{3FB42C3F-7108-4937-A37F-686093C81659}"/>
    <cellStyle name="Normal 9 2 2 4 4 3" xfId="6122" xr:uid="{00000000-0005-0000-0000-0000F21E0000}"/>
    <cellStyle name="Normal 9 2 2 4 4 3 2" xfId="14572" xr:uid="{1946F6D8-8112-4E4B-AB0C-134F1381103F}"/>
    <cellStyle name="Normal 9 2 2 4 4 4" xfId="10354" xr:uid="{A67DF097-37D4-4112-91A8-9E8FAB17F469}"/>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17130" xr:uid="{3AF5FCC3-82F3-4CD8-BE91-A055A3B0D650}"/>
    <cellStyle name="Normal 9 2 2 4 5 2 3" xfId="12912" xr:uid="{E6548B39-A29E-4AF3-A0E6-A59597114AB4}"/>
    <cellStyle name="Normal 9 2 2 4 5 3" xfId="6535" xr:uid="{00000000-0005-0000-0000-0000F61E0000}"/>
    <cellStyle name="Normal 9 2 2 4 5 3 2" xfId="14985" xr:uid="{C7FA40E0-F933-4997-9544-4C9E5CAB8FC6}"/>
    <cellStyle name="Normal 9 2 2 4 5 4" xfId="10767" xr:uid="{1A4568F2-02C0-4D88-AB87-A53DADB20B6C}"/>
    <cellStyle name="Normal 9 2 2 4 6" xfId="2665" xr:uid="{00000000-0005-0000-0000-0000F71E0000}"/>
    <cellStyle name="Normal 9 2 2 4 6 2" xfId="6948" xr:uid="{00000000-0005-0000-0000-0000F81E0000}"/>
    <cellStyle name="Normal 9 2 2 4 6 2 2" xfId="15398" xr:uid="{6D7BB0AA-E7BD-4E8C-8BB3-85F7F74F7322}"/>
    <cellStyle name="Normal 9 2 2 4 6 3" xfId="11180" xr:uid="{897F3470-57D6-4D75-A34D-B23A1F3685B4}"/>
    <cellStyle name="Normal 9 2 2 4 7" xfId="4883" xr:uid="{00000000-0005-0000-0000-0000F91E0000}"/>
    <cellStyle name="Normal 9 2 2 4 7 2" xfId="13333" xr:uid="{B5C4E6ED-32AE-455B-A2E5-FE67B20F421A}"/>
    <cellStyle name="Normal 9 2 2 4 8" xfId="9115" xr:uid="{3F9D6FEC-CC3A-4F09-8591-D0892EB7A2E5}"/>
    <cellStyle name="Normal 9 2 2 5" xfId="979" xr:uid="{00000000-0005-0000-0000-0000FA1E0000}"/>
    <cellStyle name="Normal 9 2 2 5 2" xfId="3212" xr:uid="{00000000-0005-0000-0000-0000FB1E0000}"/>
    <cellStyle name="Normal 9 2 2 5 2 2" xfId="7434" xr:uid="{00000000-0005-0000-0000-0000FC1E0000}"/>
    <cellStyle name="Normal 9 2 2 5 2 2 2" xfId="15884" xr:uid="{08AF7765-6971-41AF-817B-9176BFA2BCFD}"/>
    <cellStyle name="Normal 9 2 2 5 2 3" xfId="11666" xr:uid="{BEF863F7-1EEF-4ADA-8603-73CBA74B07EC}"/>
    <cellStyle name="Normal 9 2 2 5 3" xfId="5289" xr:uid="{00000000-0005-0000-0000-0000FD1E0000}"/>
    <cellStyle name="Normal 9 2 2 5 3 2" xfId="13739" xr:uid="{1541904C-8E0C-4A4C-9F3C-7FC5636C32F1}"/>
    <cellStyle name="Normal 9 2 2 5 4" xfId="9521" xr:uid="{20F38B09-E2AF-4D7C-AE44-83827DD6E568}"/>
    <cellStyle name="Normal 9 2 2 6" xfId="1395" xr:uid="{00000000-0005-0000-0000-0000FE1E0000}"/>
    <cellStyle name="Normal 9 2 2 6 2" xfId="3625" xr:uid="{00000000-0005-0000-0000-0000FF1E0000}"/>
    <cellStyle name="Normal 9 2 2 6 2 2" xfId="7847" xr:uid="{00000000-0005-0000-0000-0000001F0000}"/>
    <cellStyle name="Normal 9 2 2 6 2 2 2" xfId="16297" xr:uid="{9EA18741-31FC-4120-B9C7-6D7E274CF5AD}"/>
    <cellStyle name="Normal 9 2 2 6 2 3" xfId="12079" xr:uid="{8EDB8233-F733-421A-81AA-A42C77EDFE66}"/>
    <cellStyle name="Normal 9 2 2 6 3" xfId="5702" xr:uid="{00000000-0005-0000-0000-0000011F0000}"/>
    <cellStyle name="Normal 9 2 2 6 3 2" xfId="14152" xr:uid="{CF0D56CF-21AC-4993-82B7-4A1F3ADCB9AE}"/>
    <cellStyle name="Normal 9 2 2 6 4" xfId="9934" xr:uid="{FA8BF911-35D9-47FE-B692-6E459533DF13}"/>
    <cellStyle name="Normal 9 2 2 7" xfId="1808" xr:uid="{00000000-0005-0000-0000-0000021F0000}"/>
    <cellStyle name="Normal 9 2 2 7 2" xfId="4038" xr:uid="{00000000-0005-0000-0000-0000031F0000}"/>
    <cellStyle name="Normal 9 2 2 7 2 2" xfId="8260" xr:uid="{00000000-0005-0000-0000-0000041F0000}"/>
    <cellStyle name="Normal 9 2 2 7 2 2 2" xfId="16710" xr:uid="{A9E150B2-BB11-416E-98D5-410E63ECBE71}"/>
    <cellStyle name="Normal 9 2 2 7 2 3" xfId="12492" xr:uid="{AF129879-7BFF-4B58-8BAE-0E5C3BC8AF06}"/>
    <cellStyle name="Normal 9 2 2 7 3" xfId="6115" xr:uid="{00000000-0005-0000-0000-0000051F0000}"/>
    <cellStyle name="Normal 9 2 2 7 3 2" xfId="14565" xr:uid="{E86CFACA-839B-485A-B477-8CD4C36D79D2}"/>
    <cellStyle name="Normal 9 2 2 7 4" xfId="10347" xr:uid="{8AC63BB6-14D0-437D-8B53-4DD39685BB74}"/>
    <cellStyle name="Normal 9 2 2 8" xfId="2222" xr:uid="{00000000-0005-0000-0000-0000061F0000}"/>
    <cellStyle name="Normal 9 2 2 8 2" xfId="4451" xr:uid="{00000000-0005-0000-0000-0000071F0000}"/>
    <cellStyle name="Normal 9 2 2 8 2 2" xfId="8673" xr:uid="{00000000-0005-0000-0000-0000081F0000}"/>
    <cellStyle name="Normal 9 2 2 8 2 2 2" xfId="17123" xr:uid="{3C096C8C-FC53-4693-879D-AB9EAE07AA29}"/>
    <cellStyle name="Normal 9 2 2 8 2 3" xfId="12905" xr:uid="{F3BAE105-262A-45CD-A451-F8DD0E21C596}"/>
    <cellStyle name="Normal 9 2 2 8 3" xfId="6528" xr:uid="{00000000-0005-0000-0000-0000091F0000}"/>
    <cellStyle name="Normal 9 2 2 8 3 2" xfId="14978" xr:uid="{97D1E589-C5DC-475C-B4DF-7416BA8AC231}"/>
    <cellStyle name="Normal 9 2 2 8 4" xfId="10760" xr:uid="{EEDF92D6-444D-43D2-88FA-E84EA5AA1952}"/>
    <cellStyle name="Normal 9 2 2 9" xfId="2658" xr:uid="{00000000-0005-0000-0000-00000A1F0000}"/>
    <cellStyle name="Normal 9 2 2 9 2" xfId="6941" xr:uid="{00000000-0005-0000-0000-00000B1F0000}"/>
    <cellStyle name="Normal 9 2 2 9 2 2" xfId="15391" xr:uid="{73FDB573-A290-4A43-8470-E4599D833238}"/>
    <cellStyle name="Normal 9 2 2 9 3" xfId="11173" xr:uid="{F0B25086-3874-4970-A9C9-42E4DE839DAC}"/>
    <cellStyle name="Normal 9 2 3" xfId="520" xr:uid="{00000000-0005-0000-0000-00000C1F0000}"/>
    <cellStyle name="Normal 9 2 3 10" xfId="9116" xr:uid="{008ED30D-3B9A-4253-BFB8-75C02A6AC97E}"/>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15894" xr:uid="{6F82AFFD-8E43-460B-B53F-93AAE1F610C9}"/>
    <cellStyle name="Normal 9 2 3 2 2 2 2 3" xfId="11676" xr:uid="{5A95F41D-DFC6-42E1-A67E-9E1BA91E4B64}"/>
    <cellStyle name="Normal 9 2 3 2 2 2 3" xfId="5299" xr:uid="{00000000-0005-0000-0000-0000121F0000}"/>
    <cellStyle name="Normal 9 2 3 2 2 2 3 2" xfId="13749" xr:uid="{4D6B8CD0-CC4D-4E6B-BD07-43C0ED8DD4F6}"/>
    <cellStyle name="Normal 9 2 3 2 2 2 4" xfId="9531" xr:uid="{AA6A96A0-4B8A-464E-AD67-B77F9EDABE9C}"/>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16307" xr:uid="{A1AD94B0-457C-41DA-9786-540D802EBA4C}"/>
    <cellStyle name="Normal 9 2 3 2 2 3 2 3" xfId="12089" xr:uid="{7CA678FB-19A0-4C92-8332-DC57BFFCEFE7}"/>
    <cellStyle name="Normal 9 2 3 2 2 3 3" xfId="5712" xr:uid="{00000000-0005-0000-0000-0000161F0000}"/>
    <cellStyle name="Normal 9 2 3 2 2 3 3 2" xfId="14162" xr:uid="{55D9D99A-AF0C-473F-AEA4-CE74A36571F9}"/>
    <cellStyle name="Normal 9 2 3 2 2 3 4" xfId="9944" xr:uid="{ACBB01C3-5ECC-4520-8DE1-2E5103A4FBF1}"/>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16720" xr:uid="{2C9C799C-D8D9-458A-8FF1-AE09061D34CD}"/>
    <cellStyle name="Normal 9 2 3 2 2 4 2 3" xfId="12502" xr:uid="{BB3A6BD0-8A5F-42AC-8680-F6FB8D4C0D46}"/>
    <cellStyle name="Normal 9 2 3 2 2 4 3" xfId="6125" xr:uid="{00000000-0005-0000-0000-00001A1F0000}"/>
    <cellStyle name="Normal 9 2 3 2 2 4 3 2" xfId="14575" xr:uid="{BF846C49-800E-4449-B518-295557199FA1}"/>
    <cellStyle name="Normal 9 2 3 2 2 4 4" xfId="10357" xr:uid="{F875D9B9-D34F-46C8-B54D-DEFFDAE9CD8C}"/>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17133" xr:uid="{AA85DDCB-4A44-4F0A-B793-D0259BFEB8D8}"/>
    <cellStyle name="Normal 9 2 3 2 2 5 2 3" xfId="12915" xr:uid="{3AF52EC7-CBBC-40BE-BE13-1492528CEEF6}"/>
    <cellStyle name="Normal 9 2 3 2 2 5 3" xfId="6538" xr:uid="{00000000-0005-0000-0000-00001E1F0000}"/>
    <cellStyle name="Normal 9 2 3 2 2 5 3 2" xfId="14988" xr:uid="{C0D20284-B402-4785-B0CF-18C835AF0BA4}"/>
    <cellStyle name="Normal 9 2 3 2 2 5 4" xfId="10770" xr:uid="{2A2A33DE-C2D0-439C-B4B6-1486406847E4}"/>
    <cellStyle name="Normal 9 2 3 2 2 6" xfId="2668" xr:uid="{00000000-0005-0000-0000-00001F1F0000}"/>
    <cellStyle name="Normal 9 2 3 2 2 6 2" xfId="6951" xr:uid="{00000000-0005-0000-0000-0000201F0000}"/>
    <cellStyle name="Normal 9 2 3 2 2 6 2 2" xfId="15401" xr:uid="{BCFB548A-5D3A-401D-AF8E-FD85F0F8E351}"/>
    <cellStyle name="Normal 9 2 3 2 2 6 3" xfId="11183" xr:uid="{6FA37538-8270-4192-816B-E24AD71244B9}"/>
    <cellStyle name="Normal 9 2 3 2 2 7" xfId="4886" xr:uid="{00000000-0005-0000-0000-0000211F0000}"/>
    <cellStyle name="Normal 9 2 3 2 2 7 2" xfId="13336" xr:uid="{8DE18E99-6CFD-4CD3-888E-13F2EDA3645C}"/>
    <cellStyle name="Normal 9 2 3 2 2 8" xfId="9118" xr:uid="{7324C6A4-4DFE-4732-B8B4-D179445CE6CF}"/>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15893" xr:uid="{8A88D39E-5951-4242-90D8-C43A416D086A}"/>
    <cellStyle name="Normal 9 2 3 2 3 2 3" xfId="11675" xr:uid="{97C131FD-FFE1-4C8C-A782-2B6C38616D5A}"/>
    <cellStyle name="Normal 9 2 3 2 3 3" xfId="5298" xr:uid="{00000000-0005-0000-0000-0000251F0000}"/>
    <cellStyle name="Normal 9 2 3 2 3 3 2" xfId="13748" xr:uid="{6607E18B-8AFE-4E43-91C4-583ABEE38BC9}"/>
    <cellStyle name="Normal 9 2 3 2 3 4" xfId="9530" xr:uid="{42F09793-64BB-43EF-A963-16074226DA17}"/>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16306" xr:uid="{D34B09D1-E519-4260-B536-64513E579BE1}"/>
    <cellStyle name="Normal 9 2 3 2 4 2 3" xfId="12088" xr:uid="{EC1EE212-7BB5-4847-A527-04900D7446D3}"/>
    <cellStyle name="Normal 9 2 3 2 4 3" xfId="5711" xr:uid="{00000000-0005-0000-0000-0000291F0000}"/>
    <cellStyle name="Normal 9 2 3 2 4 3 2" xfId="14161" xr:uid="{3123D689-5666-4442-95BC-271B3A73F482}"/>
    <cellStyle name="Normal 9 2 3 2 4 4" xfId="9943" xr:uid="{945CD139-40C4-4542-A0C3-27D102BB8737}"/>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16719" xr:uid="{DB8ADCA9-5C53-4077-A876-9341145A9EA8}"/>
    <cellStyle name="Normal 9 2 3 2 5 2 3" xfId="12501" xr:uid="{B17EB490-35BE-43DD-A9F2-313F822E7F98}"/>
    <cellStyle name="Normal 9 2 3 2 5 3" xfId="6124" xr:uid="{00000000-0005-0000-0000-00002D1F0000}"/>
    <cellStyle name="Normal 9 2 3 2 5 3 2" xfId="14574" xr:uid="{E528BFC1-4E59-4AB0-BB8C-05C2B5217183}"/>
    <cellStyle name="Normal 9 2 3 2 5 4" xfId="10356" xr:uid="{CF2ABDA3-EC78-4864-87AD-3292618C34CF}"/>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17132" xr:uid="{B7D2A7F7-A1CC-45B4-B507-6E337D04F39A}"/>
    <cellStyle name="Normal 9 2 3 2 6 2 3" xfId="12914" xr:uid="{BA9523FE-F899-4573-813C-E0B6251244F9}"/>
    <cellStyle name="Normal 9 2 3 2 6 3" xfId="6537" xr:uid="{00000000-0005-0000-0000-0000311F0000}"/>
    <cellStyle name="Normal 9 2 3 2 6 3 2" xfId="14987" xr:uid="{C66821F5-3DB2-461C-8B16-9ADEFBE6F3BE}"/>
    <cellStyle name="Normal 9 2 3 2 6 4" xfId="10769" xr:uid="{DA20921C-145E-4148-B16A-ED8EE4F95895}"/>
    <cellStyle name="Normal 9 2 3 2 7" xfId="2667" xr:uid="{00000000-0005-0000-0000-0000321F0000}"/>
    <cellStyle name="Normal 9 2 3 2 7 2" xfId="6950" xr:uid="{00000000-0005-0000-0000-0000331F0000}"/>
    <cellStyle name="Normal 9 2 3 2 7 2 2" xfId="15400" xr:uid="{DDF2E5C9-F288-4BC9-981D-6CE2554502B8}"/>
    <cellStyle name="Normal 9 2 3 2 7 3" xfId="11182" xr:uid="{D6A07C7A-6DD8-48B7-A9D0-FEE72AF019F4}"/>
    <cellStyle name="Normal 9 2 3 2 8" xfId="4885" xr:uid="{00000000-0005-0000-0000-0000341F0000}"/>
    <cellStyle name="Normal 9 2 3 2 8 2" xfId="13335" xr:uid="{EF99A5B0-E9BA-4C91-B656-0CBEE0F5C43B}"/>
    <cellStyle name="Normal 9 2 3 2 9" xfId="9117" xr:uid="{80638789-DC7B-4AB9-87B1-5881B472F4DE}"/>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15895" xr:uid="{878878B3-87DB-4647-AA77-9FCF3AE3345B}"/>
    <cellStyle name="Normal 9 2 3 3 2 2 3" xfId="11677" xr:uid="{31CC01AC-1D80-499A-9560-4F7E5983313C}"/>
    <cellStyle name="Normal 9 2 3 3 2 3" xfId="5300" xr:uid="{00000000-0005-0000-0000-0000391F0000}"/>
    <cellStyle name="Normal 9 2 3 3 2 3 2" xfId="13750" xr:uid="{A1845958-8053-4651-8D70-74F08225D910}"/>
    <cellStyle name="Normal 9 2 3 3 2 4" xfId="9532" xr:uid="{D0D1E0D8-3109-425E-81C1-6428181A5AAC}"/>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16308" xr:uid="{EE65BB95-7F1C-4308-AAA9-93C2E3C03B95}"/>
    <cellStyle name="Normal 9 2 3 3 3 2 3" xfId="12090" xr:uid="{E85C00A8-0DB7-4797-98C2-65AF45FDD404}"/>
    <cellStyle name="Normal 9 2 3 3 3 3" xfId="5713" xr:uid="{00000000-0005-0000-0000-00003D1F0000}"/>
    <cellStyle name="Normal 9 2 3 3 3 3 2" xfId="14163" xr:uid="{3898C4D6-7BD5-4B5B-9D06-09A4003FB3B7}"/>
    <cellStyle name="Normal 9 2 3 3 3 4" xfId="9945" xr:uid="{618B72A1-49EC-488D-995B-5C199FDE11B1}"/>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16721" xr:uid="{573C2892-82D2-42F0-A584-616D90C85509}"/>
    <cellStyle name="Normal 9 2 3 3 4 2 3" xfId="12503" xr:uid="{366A1459-1A5A-4591-888C-E10E969C2903}"/>
    <cellStyle name="Normal 9 2 3 3 4 3" xfId="6126" xr:uid="{00000000-0005-0000-0000-0000411F0000}"/>
    <cellStyle name="Normal 9 2 3 3 4 3 2" xfId="14576" xr:uid="{485C4065-FD0F-4058-A245-1F6292D648FD}"/>
    <cellStyle name="Normal 9 2 3 3 4 4" xfId="10358" xr:uid="{25B32C79-A326-4DF9-BCA9-9A40A6984A77}"/>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17134" xr:uid="{A1AD0187-08FB-4704-B8FE-066899EB36D4}"/>
    <cellStyle name="Normal 9 2 3 3 5 2 3" xfId="12916" xr:uid="{698F0B73-C3DB-4639-B16E-8EFBF1A1738E}"/>
    <cellStyle name="Normal 9 2 3 3 5 3" xfId="6539" xr:uid="{00000000-0005-0000-0000-0000451F0000}"/>
    <cellStyle name="Normal 9 2 3 3 5 3 2" xfId="14989" xr:uid="{B7949AE7-985F-455C-987D-CA83DE964698}"/>
    <cellStyle name="Normal 9 2 3 3 5 4" xfId="10771" xr:uid="{4A726BFE-7441-484C-8AC7-69D145CA9597}"/>
    <cellStyle name="Normal 9 2 3 3 6" xfId="2669" xr:uid="{00000000-0005-0000-0000-0000461F0000}"/>
    <cellStyle name="Normal 9 2 3 3 6 2" xfId="6952" xr:uid="{00000000-0005-0000-0000-0000471F0000}"/>
    <cellStyle name="Normal 9 2 3 3 6 2 2" xfId="15402" xr:uid="{E904FC7F-70F3-49E8-8090-F49CE13FDEFD}"/>
    <cellStyle name="Normal 9 2 3 3 6 3" xfId="11184" xr:uid="{B6DAD583-9C89-4AC3-894B-4006C95C3D14}"/>
    <cellStyle name="Normal 9 2 3 3 7" xfId="4887" xr:uid="{00000000-0005-0000-0000-0000481F0000}"/>
    <cellStyle name="Normal 9 2 3 3 7 2" xfId="13337" xr:uid="{11F4D4C0-ACCE-4FB1-8D95-F2A1954DB5DB}"/>
    <cellStyle name="Normal 9 2 3 3 8" xfId="9119" xr:uid="{DB8BC4A6-1AD8-4999-8098-C5503502C7C3}"/>
    <cellStyle name="Normal 9 2 3 4" xfId="987" xr:uid="{00000000-0005-0000-0000-0000491F0000}"/>
    <cellStyle name="Normal 9 2 3 4 2" xfId="3220" xr:uid="{00000000-0005-0000-0000-00004A1F0000}"/>
    <cellStyle name="Normal 9 2 3 4 2 2" xfId="7442" xr:uid="{00000000-0005-0000-0000-00004B1F0000}"/>
    <cellStyle name="Normal 9 2 3 4 2 2 2" xfId="15892" xr:uid="{C47146F4-EAEE-4742-A02B-B441628996C1}"/>
    <cellStyle name="Normal 9 2 3 4 2 3" xfId="11674" xr:uid="{640FEAA4-D23E-49B7-9214-C402DFE0259F}"/>
    <cellStyle name="Normal 9 2 3 4 3" xfId="5297" xr:uid="{00000000-0005-0000-0000-00004C1F0000}"/>
    <cellStyle name="Normal 9 2 3 4 3 2" xfId="13747" xr:uid="{2F38032C-FF5A-4667-868C-0765A7AF5CD0}"/>
    <cellStyle name="Normal 9 2 3 4 4" xfId="9529" xr:uid="{86E47BEA-DAD6-4277-BA38-8320011AC432}"/>
    <cellStyle name="Normal 9 2 3 5" xfId="1403" xr:uid="{00000000-0005-0000-0000-00004D1F0000}"/>
    <cellStyle name="Normal 9 2 3 5 2" xfId="3633" xr:uid="{00000000-0005-0000-0000-00004E1F0000}"/>
    <cellStyle name="Normal 9 2 3 5 2 2" xfId="7855" xr:uid="{00000000-0005-0000-0000-00004F1F0000}"/>
    <cellStyle name="Normal 9 2 3 5 2 2 2" xfId="16305" xr:uid="{85C962F1-6478-48F4-A857-95FF562A0DD3}"/>
    <cellStyle name="Normal 9 2 3 5 2 3" xfId="12087" xr:uid="{0AB42789-1130-43E9-8674-9895A8939119}"/>
    <cellStyle name="Normal 9 2 3 5 3" xfId="5710" xr:uid="{00000000-0005-0000-0000-0000501F0000}"/>
    <cellStyle name="Normal 9 2 3 5 3 2" xfId="14160" xr:uid="{269A26D4-DFAB-433F-BFA9-202D5CF8FB84}"/>
    <cellStyle name="Normal 9 2 3 5 4" xfId="9942" xr:uid="{26BC68E3-540F-4AD1-B252-D06207A14A72}"/>
    <cellStyle name="Normal 9 2 3 6" xfId="1816" xr:uid="{00000000-0005-0000-0000-0000511F0000}"/>
    <cellStyle name="Normal 9 2 3 6 2" xfId="4046" xr:uid="{00000000-0005-0000-0000-0000521F0000}"/>
    <cellStyle name="Normal 9 2 3 6 2 2" xfId="8268" xr:uid="{00000000-0005-0000-0000-0000531F0000}"/>
    <cellStyle name="Normal 9 2 3 6 2 2 2" xfId="16718" xr:uid="{A316843C-92E7-4D57-BBBF-0AF8348EDB3D}"/>
    <cellStyle name="Normal 9 2 3 6 2 3" xfId="12500" xr:uid="{5D87B158-33F7-41C1-A1D9-011EA4B529DD}"/>
    <cellStyle name="Normal 9 2 3 6 3" xfId="6123" xr:uid="{00000000-0005-0000-0000-0000541F0000}"/>
    <cellStyle name="Normal 9 2 3 6 3 2" xfId="14573" xr:uid="{5A1B86E1-9E1A-4FFE-864B-9A61C8B6A6BB}"/>
    <cellStyle name="Normal 9 2 3 6 4" xfId="10355" xr:uid="{8726146D-C26A-4D26-806E-5B0E92FA3B54}"/>
    <cellStyle name="Normal 9 2 3 7" xfId="2230" xr:uid="{00000000-0005-0000-0000-0000551F0000}"/>
    <cellStyle name="Normal 9 2 3 7 2" xfId="4459" xr:uid="{00000000-0005-0000-0000-0000561F0000}"/>
    <cellStyle name="Normal 9 2 3 7 2 2" xfId="8681" xr:uid="{00000000-0005-0000-0000-0000571F0000}"/>
    <cellStyle name="Normal 9 2 3 7 2 2 2" xfId="17131" xr:uid="{9F46CFFD-8D46-4B9D-939D-D9C8559961C1}"/>
    <cellStyle name="Normal 9 2 3 7 2 3" xfId="12913" xr:uid="{A5A9EA6C-6D78-4499-8D91-FEFC3BDB5B79}"/>
    <cellStyle name="Normal 9 2 3 7 3" xfId="6536" xr:uid="{00000000-0005-0000-0000-0000581F0000}"/>
    <cellStyle name="Normal 9 2 3 7 3 2" xfId="14986" xr:uid="{C73A9117-9212-4468-80B9-0FD8F3F89B49}"/>
    <cellStyle name="Normal 9 2 3 7 4" xfId="10768" xr:uid="{1FFF54CA-7B29-48FD-9572-4809D66F92BC}"/>
    <cellStyle name="Normal 9 2 3 8" xfId="2666" xr:uid="{00000000-0005-0000-0000-0000591F0000}"/>
    <cellStyle name="Normal 9 2 3 8 2" xfId="6949" xr:uid="{00000000-0005-0000-0000-00005A1F0000}"/>
    <cellStyle name="Normal 9 2 3 8 2 2" xfId="15399" xr:uid="{A90E82BF-8F4D-4F68-8801-03959330B25A}"/>
    <cellStyle name="Normal 9 2 3 8 3" xfId="11181" xr:uid="{DB56CF84-AE9C-4F4D-B347-56A872FF3B31}"/>
    <cellStyle name="Normal 9 2 3 9" xfId="4884" xr:uid="{00000000-0005-0000-0000-00005B1F0000}"/>
    <cellStyle name="Normal 9 2 3 9 2" xfId="13334" xr:uid="{5E46FBCA-9135-46A1-AC3B-DC1B34FD5D91}"/>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15897" xr:uid="{AC010606-8AB7-409F-BCEC-1C610078BB57}"/>
    <cellStyle name="Normal 9 2 4 2 2 2 3" xfId="11679" xr:uid="{B1F826A8-4234-4BE3-8771-4BEF33FBD433}"/>
    <cellStyle name="Normal 9 2 4 2 2 3" xfId="5302" xr:uid="{00000000-0005-0000-0000-0000611F0000}"/>
    <cellStyle name="Normal 9 2 4 2 2 3 2" xfId="13752" xr:uid="{C941B982-8C41-4838-BBF1-1D1E09E149F1}"/>
    <cellStyle name="Normal 9 2 4 2 2 4" xfId="9534" xr:uid="{7A4AA900-1B26-4358-89CF-046163BAF0CF}"/>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16310" xr:uid="{94D47B5A-B3EA-40F8-9BE7-36FFF09DE07B}"/>
    <cellStyle name="Normal 9 2 4 2 3 2 3" xfId="12092" xr:uid="{51CB6D81-3220-4E18-8463-03160877B8E9}"/>
    <cellStyle name="Normal 9 2 4 2 3 3" xfId="5715" xr:uid="{00000000-0005-0000-0000-0000651F0000}"/>
    <cellStyle name="Normal 9 2 4 2 3 3 2" xfId="14165" xr:uid="{CC64E0D1-8FBE-4C9F-A886-DF8181EF441B}"/>
    <cellStyle name="Normal 9 2 4 2 3 4" xfId="9947" xr:uid="{222E1E52-44FF-4C79-8FDB-A8281565E13B}"/>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16723" xr:uid="{C352477B-49FD-405D-BD58-C152D81BD429}"/>
    <cellStyle name="Normal 9 2 4 2 4 2 3" xfId="12505" xr:uid="{C8961863-CDAB-4D2B-9077-5B0607C76F59}"/>
    <cellStyle name="Normal 9 2 4 2 4 3" xfId="6128" xr:uid="{00000000-0005-0000-0000-0000691F0000}"/>
    <cellStyle name="Normal 9 2 4 2 4 3 2" xfId="14578" xr:uid="{0591A9D5-31FD-4722-BCC8-51F02074475D}"/>
    <cellStyle name="Normal 9 2 4 2 4 4" xfId="10360" xr:uid="{CAEFEB78-E8D8-407B-A5D3-02DF03934566}"/>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17136" xr:uid="{60319270-3F8B-4A8C-87F1-AF1B96DBAD4F}"/>
    <cellStyle name="Normal 9 2 4 2 5 2 3" xfId="12918" xr:uid="{5DE5E70C-8C0E-4ADB-9E27-038800B8168C}"/>
    <cellStyle name="Normal 9 2 4 2 5 3" xfId="6541" xr:uid="{00000000-0005-0000-0000-00006D1F0000}"/>
    <cellStyle name="Normal 9 2 4 2 5 3 2" xfId="14991" xr:uid="{E8E30B64-652C-4A5E-9895-40BF0C95B02C}"/>
    <cellStyle name="Normal 9 2 4 2 5 4" xfId="10773" xr:uid="{5DC4948E-C0ED-47DB-81CD-273C848003F2}"/>
    <cellStyle name="Normal 9 2 4 2 6" xfId="2671" xr:uid="{00000000-0005-0000-0000-00006E1F0000}"/>
    <cellStyle name="Normal 9 2 4 2 6 2" xfId="6954" xr:uid="{00000000-0005-0000-0000-00006F1F0000}"/>
    <cellStyle name="Normal 9 2 4 2 6 2 2" xfId="15404" xr:uid="{D5FEC856-893B-4474-B98F-80A1883767D8}"/>
    <cellStyle name="Normal 9 2 4 2 6 3" xfId="11186" xr:uid="{C5E5ED1F-7DD4-4582-B2E7-36C9F533ED74}"/>
    <cellStyle name="Normal 9 2 4 2 7" xfId="4889" xr:uid="{00000000-0005-0000-0000-0000701F0000}"/>
    <cellStyle name="Normal 9 2 4 2 7 2" xfId="13339" xr:uid="{45BAD038-12B9-4833-AB1D-87294572CBF6}"/>
    <cellStyle name="Normal 9 2 4 2 8" xfId="9121" xr:uid="{E2AB646E-00AE-473D-999A-E7C849D0AAED}"/>
    <cellStyle name="Normal 9 2 4 3" xfId="991" xr:uid="{00000000-0005-0000-0000-0000711F0000}"/>
    <cellStyle name="Normal 9 2 4 3 2" xfId="3224" xr:uid="{00000000-0005-0000-0000-0000721F0000}"/>
    <cellStyle name="Normal 9 2 4 3 2 2" xfId="7446" xr:uid="{00000000-0005-0000-0000-0000731F0000}"/>
    <cellStyle name="Normal 9 2 4 3 2 2 2" xfId="15896" xr:uid="{2AA1519F-FDD7-4801-85BC-CCC10498CA3E}"/>
    <cellStyle name="Normal 9 2 4 3 2 3" xfId="11678" xr:uid="{EA95905A-4504-47AB-979E-48DA0AE621A8}"/>
    <cellStyle name="Normal 9 2 4 3 3" xfId="5301" xr:uid="{00000000-0005-0000-0000-0000741F0000}"/>
    <cellStyle name="Normal 9 2 4 3 3 2" xfId="13751" xr:uid="{CA8E2E8A-F27B-4B60-85D1-702AA78EE97E}"/>
    <cellStyle name="Normal 9 2 4 3 4" xfId="9533" xr:uid="{9137BDDD-561B-4CDE-A2BC-5E771E304E2C}"/>
    <cellStyle name="Normal 9 2 4 4" xfId="1407" xr:uid="{00000000-0005-0000-0000-0000751F0000}"/>
    <cellStyle name="Normal 9 2 4 4 2" xfId="3637" xr:uid="{00000000-0005-0000-0000-0000761F0000}"/>
    <cellStyle name="Normal 9 2 4 4 2 2" xfId="7859" xr:uid="{00000000-0005-0000-0000-0000771F0000}"/>
    <cellStyle name="Normal 9 2 4 4 2 2 2" xfId="16309" xr:uid="{74C697DE-E9B5-49AC-B828-2D5D733548FD}"/>
    <cellStyle name="Normal 9 2 4 4 2 3" xfId="12091" xr:uid="{109AD407-7AC0-4E57-BDA6-F42D3706F0D7}"/>
    <cellStyle name="Normal 9 2 4 4 3" xfId="5714" xr:uid="{00000000-0005-0000-0000-0000781F0000}"/>
    <cellStyle name="Normal 9 2 4 4 3 2" xfId="14164" xr:uid="{E053D8BB-DE94-4566-B1C7-5399B7EC1733}"/>
    <cellStyle name="Normal 9 2 4 4 4" xfId="9946" xr:uid="{8E0695CF-DB3E-407F-B0A3-55B967FD3073}"/>
    <cellStyle name="Normal 9 2 4 5" xfId="1820" xr:uid="{00000000-0005-0000-0000-0000791F0000}"/>
    <cellStyle name="Normal 9 2 4 5 2" xfId="4050" xr:uid="{00000000-0005-0000-0000-00007A1F0000}"/>
    <cellStyle name="Normal 9 2 4 5 2 2" xfId="8272" xr:uid="{00000000-0005-0000-0000-00007B1F0000}"/>
    <cellStyle name="Normal 9 2 4 5 2 2 2" xfId="16722" xr:uid="{A7FAE3BC-C3EF-4987-B0DD-179C674C1910}"/>
    <cellStyle name="Normal 9 2 4 5 2 3" xfId="12504" xr:uid="{6281B551-1800-4301-B19B-FBA2F092F84C}"/>
    <cellStyle name="Normal 9 2 4 5 3" xfId="6127" xr:uid="{00000000-0005-0000-0000-00007C1F0000}"/>
    <cellStyle name="Normal 9 2 4 5 3 2" xfId="14577" xr:uid="{F26DB3F2-B6C3-4E3A-AB4F-1AFC4A1FD510}"/>
    <cellStyle name="Normal 9 2 4 5 4" xfId="10359" xr:uid="{BB40E8B4-10A8-44BD-850E-F0DF5C216055}"/>
    <cellStyle name="Normal 9 2 4 6" xfId="2234" xr:uid="{00000000-0005-0000-0000-00007D1F0000}"/>
    <cellStyle name="Normal 9 2 4 6 2" xfId="4463" xr:uid="{00000000-0005-0000-0000-00007E1F0000}"/>
    <cellStyle name="Normal 9 2 4 6 2 2" xfId="8685" xr:uid="{00000000-0005-0000-0000-00007F1F0000}"/>
    <cellStyle name="Normal 9 2 4 6 2 2 2" xfId="17135" xr:uid="{FEE0DD81-44D4-4AB3-9603-11678D0470D5}"/>
    <cellStyle name="Normal 9 2 4 6 2 3" xfId="12917" xr:uid="{B86FC63F-87ED-4E25-B77E-35F65A92D33D}"/>
    <cellStyle name="Normal 9 2 4 6 3" xfId="6540" xr:uid="{00000000-0005-0000-0000-0000801F0000}"/>
    <cellStyle name="Normal 9 2 4 6 3 2" xfId="14990" xr:uid="{95601045-E5AB-4902-A194-63D969DEA4A5}"/>
    <cellStyle name="Normal 9 2 4 6 4" xfId="10772" xr:uid="{86C98801-EAFD-4B4E-B242-1BAC1A1AA5D9}"/>
    <cellStyle name="Normal 9 2 4 7" xfId="2670" xr:uid="{00000000-0005-0000-0000-0000811F0000}"/>
    <cellStyle name="Normal 9 2 4 7 2" xfId="6953" xr:uid="{00000000-0005-0000-0000-0000821F0000}"/>
    <cellStyle name="Normal 9 2 4 7 2 2" xfId="15403" xr:uid="{5FEC217C-5ADD-4E13-B156-32A1DF87FC0F}"/>
    <cellStyle name="Normal 9 2 4 7 3" xfId="11185" xr:uid="{35D14308-ABD0-4640-954A-DEAF291A2BF7}"/>
    <cellStyle name="Normal 9 2 4 8" xfId="4888" xr:uid="{00000000-0005-0000-0000-0000831F0000}"/>
    <cellStyle name="Normal 9 2 4 8 2" xfId="13338" xr:uid="{97909B69-F910-4D7E-A542-E3EDCDBBE876}"/>
    <cellStyle name="Normal 9 2 4 9" xfId="9120" xr:uid="{399DD1D8-EAB5-401B-98F8-C9901AF5FB99}"/>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2 2 2" xfId="15898" xr:uid="{661D7F8A-AB8A-4D62-940A-39818894559E}"/>
    <cellStyle name="Normal 9 2 5 2 2 3" xfId="11680" xr:uid="{16491E46-DB77-463F-9F50-4A332280F8F6}"/>
    <cellStyle name="Normal 9 2 5 2 3" xfId="5303" xr:uid="{00000000-0005-0000-0000-0000881F0000}"/>
    <cellStyle name="Normal 9 2 5 2 3 2" xfId="13753" xr:uid="{658E26ED-4C83-47D9-B029-F76D0C1834E2}"/>
    <cellStyle name="Normal 9 2 5 2 4" xfId="9535" xr:uid="{A378568B-1CC4-4D9A-9478-41AB5CE1FC4D}"/>
    <cellStyle name="Normal 9 2 5 3" xfId="1409" xr:uid="{00000000-0005-0000-0000-0000891F0000}"/>
    <cellStyle name="Normal 9 2 5 3 2" xfId="3639" xr:uid="{00000000-0005-0000-0000-00008A1F0000}"/>
    <cellStyle name="Normal 9 2 5 3 2 2" xfId="7861" xr:uid="{00000000-0005-0000-0000-00008B1F0000}"/>
    <cellStyle name="Normal 9 2 5 3 2 2 2" xfId="16311" xr:uid="{246E28B2-C935-4EDD-9A63-BA474B68AA3E}"/>
    <cellStyle name="Normal 9 2 5 3 2 3" xfId="12093" xr:uid="{11D593E9-C79C-47FD-90FF-0677C533B6CC}"/>
    <cellStyle name="Normal 9 2 5 3 3" xfId="5716" xr:uid="{00000000-0005-0000-0000-00008C1F0000}"/>
    <cellStyle name="Normal 9 2 5 3 3 2" xfId="14166" xr:uid="{F33A504E-E704-4EF5-9849-F429361A769C}"/>
    <cellStyle name="Normal 9 2 5 3 4" xfId="9948" xr:uid="{D7D87A4C-8E6C-4957-844E-F815CDBDF301}"/>
    <cellStyle name="Normal 9 2 5 4" xfId="1822" xr:uid="{00000000-0005-0000-0000-00008D1F0000}"/>
    <cellStyle name="Normal 9 2 5 4 2" xfId="4052" xr:uid="{00000000-0005-0000-0000-00008E1F0000}"/>
    <cellStyle name="Normal 9 2 5 4 2 2" xfId="8274" xr:uid="{00000000-0005-0000-0000-00008F1F0000}"/>
    <cellStyle name="Normal 9 2 5 4 2 2 2" xfId="16724" xr:uid="{0BF4AA47-62B5-4997-A674-90F0B420AD3B}"/>
    <cellStyle name="Normal 9 2 5 4 2 3" xfId="12506" xr:uid="{057D067C-7B77-484B-B548-5C9DAF9FBABE}"/>
    <cellStyle name="Normal 9 2 5 4 3" xfId="6129" xr:uid="{00000000-0005-0000-0000-0000901F0000}"/>
    <cellStyle name="Normal 9 2 5 4 3 2" xfId="14579" xr:uid="{2C7F6EB7-08F3-48C6-B95A-0DE333DF65F7}"/>
    <cellStyle name="Normal 9 2 5 4 4" xfId="10361" xr:uid="{6D9DAB17-3866-488B-BFA2-1A17AFECF9A0}"/>
    <cellStyle name="Normal 9 2 5 5" xfId="2236" xr:uid="{00000000-0005-0000-0000-0000911F0000}"/>
    <cellStyle name="Normal 9 2 5 5 2" xfId="4465" xr:uid="{00000000-0005-0000-0000-0000921F0000}"/>
    <cellStyle name="Normal 9 2 5 5 2 2" xfId="8687" xr:uid="{00000000-0005-0000-0000-0000931F0000}"/>
    <cellStyle name="Normal 9 2 5 5 2 2 2" xfId="17137" xr:uid="{4B82EECF-4235-4A3C-8EE1-2DDA96BA8D16}"/>
    <cellStyle name="Normal 9 2 5 5 2 3" xfId="12919" xr:uid="{887DA51C-C0FE-4A66-88B5-B55C6B1EABDA}"/>
    <cellStyle name="Normal 9 2 5 5 3" xfId="6542" xr:uid="{00000000-0005-0000-0000-0000941F0000}"/>
    <cellStyle name="Normal 9 2 5 5 3 2" xfId="14992" xr:uid="{DE154EB2-E5C4-40F2-8FBE-475FF0599445}"/>
    <cellStyle name="Normal 9 2 5 5 4" xfId="10774" xr:uid="{8855AB49-A013-4456-AEA1-DEE0E37B7649}"/>
    <cellStyle name="Normal 9 2 5 6" xfId="2672" xr:uid="{00000000-0005-0000-0000-0000951F0000}"/>
    <cellStyle name="Normal 9 2 5 6 2" xfId="6955" xr:uid="{00000000-0005-0000-0000-0000961F0000}"/>
    <cellStyle name="Normal 9 2 5 6 2 2" xfId="15405" xr:uid="{7683495C-99FF-417D-8D05-275089F59541}"/>
    <cellStyle name="Normal 9 2 5 6 3" xfId="11187" xr:uid="{E2B2EAB2-6D52-4990-B56A-FF49F00AD78A}"/>
    <cellStyle name="Normal 9 2 5 7" xfId="4890" xr:uid="{00000000-0005-0000-0000-0000971F0000}"/>
    <cellStyle name="Normal 9 2 5 7 2" xfId="13340" xr:uid="{892CD642-3C83-4086-894E-E1494C4FB629}"/>
    <cellStyle name="Normal 9 2 5 8" xfId="9122" xr:uid="{398313F4-4542-40B5-9A63-D9867B1FC7A3}"/>
    <cellStyle name="Normal 9 2 6" xfId="978" xr:uid="{00000000-0005-0000-0000-0000981F0000}"/>
    <cellStyle name="Normal 9 2 6 2" xfId="3211" xr:uid="{00000000-0005-0000-0000-0000991F0000}"/>
    <cellStyle name="Normal 9 2 6 2 2" xfId="7433" xr:uid="{00000000-0005-0000-0000-00009A1F0000}"/>
    <cellStyle name="Normal 9 2 6 2 2 2" xfId="15883" xr:uid="{9D77F723-66C5-4596-B8F2-53D65EA6D706}"/>
    <cellStyle name="Normal 9 2 6 2 3" xfId="11665" xr:uid="{FDF9CB09-D90B-48D2-81D2-289EC2F8CCD4}"/>
    <cellStyle name="Normal 9 2 6 3" xfId="5288" xr:uid="{00000000-0005-0000-0000-00009B1F0000}"/>
    <cellStyle name="Normal 9 2 6 3 2" xfId="13738" xr:uid="{128D5E03-F48F-4459-AE4C-4427F4DE2CDC}"/>
    <cellStyle name="Normal 9 2 6 4" xfId="9520" xr:uid="{866A6C1C-508A-45FB-AEF0-7117588A3394}"/>
    <cellStyle name="Normal 9 2 7" xfId="1394" xr:uid="{00000000-0005-0000-0000-00009C1F0000}"/>
    <cellStyle name="Normal 9 2 7 2" xfId="3624" xr:uid="{00000000-0005-0000-0000-00009D1F0000}"/>
    <cellStyle name="Normal 9 2 7 2 2" xfId="7846" xr:uid="{00000000-0005-0000-0000-00009E1F0000}"/>
    <cellStyle name="Normal 9 2 7 2 2 2" xfId="16296" xr:uid="{F5D6F903-8451-4F2F-BF11-94D6E5ECC6C0}"/>
    <cellStyle name="Normal 9 2 7 2 3" xfId="12078" xr:uid="{46D1BEC5-0056-442E-BD00-C6847F020E4A}"/>
    <cellStyle name="Normal 9 2 7 3" xfId="5701" xr:uid="{00000000-0005-0000-0000-00009F1F0000}"/>
    <cellStyle name="Normal 9 2 7 3 2" xfId="14151" xr:uid="{F6972099-C99E-4F40-B87B-742207AD8B28}"/>
    <cellStyle name="Normal 9 2 7 4" xfId="9933" xr:uid="{17695451-E3C0-4A79-83F0-01830D84A4E7}"/>
    <cellStyle name="Normal 9 2 8" xfId="1807" xr:uid="{00000000-0005-0000-0000-0000A01F0000}"/>
    <cellStyle name="Normal 9 2 8 2" xfId="4037" xr:uid="{00000000-0005-0000-0000-0000A11F0000}"/>
    <cellStyle name="Normal 9 2 8 2 2" xfId="8259" xr:uid="{00000000-0005-0000-0000-0000A21F0000}"/>
    <cellStyle name="Normal 9 2 8 2 2 2" xfId="16709" xr:uid="{B00CD84A-2C73-4688-BB1B-D600475F11CF}"/>
    <cellStyle name="Normal 9 2 8 2 3" xfId="12491" xr:uid="{BDC2848F-7BFC-453A-8B49-6AB25C0950C0}"/>
    <cellStyle name="Normal 9 2 8 3" xfId="6114" xr:uid="{00000000-0005-0000-0000-0000A31F0000}"/>
    <cellStyle name="Normal 9 2 8 3 2" xfId="14564" xr:uid="{083DE2A4-A2E4-40DC-991C-15C966700CDF}"/>
    <cellStyle name="Normal 9 2 8 4" xfId="10346" xr:uid="{B4449B2E-A5F7-4ED1-AAC8-077DE4F6B890}"/>
    <cellStyle name="Normal 9 2 9" xfId="2221" xr:uid="{00000000-0005-0000-0000-0000A41F0000}"/>
    <cellStyle name="Normal 9 2 9 2" xfId="4450" xr:uid="{00000000-0005-0000-0000-0000A51F0000}"/>
    <cellStyle name="Normal 9 2 9 2 2" xfId="8672" xr:uid="{00000000-0005-0000-0000-0000A61F0000}"/>
    <cellStyle name="Normal 9 2 9 2 2 2" xfId="17122" xr:uid="{72B2AFD3-CE14-4982-A4CD-CEBFE9859E5B}"/>
    <cellStyle name="Normal 9 2 9 2 3" xfId="12904" xr:uid="{08E562E9-51A8-496C-ACAA-DBFACA2E1E27}"/>
    <cellStyle name="Normal 9 2 9 3" xfId="6527" xr:uid="{00000000-0005-0000-0000-0000A71F0000}"/>
    <cellStyle name="Normal 9 2 9 3 2" xfId="14977" xr:uid="{FB458B90-1AB7-4510-A6B5-2E6469D2B026}"/>
    <cellStyle name="Normal 9 2 9 4" xfId="10759" xr:uid="{092945F7-8513-4BEA-9F83-F83A212BA477}"/>
    <cellStyle name="Normal 9 3" xfId="527" xr:uid="{00000000-0005-0000-0000-0000A81F0000}"/>
    <cellStyle name="Normal 9 3 10" xfId="4891" xr:uid="{00000000-0005-0000-0000-0000A91F0000}"/>
    <cellStyle name="Normal 9 3 10 2" xfId="13341" xr:uid="{C4365428-6FDD-414F-BAA1-24FBC34051A2}"/>
    <cellStyle name="Normal 9 3 11" xfId="9123" xr:uid="{65EB1D9E-7F8B-4222-B394-297C17F0D2FE}"/>
    <cellStyle name="Normal 9 3 2" xfId="528" xr:uid="{00000000-0005-0000-0000-0000AA1F0000}"/>
    <cellStyle name="Normal 9 3 2 10" xfId="9124" xr:uid="{11744ECB-3B8A-46EE-AC4F-B7CE9D7966A5}"/>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15902" xr:uid="{80DD06D6-96A3-44F7-990D-8ED335CA9EBF}"/>
    <cellStyle name="Normal 9 3 2 2 2 2 2 3" xfId="11684" xr:uid="{F8F02B38-F159-4323-988E-C54AAE707252}"/>
    <cellStyle name="Normal 9 3 2 2 2 2 3" xfId="5307" xr:uid="{00000000-0005-0000-0000-0000B01F0000}"/>
    <cellStyle name="Normal 9 3 2 2 2 2 3 2" xfId="13757" xr:uid="{04D87565-AE72-44CD-88FC-A825289C757E}"/>
    <cellStyle name="Normal 9 3 2 2 2 2 4" xfId="9539" xr:uid="{490B346B-9BE1-4F07-A801-5A42D7DC494D}"/>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16315" xr:uid="{28E4C2AD-838B-441C-99C1-8704F505E7BC}"/>
    <cellStyle name="Normal 9 3 2 2 2 3 2 3" xfId="12097" xr:uid="{77BE9ACB-4AF7-4D19-AE5F-AE25110FF930}"/>
    <cellStyle name="Normal 9 3 2 2 2 3 3" xfId="5720" xr:uid="{00000000-0005-0000-0000-0000B41F0000}"/>
    <cellStyle name="Normal 9 3 2 2 2 3 3 2" xfId="14170" xr:uid="{54773FA2-B6A0-4DF7-9C3D-8C51501E3DCE}"/>
    <cellStyle name="Normal 9 3 2 2 2 3 4" xfId="9952" xr:uid="{DED50331-6209-4C93-9D6A-4390B1BFBBBD}"/>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16728" xr:uid="{31184C62-B82B-49BB-A50C-ABD49A1FB7B4}"/>
    <cellStyle name="Normal 9 3 2 2 2 4 2 3" xfId="12510" xr:uid="{FBC302AD-6DD8-4C46-8CD5-2E68256D77B6}"/>
    <cellStyle name="Normal 9 3 2 2 2 4 3" xfId="6133" xr:uid="{00000000-0005-0000-0000-0000B81F0000}"/>
    <cellStyle name="Normal 9 3 2 2 2 4 3 2" xfId="14583" xr:uid="{25BF12BF-B1FA-40A7-A68F-CBA2692654A0}"/>
    <cellStyle name="Normal 9 3 2 2 2 4 4" xfId="10365" xr:uid="{8C725631-5AD4-4D0B-9D9F-F6C9DB76E4E4}"/>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17141" xr:uid="{075D9B8A-392C-4593-91FB-4C40B7648DA1}"/>
    <cellStyle name="Normal 9 3 2 2 2 5 2 3" xfId="12923" xr:uid="{88338343-E5F3-4021-80C3-389428FC7343}"/>
    <cellStyle name="Normal 9 3 2 2 2 5 3" xfId="6546" xr:uid="{00000000-0005-0000-0000-0000BC1F0000}"/>
    <cellStyle name="Normal 9 3 2 2 2 5 3 2" xfId="14996" xr:uid="{7055FB9A-F036-49D5-8B07-298FF52C85E5}"/>
    <cellStyle name="Normal 9 3 2 2 2 5 4" xfId="10778" xr:uid="{958EC877-1069-4766-971A-7440D2F9060A}"/>
    <cellStyle name="Normal 9 3 2 2 2 6" xfId="2676" xr:uid="{00000000-0005-0000-0000-0000BD1F0000}"/>
    <cellStyle name="Normal 9 3 2 2 2 6 2" xfId="6959" xr:uid="{00000000-0005-0000-0000-0000BE1F0000}"/>
    <cellStyle name="Normal 9 3 2 2 2 6 2 2" xfId="15409" xr:uid="{15CD972C-755A-41D4-8D5B-8271514A99E2}"/>
    <cellStyle name="Normal 9 3 2 2 2 6 3" xfId="11191" xr:uid="{EB11B813-5D3F-4A48-9149-E8937FB45BF5}"/>
    <cellStyle name="Normal 9 3 2 2 2 7" xfId="4894" xr:uid="{00000000-0005-0000-0000-0000BF1F0000}"/>
    <cellStyle name="Normal 9 3 2 2 2 7 2" xfId="13344" xr:uid="{36C8629A-9671-4A38-99D7-87C3CF91BE78}"/>
    <cellStyle name="Normal 9 3 2 2 2 8" xfId="9126" xr:uid="{4EED97A8-2A76-4A75-BD76-A01E3FB8A76E}"/>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15901" xr:uid="{1C3E3B94-9098-4EF5-9438-5EF1D473F5B6}"/>
    <cellStyle name="Normal 9 3 2 2 3 2 3" xfId="11683" xr:uid="{67E2CD90-3C5D-4DCC-BB90-0CBBBFD71D10}"/>
    <cellStyle name="Normal 9 3 2 2 3 3" xfId="5306" xr:uid="{00000000-0005-0000-0000-0000C31F0000}"/>
    <cellStyle name="Normal 9 3 2 2 3 3 2" xfId="13756" xr:uid="{F0647CDC-42E6-4005-AE9E-2AA99230EFAD}"/>
    <cellStyle name="Normal 9 3 2 2 3 4" xfId="9538" xr:uid="{AAFD25C4-E383-41ED-9C64-F06CC6B501F2}"/>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16314" xr:uid="{EEDFB254-CA3F-4A7D-B381-84FD34CF4941}"/>
    <cellStyle name="Normal 9 3 2 2 4 2 3" xfId="12096" xr:uid="{20CE1B2C-BAA7-49A6-9595-280A5DC9533A}"/>
    <cellStyle name="Normal 9 3 2 2 4 3" xfId="5719" xr:uid="{00000000-0005-0000-0000-0000C71F0000}"/>
    <cellStyle name="Normal 9 3 2 2 4 3 2" xfId="14169" xr:uid="{CC10C8C8-D384-4070-A300-2E8A394AD8B1}"/>
    <cellStyle name="Normal 9 3 2 2 4 4" xfId="9951" xr:uid="{E56A2908-738B-4547-98F7-8F6DFA9B661C}"/>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16727" xr:uid="{CB7219A1-0136-4FED-810B-069B50359CBB}"/>
    <cellStyle name="Normal 9 3 2 2 5 2 3" xfId="12509" xr:uid="{1534EB3D-E263-4A35-9D0C-8646CF72D3EE}"/>
    <cellStyle name="Normal 9 3 2 2 5 3" xfId="6132" xr:uid="{00000000-0005-0000-0000-0000CB1F0000}"/>
    <cellStyle name="Normal 9 3 2 2 5 3 2" xfId="14582" xr:uid="{ECB8BFA0-3BDB-45A8-82AE-1BFA0DB090FE}"/>
    <cellStyle name="Normal 9 3 2 2 5 4" xfId="10364" xr:uid="{308D844D-9716-4FF9-97CD-16525EC9544F}"/>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17140" xr:uid="{B902A3CF-DC2E-49B6-BB59-DA6D0F5EF52D}"/>
    <cellStyle name="Normal 9 3 2 2 6 2 3" xfId="12922" xr:uid="{B408D37D-17BA-4BDF-B44B-B5113F9A6475}"/>
    <cellStyle name="Normal 9 3 2 2 6 3" xfId="6545" xr:uid="{00000000-0005-0000-0000-0000CF1F0000}"/>
    <cellStyle name="Normal 9 3 2 2 6 3 2" xfId="14995" xr:uid="{C191EC7D-0235-4035-A3AD-85413D5E4E20}"/>
    <cellStyle name="Normal 9 3 2 2 6 4" xfId="10777" xr:uid="{4E6D4992-9151-43E8-81F5-99B5C4CBFE2F}"/>
    <cellStyle name="Normal 9 3 2 2 7" xfId="2675" xr:uid="{00000000-0005-0000-0000-0000D01F0000}"/>
    <cellStyle name="Normal 9 3 2 2 7 2" xfId="6958" xr:uid="{00000000-0005-0000-0000-0000D11F0000}"/>
    <cellStyle name="Normal 9 3 2 2 7 2 2" xfId="15408" xr:uid="{9F7CCAC5-2033-4685-AA2E-7995AEA3DC0F}"/>
    <cellStyle name="Normal 9 3 2 2 7 3" xfId="11190" xr:uid="{B204685E-3DDF-41F5-B0B9-FE1DA2E34ABC}"/>
    <cellStyle name="Normal 9 3 2 2 8" xfId="4893" xr:uid="{00000000-0005-0000-0000-0000D21F0000}"/>
    <cellStyle name="Normal 9 3 2 2 8 2" xfId="13343" xr:uid="{EFC4EF24-785F-41AC-BC91-097F0AD35FE7}"/>
    <cellStyle name="Normal 9 3 2 2 9" xfId="9125" xr:uid="{5E8E2C37-ADFE-4E5D-B115-73A5380A4A39}"/>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15903" xr:uid="{6211920F-3D3B-4D0D-A12F-478329F4B38C}"/>
    <cellStyle name="Normal 9 3 2 3 2 2 3" xfId="11685" xr:uid="{D669F239-4BEE-47CF-B65A-4AA3F603542E}"/>
    <cellStyle name="Normal 9 3 2 3 2 3" xfId="5308" xr:uid="{00000000-0005-0000-0000-0000D71F0000}"/>
    <cellStyle name="Normal 9 3 2 3 2 3 2" xfId="13758" xr:uid="{9541CF02-EE01-4568-BDDA-0B9C80F0D814}"/>
    <cellStyle name="Normal 9 3 2 3 2 4" xfId="9540" xr:uid="{721E7FF9-2DB3-4B5F-926C-E92803C85854}"/>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16316" xr:uid="{804A1356-A696-456E-BFFB-52A9CDDDD2A3}"/>
    <cellStyle name="Normal 9 3 2 3 3 2 3" xfId="12098" xr:uid="{ED58A167-6439-4064-B29E-72D88642EFB7}"/>
    <cellStyle name="Normal 9 3 2 3 3 3" xfId="5721" xr:uid="{00000000-0005-0000-0000-0000DB1F0000}"/>
    <cellStyle name="Normal 9 3 2 3 3 3 2" xfId="14171" xr:uid="{FE4884BD-57E2-4577-8B28-E4AD9FA1B701}"/>
    <cellStyle name="Normal 9 3 2 3 3 4" xfId="9953" xr:uid="{981E2FCE-9C40-467C-BCFA-EB31FEB3B41B}"/>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16729" xr:uid="{261A9E99-7EFE-43D8-90E6-F0A37A0C678E}"/>
    <cellStyle name="Normal 9 3 2 3 4 2 3" xfId="12511" xr:uid="{E8967DAB-F3A8-483A-A1A5-95A14C771814}"/>
    <cellStyle name="Normal 9 3 2 3 4 3" xfId="6134" xr:uid="{00000000-0005-0000-0000-0000DF1F0000}"/>
    <cellStyle name="Normal 9 3 2 3 4 3 2" xfId="14584" xr:uid="{9B1926AA-8CCC-4BF9-8ECD-C8E2DEB4F715}"/>
    <cellStyle name="Normal 9 3 2 3 4 4" xfId="10366" xr:uid="{981773CF-37B3-4D95-9003-EF8DEBFF409F}"/>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17142" xr:uid="{644C1FCC-9293-442F-80D6-3C2F036B984D}"/>
    <cellStyle name="Normal 9 3 2 3 5 2 3" xfId="12924" xr:uid="{D3C97DA0-40CA-4732-9038-C7F0A85E7402}"/>
    <cellStyle name="Normal 9 3 2 3 5 3" xfId="6547" xr:uid="{00000000-0005-0000-0000-0000E31F0000}"/>
    <cellStyle name="Normal 9 3 2 3 5 3 2" xfId="14997" xr:uid="{6A15F284-0C12-4BF5-BAD2-91C5059105B1}"/>
    <cellStyle name="Normal 9 3 2 3 5 4" xfId="10779" xr:uid="{143C07FE-BE1E-49C5-98F5-9F5837C84797}"/>
    <cellStyle name="Normal 9 3 2 3 6" xfId="2677" xr:uid="{00000000-0005-0000-0000-0000E41F0000}"/>
    <cellStyle name="Normal 9 3 2 3 6 2" xfId="6960" xr:uid="{00000000-0005-0000-0000-0000E51F0000}"/>
    <cellStyle name="Normal 9 3 2 3 6 2 2" xfId="15410" xr:uid="{C837769E-CAF2-46C4-9BDE-3E1282C67156}"/>
    <cellStyle name="Normal 9 3 2 3 6 3" xfId="11192" xr:uid="{EC813F33-B2C3-43D3-900B-DE79E4DE5702}"/>
    <cellStyle name="Normal 9 3 2 3 7" xfId="4895" xr:uid="{00000000-0005-0000-0000-0000E61F0000}"/>
    <cellStyle name="Normal 9 3 2 3 7 2" xfId="13345" xr:uid="{DEB9FACD-B76A-4360-AB33-191EE8213BE3}"/>
    <cellStyle name="Normal 9 3 2 3 8" xfId="9127" xr:uid="{FD875F67-C117-4DC4-8D92-DB5D44363598}"/>
    <cellStyle name="Normal 9 3 2 4" xfId="995" xr:uid="{00000000-0005-0000-0000-0000E71F0000}"/>
    <cellStyle name="Normal 9 3 2 4 2" xfId="3228" xr:uid="{00000000-0005-0000-0000-0000E81F0000}"/>
    <cellStyle name="Normal 9 3 2 4 2 2" xfId="7450" xr:uid="{00000000-0005-0000-0000-0000E91F0000}"/>
    <cellStyle name="Normal 9 3 2 4 2 2 2" xfId="15900" xr:uid="{7CD6F3DD-390E-475F-9493-17618D1A765F}"/>
    <cellStyle name="Normal 9 3 2 4 2 3" xfId="11682" xr:uid="{2D660BC0-F835-4CC1-B9C7-4E4532955A5B}"/>
    <cellStyle name="Normal 9 3 2 4 3" xfId="5305" xr:uid="{00000000-0005-0000-0000-0000EA1F0000}"/>
    <cellStyle name="Normal 9 3 2 4 3 2" xfId="13755" xr:uid="{8B36D789-C5C9-45D2-AC14-A12C35E3AA40}"/>
    <cellStyle name="Normal 9 3 2 4 4" xfId="9537" xr:uid="{00927DAC-BA36-4C58-A76F-62EF3756186B}"/>
    <cellStyle name="Normal 9 3 2 5" xfId="1411" xr:uid="{00000000-0005-0000-0000-0000EB1F0000}"/>
    <cellStyle name="Normal 9 3 2 5 2" xfId="3641" xr:uid="{00000000-0005-0000-0000-0000EC1F0000}"/>
    <cellStyle name="Normal 9 3 2 5 2 2" xfId="7863" xr:uid="{00000000-0005-0000-0000-0000ED1F0000}"/>
    <cellStyle name="Normal 9 3 2 5 2 2 2" xfId="16313" xr:uid="{45E9B740-5DF4-4BF0-80E8-D6C1F6039645}"/>
    <cellStyle name="Normal 9 3 2 5 2 3" xfId="12095" xr:uid="{A712B5EA-51DA-43C4-9210-EC28B34492C6}"/>
    <cellStyle name="Normal 9 3 2 5 3" xfId="5718" xr:uid="{00000000-0005-0000-0000-0000EE1F0000}"/>
    <cellStyle name="Normal 9 3 2 5 3 2" xfId="14168" xr:uid="{F94DBE43-C846-4554-9EE3-7F081560200D}"/>
    <cellStyle name="Normal 9 3 2 5 4" xfId="9950" xr:uid="{FFB34849-A08A-4C1D-87B7-4DF9C3823968}"/>
    <cellStyle name="Normal 9 3 2 6" xfId="1824" xr:uid="{00000000-0005-0000-0000-0000EF1F0000}"/>
    <cellStyle name="Normal 9 3 2 6 2" xfId="4054" xr:uid="{00000000-0005-0000-0000-0000F01F0000}"/>
    <cellStyle name="Normal 9 3 2 6 2 2" xfId="8276" xr:uid="{00000000-0005-0000-0000-0000F11F0000}"/>
    <cellStyle name="Normal 9 3 2 6 2 2 2" xfId="16726" xr:uid="{AE76B3FF-01C3-4376-95E4-AEAF1003AD29}"/>
    <cellStyle name="Normal 9 3 2 6 2 3" xfId="12508" xr:uid="{D2CA1FDE-DAEB-4D2F-AB41-9ACE0C17392E}"/>
    <cellStyle name="Normal 9 3 2 6 3" xfId="6131" xr:uid="{00000000-0005-0000-0000-0000F21F0000}"/>
    <cellStyle name="Normal 9 3 2 6 3 2" xfId="14581" xr:uid="{ABBCE42C-12D6-42CE-BD27-544123ED56C3}"/>
    <cellStyle name="Normal 9 3 2 6 4" xfId="10363" xr:uid="{4C0484DD-481C-4802-87A4-5EB0E0386648}"/>
    <cellStyle name="Normal 9 3 2 7" xfId="2238" xr:uid="{00000000-0005-0000-0000-0000F31F0000}"/>
    <cellStyle name="Normal 9 3 2 7 2" xfId="4467" xr:uid="{00000000-0005-0000-0000-0000F41F0000}"/>
    <cellStyle name="Normal 9 3 2 7 2 2" xfId="8689" xr:uid="{00000000-0005-0000-0000-0000F51F0000}"/>
    <cellStyle name="Normal 9 3 2 7 2 2 2" xfId="17139" xr:uid="{D77B3878-6FCF-480E-8708-748BED817AE0}"/>
    <cellStyle name="Normal 9 3 2 7 2 3" xfId="12921" xr:uid="{7EC18A43-90BD-4A11-8403-A9CD9B516F42}"/>
    <cellStyle name="Normal 9 3 2 7 3" xfId="6544" xr:uid="{00000000-0005-0000-0000-0000F61F0000}"/>
    <cellStyle name="Normal 9 3 2 7 3 2" xfId="14994" xr:uid="{48FD1B7A-469F-44A3-9DE8-07FB23A4C0D2}"/>
    <cellStyle name="Normal 9 3 2 7 4" xfId="10776" xr:uid="{C3E51225-318B-48A3-8E4E-25FD8A3D4266}"/>
    <cellStyle name="Normal 9 3 2 8" xfId="2674" xr:uid="{00000000-0005-0000-0000-0000F71F0000}"/>
    <cellStyle name="Normal 9 3 2 8 2" xfId="6957" xr:uid="{00000000-0005-0000-0000-0000F81F0000}"/>
    <cellStyle name="Normal 9 3 2 8 2 2" xfId="15407" xr:uid="{ED6AEE97-BC40-4D02-A9A8-5C38D3305BE7}"/>
    <cellStyle name="Normal 9 3 2 8 3" xfId="11189" xr:uid="{9B00E1D8-5AB4-4522-8BB2-7B8FF85BB36C}"/>
    <cellStyle name="Normal 9 3 2 9" xfId="4892" xr:uid="{00000000-0005-0000-0000-0000F91F0000}"/>
    <cellStyle name="Normal 9 3 2 9 2" xfId="13342" xr:uid="{2F18BCB5-6B7E-48F8-9111-87321DFA66F6}"/>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15905" xr:uid="{4169535D-8F6F-4412-B269-78E12D6D2F06}"/>
    <cellStyle name="Normal 9 3 3 2 2 2 3" xfId="11687" xr:uid="{6ACF36FF-1DC6-4D3C-8B75-A104AB3C33A0}"/>
    <cellStyle name="Normal 9 3 3 2 2 3" xfId="5310" xr:uid="{00000000-0005-0000-0000-0000FF1F0000}"/>
    <cellStyle name="Normal 9 3 3 2 2 3 2" xfId="13760" xr:uid="{7257261B-8200-4762-BDE9-659C54CD3EBA}"/>
    <cellStyle name="Normal 9 3 3 2 2 4" xfId="9542" xr:uid="{4D6DFA02-A048-4A40-9D48-2D0FAF39A9CB}"/>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16318" xr:uid="{32656204-2F15-4CF8-A0F1-AABEA34281AF}"/>
    <cellStyle name="Normal 9 3 3 2 3 2 3" xfId="12100" xr:uid="{7DCDE938-E6CF-41D1-A9AA-C472FEF71DFB}"/>
    <cellStyle name="Normal 9 3 3 2 3 3" xfId="5723" xr:uid="{00000000-0005-0000-0000-000003200000}"/>
    <cellStyle name="Normal 9 3 3 2 3 3 2" xfId="14173" xr:uid="{A523A027-A3CE-4211-A571-1C833C5F5F14}"/>
    <cellStyle name="Normal 9 3 3 2 3 4" xfId="9955" xr:uid="{A5680F1B-7A46-40CD-937E-79C6FE8DBC5A}"/>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16731" xr:uid="{9608DB7E-1B08-470D-B737-D596F2517B00}"/>
    <cellStyle name="Normal 9 3 3 2 4 2 3" xfId="12513" xr:uid="{AEFA218D-2852-423C-9D77-EB79E4C43B20}"/>
    <cellStyle name="Normal 9 3 3 2 4 3" xfId="6136" xr:uid="{00000000-0005-0000-0000-000007200000}"/>
    <cellStyle name="Normal 9 3 3 2 4 3 2" xfId="14586" xr:uid="{5ED42FFB-7B79-4B58-BBAA-AA259DA3B5BF}"/>
    <cellStyle name="Normal 9 3 3 2 4 4" xfId="10368" xr:uid="{754E374F-49EC-4E31-97D3-0804C1FEB49D}"/>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17144" xr:uid="{B55AB5E7-AE07-4B59-ACEA-E1ED5AB679CE}"/>
    <cellStyle name="Normal 9 3 3 2 5 2 3" xfId="12926" xr:uid="{3C4C393C-ED48-4CD4-9D14-07E959D7B93A}"/>
    <cellStyle name="Normal 9 3 3 2 5 3" xfId="6549" xr:uid="{00000000-0005-0000-0000-00000B200000}"/>
    <cellStyle name="Normal 9 3 3 2 5 3 2" xfId="14999" xr:uid="{9F1D00E6-4432-4C3B-9660-53901A43F0A5}"/>
    <cellStyle name="Normal 9 3 3 2 5 4" xfId="10781" xr:uid="{312589E0-73A6-41E4-9D17-5AB51401A9F2}"/>
    <cellStyle name="Normal 9 3 3 2 6" xfId="2679" xr:uid="{00000000-0005-0000-0000-00000C200000}"/>
    <cellStyle name="Normal 9 3 3 2 6 2" xfId="6962" xr:uid="{00000000-0005-0000-0000-00000D200000}"/>
    <cellStyle name="Normal 9 3 3 2 6 2 2" xfId="15412" xr:uid="{84247248-D23B-482D-B444-9E47D19060BA}"/>
    <cellStyle name="Normal 9 3 3 2 6 3" xfId="11194" xr:uid="{0AAAD49A-8635-4F8B-A61B-467C22FDA9D7}"/>
    <cellStyle name="Normal 9 3 3 2 7" xfId="4897" xr:uid="{00000000-0005-0000-0000-00000E200000}"/>
    <cellStyle name="Normal 9 3 3 2 7 2" xfId="13347" xr:uid="{7A711559-6CCB-446E-9CEC-3C3490E603C8}"/>
    <cellStyle name="Normal 9 3 3 2 8" xfId="9129" xr:uid="{196562F5-F258-453A-9918-5A0474DF2CB9}"/>
    <cellStyle name="Normal 9 3 3 3" xfId="999" xr:uid="{00000000-0005-0000-0000-00000F200000}"/>
    <cellStyle name="Normal 9 3 3 3 2" xfId="3232" xr:uid="{00000000-0005-0000-0000-000010200000}"/>
    <cellStyle name="Normal 9 3 3 3 2 2" xfId="7454" xr:uid="{00000000-0005-0000-0000-000011200000}"/>
    <cellStyle name="Normal 9 3 3 3 2 2 2" xfId="15904" xr:uid="{507B5F1A-5320-4932-9D52-7690FECB95F7}"/>
    <cellStyle name="Normal 9 3 3 3 2 3" xfId="11686" xr:uid="{7102EA45-AB13-43F5-BDB4-E82F784F03A7}"/>
    <cellStyle name="Normal 9 3 3 3 3" xfId="5309" xr:uid="{00000000-0005-0000-0000-000012200000}"/>
    <cellStyle name="Normal 9 3 3 3 3 2" xfId="13759" xr:uid="{D179EAAA-DF5D-4538-820D-980A0650F686}"/>
    <cellStyle name="Normal 9 3 3 3 4" xfId="9541" xr:uid="{84B5F360-12B9-4BE0-8C0F-D5156E8E17D0}"/>
    <cellStyle name="Normal 9 3 3 4" xfId="1415" xr:uid="{00000000-0005-0000-0000-000013200000}"/>
    <cellStyle name="Normal 9 3 3 4 2" xfId="3645" xr:uid="{00000000-0005-0000-0000-000014200000}"/>
    <cellStyle name="Normal 9 3 3 4 2 2" xfId="7867" xr:uid="{00000000-0005-0000-0000-000015200000}"/>
    <cellStyle name="Normal 9 3 3 4 2 2 2" xfId="16317" xr:uid="{083391BC-D099-4270-A9E8-B9926405033A}"/>
    <cellStyle name="Normal 9 3 3 4 2 3" xfId="12099" xr:uid="{AB79F42E-806F-4594-BEDA-C99A241A0890}"/>
    <cellStyle name="Normal 9 3 3 4 3" xfId="5722" xr:uid="{00000000-0005-0000-0000-000016200000}"/>
    <cellStyle name="Normal 9 3 3 4 3 2" xfId="14172" xr:uid="{1B56C205-DCE2-49E6-833B-91B9DAB8D52F}"/>
    <cellStyle name="Normal 9 3 3 4 4" xfId="9954" xr:uid="{844E3A1E-281B-488C-B1DD-6581E729341D}"/>
    <cellStyle name="Normal 9 3 3 5" xfId="1828" xr:uid="{00000000-0005-0000-0000-000017200000}"/>
    <cellStyle name="Normal 9 3 3 5 2" xfId="4058" xr:uid="{00000000-0005-0000-0000-000018200000}"/>
    <cellStyle name="Normal 9 3 3 5 2 2" xfId="8280" xr:uid="{00000000-0005-0000-0000-000019200000}"/>
    <cellStyle name="Normal 9 3 3 5 2 2 2" xfId="16730" xr:uid="{A0C291E0-B766-4E44-B99E-4B17715A973A}"/>
    <cellStyle name="Normal 9 3 3 5 2 3" xfId="12512" xr:uid="{339C208D-3147-4B5A-9902-4AC240C7A71E}"/>
    <cellStyle name="Normal 9 3 3 5 3" xfId="6135" xr:uid="{00000000-0005-0000-0000-00001A200000}"/>
    <cellStyle name="Normal 9 3 3 5 3 2" xfId="14585" xr:uid="{62A1FACB-62D6-415B-A578-10855BC18C95}"/>
    <cellStyle name="Normal 9 3 3 5 4" xfId="10367" xr:uid="{2B73D275-D57C-4099-B32C-C5470B324AC2}"/>
    <cellStyle name="Normal 9 3 3 6" xfId="2242" xr:uid="{00000000-0005-0000-0000-00001B200000}"/>
    <cellStyle name="Normal 9 3 3 6 2" xfId="4471" xr:uid="{00000000-0005-0000-0000-00001C200000}"/>
    <cellStyle name="Normal 9 3 3 6 2 2" xfId="8693" xr:uid="{00000000-0005-0000-0000-00001D200000}"/>
    <cellStyle name="Normal 9 3 3 6 2 2 2" xfId="17143" xr:uid="{DCE50F7C-5387-4F4D-8D83-5566F952BD28}"/>
    <cellStyle name="Normal 9 3 3 6 2 3" xfId="12925" xr:uid="{0A38F629-8A8F-423C-90BC-E3638169CAEE}"/>
    <cellStyle name="Normal 9 3 3 6 3" xfId="6548" xr:uid="{00000000-0005-0000-0000-00001E200000}"/>
    <cellStyle name="Normal 9 3 3 6 3 2" xfId="14998" xr:uid="{C03790FA-E2E2-41B6-9F78-3178138D6732}"/>
    <cellStyle name="Normal 9 3 3 6 4" xfId="10780" xr:uid="{5F30AB1C-0569-4581-842C-AB57E12A7A81}"/>
    <cellStyle name="Normal 9 3 3 7" xfId="2678" xr:uid="{00000000-0005-0000-0000-00001F200000}"/>
    <cellStyle name="Normal 9 3 3 7 2" xfId="6961" xr:uid="{00000000-0005-0000-0000-000020200000}"/>
    <cellStyle name="Normal 9 3 3 7 2 2" xfId="15411" xr:uid="{60E4E626-DDEE-44E3-9D98-336DEDD063A2}"/>
    <cellStyle name="Normal 9 3 3 7 3" xfId="11193" xr:uid="{BFE1A511-781B-4001-BCA0-8AF8031C76E3}"/>
    <cellStyle name="Normal 9 3 3 8" xfId="4896" xr:uid="{00000000-0005-0000-0000-000021200000}"/>
    <cellStyle name="Normal 9 3 3 8 2" xfId="13346" xr:uid="{E6911149-0114-461D-B17A-7BCBCA775A96}"/>
    <cellStyle name="Normal 9 3 3 9" xfId="9128" xr:uid="{E35D6070-E0F3-4900-B368-2369FD579A1B}"/>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2 2 2" xfId="15906" xr:uid="{6EE8CB8A-74B6-400A-9A8D-EA1E2298B9C2}"/>
    <cellStyle name="Normal 9 3 4 2 2 3" xfId="11688" xr:uid="{A7F5D473-26CB-49AF-BAA2-6A19C57974A8}"/>
    <cellStyle name="Normal 9 3 4 2 3" xfId="5311" xr:uid="{00000000-0005-0000-0000-000026200000}"/>
    <cellStyle name="Normal 9 3 4 2 3 2" xfId="13761" xr:uid="{FA76FD7C-32D4-44ED-A905-B80707C64805}"/>
    <cellStyle name="Normal 9 3 4 2 4" xfId="9543" xr:uid="{CFA6005B-9D9D-4B9E-B530-10A9D5047D12}"/>
    <cellStyle name="Normal 9 3 4 3" xfId="1417" xr:uid="{00000000-0005-0000-0000-000027200000}"/>
    <cellStyle name="Normal 9 3 4 3 2" xfId="3647" xr:uid="{00000000-0005-0000-0000-000028200000}"/>
    <cellStyle name="Normal 9 3 4 3 2 2" xfId="7869" xr:uid="{00000000-0005-0000-0000-000029200000}"/>
    <cellStyle name="Normal 9 3 4 3 2 2 2" xfId="16319" xr:uid="{2E725C3F-AE19-41D3-B7C4-55AE73C30E0D}"/>
    <cellStyle name="Normal 9 3 4 3 2 3" xfId="12101" xr:uid="{8B6113DD-A3EE-4025-8198-D0F3E8C6F40A}"/>
    <cellStyle name="Normal 9 3 4 3 3" xfId="5724" xr:uid="{00000000-0005-0000-0000-00002A200000}"/>
    <cellStyle name="Normal 9 3 4 3 3 2" xfId="14174" xr:uid="{8B5B7882-809D-4503-A467-4353129879C8}"/>
    <cellStyle name="Normal 9 3 4 3 4" xfId="9956" xr:uid="{5B9E1163-E23E-4430-8FB0-04A323DFFC78}"/>
    <cellStyle name="Normal 9 3 4 4" xfId="1830" xr:uid="{00000000-0005-0000-0000-00002B200000}"/>
    <cellStyle name="Normal 9 3 4 4 2" xfId="4060" xr:uid="{00000000-0005-0000-0000-00002C200000}"/>
    <cellStyle name="Normal 9 3 4 4 2 2" xfId="8282" xr:uid="{00000000-0005-0000-0000-00002D200000}"/>
    <cellStyle name="Normal 9 3 4 4 2 2 2" xfId="16732" xr:uid="{E7B929E3-6291-4B24-A1CB-22FD5542CE00}"/>
    <cellStyle name="Normal 9 3 4 4 2 3" xfId="12514" xr:uid="{689D439E-9522-4E72-8B70-2595E7F1C001}"/>
    <cellStyle name="Normal 9 3 4 4 3" xfId="6137" xr:uid="{00000000-0005-0000-0000-00002E200000}"/>
    <cellStyle name="Normal 9 3 4 4 3 2" xfId="14587" xr:uid="{0F4BFCE2-3B67-49C4-A116-79D450574312}"/>
    <cellStyle name="Normal 9 3 4 4 4" xfId="10369" xr:uid="{D7877EF7-C616-495A-9ECD-3C93DCE60D71}"/>
    <cellStyle name="Normal 9 3 4 5" xfId="2244" xr:uid="{00000000-0005-0000-0000-00002F200000}"/>
    <cellStyle name="Normal 9 3 4 5 2" xfId="4473" xr:uid="{00000000-0005-0000-0000-000030200000}"/>
    <cellStyle name="Normal 9 3 4 5 2 2" xfId="8695" xr:uid="{00000000-0005-0000-0000-000031200000}"/>
    <cellStyle name="Normal 9 3 4 5 2 2 2" xfId="17145" xr:uid="{7B1CA350-9E61-4B96-8EEC-774BB5D96A10}"/>
    <cellStyle name="Normal 9 3 4 5 2 3" xfId="12927" xr:uid="{7BFC5151-F60F-435C-82B3-88524CDF6072}"/>
    <cellStyle name="Normal 9 3 4 5 3" xfId="6550" xr:uid="{00000000-0005-0000-0000-000032200000}"/>
    <cellStyle name="Normal 9 3 4 5 3 2" xfId="15000" xr:uid="{F0B698EB-D01D-4B21-81C4-D307B46ADB23}"/>
    <cellStyle name="Normal 9 3 4 5 4" xfId="10782" xr:uid="{15028026-105E-43F0-B440-0B9148C4EFBB}"/>
    <cellStyle name="Normal 9 3 4 6" xfId="2680" xr:uid="{00000000-0005-0000-0000-000033200000}"/>
    <cellStyle name="Normal 9 3 4 6 2" xfId="6963" xr:uid="{00000000-0005-0000-0000-000034200000}"/>
    <cellStyle name="Normal 9 3 4 6 2 2" xfId="15413" xr:uid="{E154DBE4-EEEE-4438-B8AF-7A2A980810ED}"/>
    <cellStyle name="Normal 9 3 4 6 3" xfId="11195" xr:uid="{9023F831-CC9F-4402-8984-CC57D48CC258}"/>
    <cellStyle name="Normal 9 3 4 7" xfId="4898" xr:uid="{00000000-0005-0000-0000-000035200000}"/>
    <cellStyle name="Normal 9 3 4 7 2" xfId="13348" xr:uid="{5D20BB83-1970-46B5-AAA7-EB1E47452EB5}"/>
    <cellStyle name="Normal 9 3 4 8" xfId="9130" xr:uid="{32A08FF2-43E1-4A10-837A-8F045C55ECBA}"/>
    <cellStyle name="Normal 9 3 5" xfId="994" xr:uid="{00000000-0005-0000-0000-000036200000}"/>
    <cellStyle name="Normal 9 3 5 2" xfId="3227" xr:uid="{00000000-0005-0000-0000-000037200000}"/>
    <cellStyle name="Normal 9 3 5 2 2" xfId="7449" xr:uid="{00000000-0005-0000-0000-000038200000}"/>
    <cellStyle name="Normal 9 3 5 2 2 2" xfId="15899" xr:uid="{C81E9B95-23DE-47B3-A036-05B097D3D2BB}"/>
    <cellStyle name="Normal 9 3 5 2 3" xfId="11681" xr:uid="{4A34BE27-ABB0-4254-9885-D53DF3BC2F67}"/>
    <cellStyle name="Normal 9 3 5 3" xfId="5304" xr:uid="{00000000-0005-0000-0000-000039200000}"/>
    <cellStyle name="Normal 9 3 5 3 2" xfId="13754" xr:uid="{7E896FF0-C43F-41A0-81C3-D688EFB63F43}"/>
    <cellStyle name="Normal 9 3 5 4" xfId="9536" xr:uid="{95651074-476F-446E-9BC2-7AE91290E159}"/>
    <cellStyle name="Normal 9 3 6" xfId="1410" xr:uid="{00000000-0005-0000-0000-00003A200000}"/>
    <cellStyle name="Normal 9 3 6 2" xfId="3640" xr:uid="{00000000-0005-0000-0000-00003B200000}"/>
    <cellStyle name="Normal 9 3 6 2 2" xfId="7862" xr:uid="{00000000-0005-0000-0000-00003C200000}"/>
    <cellStyle name="Normal 9 3 6 2 2 2" xfId="16312" xr:uid="{E8E9B266-0D7F-4ECB-8823-61EECC0EC3BA}"/>
    <cellStyle name="Normal 9 3 6 2 3" xfId="12094" xr:uid="{83524C5A-366D-4701-9018-137E65EF5E5B}"/>
    <cellStyle name="Normal 9 3 6 3" xfId="5717" xr:uid="{00000000-0005-0000-0000-00003D200000}"/>
    <cellStyle name="Normal 9 3 6 3 2" xfId="14167" xr:uid="{8653052D-C7B9-418C-8C8B-CF362A2FFBD0}"/>
    <cellStyle name="Normal 9 3 6 4" xfId="9949" xr:uid="{7784868C-699D-4094-9AE8-1DFD9627C9B6}"/>
    <cellStyle name="Normal 9 3 7" xfId="1823" xr:uid="{00000000-0005-0000-0000-00003E200000}"/>
    <cellStyle name="Normal 9 3 7 2" xfId="4053" xr:uid="{00000000-0005-0000-0000-00003F200000}"/>
    <cellStyle name="Normal 9 3 7 2 2" xfId="8275" xr:uid="{00000000-0005-0000-0000-000040200000}"/>
    <cellStyle name="Normal 9 3 7 2 2 2" xfId="16725" xr:uid="{1A340C40-309B-4145-83BE-0E8DB1301C64}"/>
    <cellStyle name="Normal 9 3 7 2 3" xfId="12507" xr:uid="{9C4AC72E-8F54-4B5B-ABC5-DFC69254F761}"/>
    <cellStyle name="Normal 9 3 7 3" xfId="6130" xr:uid="{00000000-0005-0000-0000-000041200000}"/>
    <cellStyle name="Normal 9 3 7 3 2" xfId="14580" xr:uid="{CD4F40AE-4854-4F27-BC1B-F8B34B80AF59}"/>
    <cellStyle name="Normal 9 3 7 4" xfId="10362" xr:uid="{9DE5EA56-9508-4004-B048-97BFC1357CEC}"/>
    <cellStyle name="Normal 9 3 8" xfId="2237" xr:uid="{00000000-0005-0000-0000-000042200000}"/>
    <cellStyle name="Normal 9 3 8 2" xfId="4466" xr:uid="{00000000-0005-0000-0000-000043200000}"/>
    <cellStyle name="Normal 9 3 8 2 2" xfId="8688" xr:uid="{00000000-0005-0000-0000-000044200000}"/>
    <cellStyle name="Normal 9 3 8 2 2 2" xfId="17138" xr:uid="{97CF17CE-DFA4-4F6D-A57A-7C379F0714D6}"/>
    <cellStyle name="Normal 9 3 8 2 3" xfId="12920" xr:uid="{85141658-771D-4499-A2FA-F798572445C4}"/>
    <cellStyle name="Normal 9 3 8 3" xfId="6543" xr:uid="{00000000-0005-0000-0000-000045200000}"/>
    <cellStyle name="Normal 9 3 8 3 2" xfId="14993" xr:uid="{ABE78E24-41B9-4201-B94A-A49FAFBF4B07}"/>
    <cellStyle name="Normal 9 3 8 4" xfId="10775" xr:uid="{2A807D25-E1BA-4E20-B28A-881EE2238A4A}"/>
    <cellStyle name="Normal 9 3 9" xfId="2673" xr:uid="{00000000-0005-0000-0000-000046200000}"/>
    <cellStyle name="Normal 9 3 9 2" xfId="6956" xr:uid="{00000000-0005-0000-0000-000047200000}"/>
    <cellStyle name="Normal 9 3 9 2 2" xfId="15406" xr:uid="{74EF757C-F68F-44EB-812E-C09DB2721C22}"/>
    <cellStyle name="Normal 9 3 9 3" xfId="11188" xr:uid="{3FDBC2AE-7A91-420A-A1C4-6BF1CCFC675A}"/>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2 2 2" xfId="15908" xr:uid="{0AEE9BC1-A8F4-45E4-BEBF-BC83BE1D678B}"/>
    <cellStyle name="Normal 9 5 2 2 2 3" xfId="11690" xr:uid="{9646D3E2-210E-4353-A0EF-007D11EAECEC}"/>
    <cellStyle name="Normal 9 5 2 2 3" xfId="5313" xr:uid="{00000000-0005-0000-0000-00004F200000}"/>
    <cellStyle name="Normal 9 5 2 2 3 2" xfId="13763" xr:uid="{913DC049-7678-49A7-998B-D2462C84F575}"/>
    <cellStyle name="Normal 9 5 2 2 4" xfId="9545" xr:uid="{1811B815-7DC0-45C1-B30E-ECF36D1ABF76}"/>
    <cellStyle name="Normal 9 5 2 3" xfId="1419" xr:uid="{00000000-0005-0000-0000-000050200000}"/>
    <cellStyle name="Normal 9 5 2 3 2" xfId="3649" xr:uid="{00000000-0005-0000-0000-000051200000}"/>
    <cellStyle name="Normal 9 5 2 3 2 2" xfId="7871" xr:uid="{00000000-0005-0000-0000-000052200000}"/>
    <cellStyle name="Normal 9 5 2 3 2 2 2" xfId="16321" xr:uid="{B70D2D64-5F37-422E-8A88-85DA4E9781BD}"/>
    <cellStyle name="Normal 9 5 2 3 2 3" xfId="12103" xr:uid="{CFFE6BF9-B34A-4DB4-A5D0-E20F8401A249}"/>
    <cellStyle name="Normal 9 5 2 3 3" xfId="5726" xr:uid="{00000000-0005-0000-0000-000053200000}"/>
    <cellStyle name="Normal 9 5 2 3 3 2" xfId="14176" xr:uid="{CEA02730-5644-4F47-BEDF-381766BEDDDC}"/>
    <cellStyle name="Normal 9 5 2 3 4" xfId="9958" xr:uid="{D6575855-ADCA-4E6A-ACA3-647FBC9E316F}"/>
    <cellStyle name="Normal 9 5 2 4" xfId="1832" xr:uid="{00000000-0005-0000-0000-000054200000}"/>
    <cellStyle name="Normal 9 5 2 4 2" xfId="4062" xr:uid="{00000000-0005-0000-0000-000055200000}"/>
    <cellStyle name="Normal 9 5 2 4 2 2" xfId="8284" xr:uid="{00000000-0005-0000-0000-000056200000}"/>
    <cellStyle name="Normal 9 5 2 4 2 2 2" xfId="16734" xr:uid="{B9CCE9A3-BEC5-4ABE-A82E-4D1F31573DB0}"/>
    <cellStyle name="Normal 9 5 2 4 2 3" xfId="12516" xr:uid="{2E350875-B36D-4933-BC51-1DC4343E5ABB}"/>
    <cellStyle name="Normal 9 5 2 4 3" xfId="6139" xr:uid="{00000000-0005-0000-0000-000057200000}"/>
    <cellStyle name="Normal 9 5 2 4 3 2" xfId="14589" xr:uid="{914D2B78-C816-44DE-A9F9-2E33C447B56A}"/>
    <cellStyle name="Normal 9 5 2 4 4" xfId="10371" xr:uid="{FBD3B16B-2CD3-4FEF-AD57-47E1AB94E1DB}"/>
    <cellStyle name="Normal 9 5 2 5" xfId="2246" xr:uid="{00000000-0005-0000-0000-000058200000}"/>
    <cellStyle name="Normal 9 5 2 5 2" xfId="4475" xr:uid="{00000000-0005-0000-0000-000059200000}"/>
    <cellStyle name="Normal 9 5 2 5 2 2" xfId="8697" xr:uid="{00000000-0005-0000-0000-00005A200000}"/>
    <cellStyle name="Normal 9 5 2 5 2 2 2" xfId="17147" xr:uid="{FF6A8887-6CC1-4443-B400-12F5FCBEBD26}"/>
    <cellStyle name="Normal 9 5 2 5 2 3" xfId="12929" xr:uid="{9CC5FAC5-42F8-482A-B9F3-F7A1A9952B82}"/>
    <cellStyle name="Normal 9 5 2 5 3" xfId="6552" xr:uid="{00000000-0005-0000-0000-00005B200000}"/>
    <cellStyle name="Normal 9 5 2 5 3 2" xfId="15002" xr:uid="{70808763-664D-42D9-89A3-3512F3FD4948}"/>
    <cellStyle name="Normal 9 5 2 5 4" xfId="10784" xr:uid="{EE47DE20-81E0-4342-9F63-EBBA5FFC5DB6}"/>
    <cellStyle name="Normal 9 5 2 6" xfId="2682" xr:uid="{00000000-0005-0000-0000-00005C200000}"/>
    <cellStyle name="Normal 9 5 2 6 2" xfId="6965" xr:uid="{00000000-0005-0000-0000-00005D200000}"/>
    <cellStyle name="Normal 9 5 2 6 2 2" xfId="15415" xr:uid="{FF58F36B-CA72-47B1-9B16-BBFEB30994CE}"/>
    <cellStyle name="Normal 9 5 2 6 3" xfId="11197" xr:uid="{07CD9323-0198-451B-92A9-A000FDA954A9}"/>
    <cellStyle name="Normal 9 5 2 7" xfId="4900" xr:uid="{00000000-0005-0000-0000-00005E200000}"/>
    <cellStyle name="Normal 9 5 2 7 2" xfId="13350" xr:uid="{5CCC6243-CE90-4AD6-A3ED-2825B05E8FA6}"/>
    <cellStyle name="Normal 9 5 2 8" xfId="9132" xr:uid="{AA9A720F-B75A-4F13-A075-61146C485F0C}"/>
    <cellStyle name="Normal 9 5 3" xfId="1003" xr:uid="{00000000-0005-0000-0000-00005F200000}"/>
    <cellStyle name="Normal 9 5 3 2" xfId="3235" xr:uid="{00000000-0005-0000-0000-000060200000}"/>
    <cellStyle name="Normal 9 5 3 2 2" xfId="7457" xr:uid="{00000000-0005-0000-0000-000061200000}"/>
    <cellStyle name="Normal 9 5 3 2 2 2" xfId="15907" xr:uid="{6AA4CBD9-C147-46BD-8A35-9F5C0856E18F}"/>
    <cellStyle name="Normal 9 5 3 2 3" xfId="11689" xr:uid="{570138AE-FFB1-4A65-ABD1-F50269CAB2EE}"/>
    <cellStyle name="Normal 9 5 3 3" xfId="5312" xr:uid="{00000000-0005-0000-0000-000062200000}"/>
    <cellStyle name="Normal 9 5 3 3 2" xfId="13762" xr:uid="{9E4D7CB9-1445-40E2-ABAA-A29953543372}"/>
    <cellStyle name="Normal 9 5 3 4" xfId="9544" xr:uid="{FE9190A9-75AD-47D6-8F64-338613124252}"/>
    <cellStyle name="Normal 9 5 4" xfId="1418" xr:uid="{00000000-0005-0000-0000-000063200000}"/>
    <cellStyle name="Normal 9 5 4 2" xfId="3648" xr:uid="{00000000-0005-0000-0000-000064200000}"/>
    <cellStyle name="Normal 9 5 4 2 2" xfId="7870" xr:uid="{00000000-0005-0000-0000-000065200000}"/>
    <cellStyle name="Normal 9 5 4 2 2 2" xfId="16320" xr:uid="{9EC7A460-458F-46D3-9848-57776B6CEB1A}"/>
    <cellStyle name="Normal 9 5 4 2 3" xfId="12102" xr:uid="{331D073D-6044-4C62-B5E9-232EB526AD18}"/>
    <cellStyle name="Normal 9 5 4 3" xfId="5725" xr:uid="{00000000-0005-0000-0000-000066200000}"/>
    <cellStyle name="Normal 9 5 4 3 2" xfId="14175" xr:uid="{CFC5368C-9AC2-4A7E-8404-344701680B4E}"/>
    <cellStyle name="Normal 9 5 4 4" xfId="9957" xr:uid="{D5B2B9D5-7A5E-42B4-803F-24F3A778F3C7}"/>
    <cellStyle name="Normal 9 5 5" xfId="1831" xr:uid="{00000000-0005-0000-0000-000067200000}"/>
    <cellStyle name="Normal 9 5 5 2" xfId="4061" xr:uid="{00000000-0005-0000-0000-000068200000}"/>
    <cellStyle name="Normal 9 5 5 2 2" xfId="8283" xr:uid="{00000000-0005-0000-0000-000069200000}"/>
    <cellStyle name="Normal 9 5 5 2 2 2" xfId="16733" xr:uid="{FC106DEB-BD37-4366-8D74-AA88DB1A0761}"/>
    <cellStyle name="Normal 9 5 5 2 3" xfId="12515" xr:uid="{F73C4234-52A0-4F1F-BB35-5C63D3C006EC}"/>
    <cellStyle name="Normal 9 5 5 3" xfId="6138" xr:uid="{00000000-0005-0000-0000-00006A200000}"/>
    <cellStyle name="Normal 9 5 5 3 2" xfId="14588" xr:uid="{02F93B37-14AE-42D0-99D8-3BBEFDDFBD4F}"/>
    <cellStyle name="Normal 9 5 5 4" xfId="10370" xr:uid="{DB62575D-0691-4938-8237-899B1455E516}"/>
    <cellStyle name="Normal 9 5 6" xfId="2245" xr:uid="{00000000-0005-0000-0000-00006B200000}"/>
    <cellStyle name="Normal 9 5 6 2" xfId="4474" xr:uid="{00000000-0005-0000-0000-00006C200000}"/>
    <cellStyle name="Normal 9 5 6 2 2" xfId="8696" xr:uid="{00000000-0005-0000-0000-00006D200000}"/>
    <cellStyle name="Normal 9 5 6 2 2 2" xfId="17146" xr:uid="{20F9D753-AA84-4C9D-A982-0BF283822676}"/>
    <cellStyle name="Normal 9 5 6 2 3" xfId="12928" xr:uid="{FBC2A096-A3C0-4F5A-983C-BA7CE706DB79}"/>
    <cellStyle name="Normal 9 5 6 3" xfId="6551" xr:uid="{00000000-0005-0000-0000-00006E200000}"/>
    <cellStyle name="Normal 9 5 6 3 2" xfId="15001" xr:uid="{4F139FAF-C870-4CDD-9D9D-0FBBD72DF343}"/>
    <cellStyle name="Normal 9 5 6 4" xfId="10783" xr:uid="{71138A3F-55AD-4D62-B61D-175E8FACA396}"/>
    <cellStyle name="Normal 9 5 7" xfId="2681" xr:uid="{00000000-0005-0000-0000-00006F200000}"/>
    <cellStyle name="Normal 9 5 7 2" xfId="6964" xr:uid="{00000000-0005-0000-0000-000070200000}"/>
    <cellStyle name="Normal 9 5 7 2 2" xfId="15414" xr:uid="{6ABD981B-078E-4316-A4CB-07108147304A}"/>
    <cellStyle name="Normal 9 5 7 3" xfId="11196" xr:uid="{D416BDF0-4E16-4C41-9097-CEACB88D317C}"/>
    <cellStyle name="Normal 9 5 8" xfId="4899" xr:uid="{00000000-0005-0000-0000-000071200000}"/>
    <cellStyle name="Normal 9 5 8 2" xfId="13349" xr:uid="{D62F6120-0AAE-43C0-B73A-E389AAB84F9B}"/>
    <cellStyle name="Normal 9 5 9" xfId="9131" xr:uid="{7EC7FD34-4735-4B5D-AA21-BF3C780BA1B3}"/>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2 2 2" xfId="15909" xr:uid="{83121E56-65CC-4A1C-9D2B-A04BAFCF8D97}"/>
    <cellStyle name="Normal 9 6 2 2 3" xfId="11691" xr:uid="{E948BE8B-F482-498D-AFB0-37627FE5D280}"/>
    <cellStyle name="Normal 9 6 2 3" xfId="5314" xr:uid="{00000000-0005-0000-0000-000076200000}"/>
    <cellStyle name="Normal 9 6 2 3 2" xfId="13764" xr:uid="{D339E1C9-10F2-4D3A-B395-22075DA6A6C9}"/>
    <cellStyle name="Normal 9 6 2 4" xfId="9546" xr:uid="{6EF94F3F-90A3-4D39-8ADF-00EC5BE427D2}"/>
    <cellStyle name="Normal 9 6 3" xfId="1420" xr:uid="{00000000-0005-0000-0000-000077200000}"/>
    <cellStyle name="Normal 9 6 3 2" xfId="3650" xr:uid="{00000000-0005-0000-0000-000078200000}"/>
    <cellStyle name="Normal 9 6 3 2 2" xfId="7872" xr:uid="{00000000-0005-0000-0000-000079200000}"/>
    <cellStyle name="Normal 9 6 3 2 2 2" xfId="16322" xr:uid="{0BADEFDD-4433-4185-B875-7EE6BF4CAC84}"/>
    <cellStyle name="Normal 9 6 3 2 3" xfId="12104" xr:uid="{97E40260-1CCE-49A9-9B9B-1D42CAB69AED}"/>
    <cellStyle name="Normal 9 6 3 3" xfId="5727" xr:uid="{00000000-0005-0000-0000-00007A200000}"/>
    <cellStyle name="Normal 9 6 3 3 2" xfId="14177" xr:uid="{6683A2B8-6C12-4895-812C-B16021A8F168}"/>
    <cellStyle name="Normal 9 6 3 4" xfId="9959" xr:uid="{C31CB832-E6AE-4171-9BFD-D3B49C47717E}"/>
    <cellStyle name="Normal 9 6 4" xfId="1833" xr:uid="{00000000-0005-0000-0000-00007B200000}"/>
    <cellStyle name="Normal 9 6 4 2" xfId="4063" xr:uid="{00000000-0005-0000-0000-00007C200000}"/>
    <cellStyle name="Normal 9 6 4 2 2" xfId="8285" xr:uid="{00000000-0005-0000-0000-00007D200000}"/>
    <cellStyle name="Normal 9 6 4 2 2 2" xfId="16735" xr:uid="{AE460B49-4F7D-4D37-974E-DEA6186B1306}"/>
    <cellStyle name="Normal 9 6 4 2 3" xfId="12517" xr:uid="{F15BFBFC-2FDF-499D-99C8-0AF44D4BC950}"/>
    <cellStyle name="Normal 9 6 4 3" xfId="6140" xr:uid="{00000000-0005-0000-0000-00007E200000}"/>
    <cellStyle name="Normal 9 6 4 3 2" xfId="14590" xr:uid="{3F59FC6C-E6AF-434D-A7BB-25E26020B0AC}"/>
    <cellStyle name="Normal 9 6 4 4" xfId="10372" xr:uid="{A011779E-6A69-4C51-A23B-23C6D55DD69C}"/>
    <cellStyle name="Normal 9 6 5" xfId="2247" xr:uid="{00000000-0005-0000-0000-00007F200000}"/>
    <cellStyle name="Normal 9 6 5 2" xfId="4476" xr:uid="{00000000-0005-0000-0000-000080200000}"/>
    <cellStyle name="Normal 9 6 5 2 2" xfId="8698" xr:uid="{00000000-0005-0000-0000-000081200000}"/>
    <cellStyle name="Normal 9 6 5 2 2 2" xfId="17148" xr:uid="{397A8E54-74BE-4848-9851-6856D5CE8ECE}"/>
    <cellStyle name="Normal 9 6 5 2 3" xfId="12930" xr:uid="{9549F22B-0B10-4161-8696-D5AA108A9EDF}"/>
    <cellStyle name="Normal 9 6 5 3" xfId="6553" xr:uid="{00000000-0005-0000-0000-000082200000}"/>
    <cellStyle name="Normal 9 6 5 3 2" xfId="15003" xr:uid="{A38A33EC-91F1-459B-8EEE-04FB1211E6C6}"/>
    <cellStyle name="Normal 9 6 5 4" xfId="10785" xr:uid="{EB40AD08-2BE5-4F52-ABE3-02B467092E1A}"/>
    <cellStyle name="Normal 9 6 6" xfId="2683" xr:uid="{00000000-0005-0000-0000-000083200000}"/>
    <cellStyle name="Normal 9 6 6 2" xfId="6966" xr:uid="{00000000-0005-0000-0000-000084200000}"/>
    <cellStyle name="Normal 9 6 6 2 2" xfId="15416" xr:uid="{7224C73E-8BBD-49C3-8FA9-5336B4429019}"/>
    <cellStyle name="Normal 9 6 6 3" xfId="11198" xr:uid="{F154C10C-E170-48A9-BD82-4D1A5E2C5A8B}"/>
    <cellStyle name="Normal 9 6 7" xfId="4901" xr:uid="{00000000-0005-0000-0000-000085200000}"/>
    <cellStyle name="Normal 9 6 7 2" xfId="13351" xr:uid="{28B45822-5B97-4235-ADB6-362391035E08}"/>
    <cellStyle name="Normal 9 6 8" xfId="9133" xr:uid="{070FE5C9-9F58-47B4-B516-E8401585A633}"/>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15497" xr:uid="{E10D0F6F-27A4-40BC-85B8-FC0FF8D7629C}"/>
    <cellStyle name="Note 2 2 10 3" xfId="11279" xr:uid="{60F78B99-B4CC-4244-A088-F1C32596D19B}"/>
    <cellStyle name="Note 2 2 11" xfId="4902" xr:uid="{00000000-0005-0000-0000-000094200000}"/>
    <cellStyle name="Note 2 2 11 2" xfId="13352" xr:uid="{7E2AF820-20DA-419A-A7D6-65D0FA2C1F01}"/>
    <cellStyle name="Note 2 2 12" xfId="9134" xr:uid="{7EBC975C-2C34-49D3-9B8B-1128BD08F0EF}"/>
    <cellStyle name="Note 2 2 2" xfId="546" xr:uid="{00000000-0005-0000-0000-000095200000}"/>
    <cellStyle name="Note 2 2 2 10" xfId="4903" xr:uid="{00000000-0005-0000-0000-000096200000}"/>
    <cellStyle name="Note 2 2 2 10 2" xfId="13353" xr:uid="{7ACC07CF-718C-44C0-8617-85CADDA89C9D}"/>
    <cellStyle name="Note 2 2 2 11" xfId="9135" xr:uid="{1F6C2FD1-A086-4944-9109-6328068D7375}"/>
    <cellStyle name="Note 2 2 2 2" xfId="547" xr:uid="{00000000-0005-0000-0000-000097200000}"/>
    <cellStyle name="Note 2 2 2 2 10" xfId="9136" xr:uid="{1C6678FB-A117-45FA-958F-8F53558A7694}"/>
    <cellStyle name="Note 2 2 2 2 2" xfId="1008" xr:uid="{00000000-0005-0000-0000-000098200000}"/>
    <cellStyle name="Note 2 2 2 2 2 2" xfId="3240" xr:uid="{00000000-0005-0000-0000-000099200000}"/>
    <cellStyle name="Note 2 2 2 2 2 2 2" xfId="7462" xr:uid="{00000000-0005-0000-0000-00009A200000}"/>
    <cellStyle name="Note 2 2 2 2 2 2 2 2" xfId="15912" xr:uid="{ED6F7158-0296-4B4F-AB38-09A84EA0837A}"/>
    <cellStyle name="Note 2 2 2 2 2 2 3" xfId="11694" xr:uid="{4FEDFCBD-AD79-42E9-905E-29486A2E9DD9}"/>
    <cellStyle name="Note 2 2 2 2 2 3" xfId="5317" xr:uid="{00000000-0005-0000-0000-00009B200000}"/>
    <cellStyle name="Note 2 2 2 2 2 3 2" xfId="13767" xr:uid="{734D63CC-018E-4C2A-B38C-92F8C043886B}"/>
    <cellStyle name="Note 2 2 2 2 2 4" xfId="9549" xr:uid="{36E0DA29-77EC-42A8-99D7-ACBE66243F6F}"/>
    <cellStyle name="Note 2 2 2 2 3" xfId="1423" xr:uid="{00000000-0005-0000-0000-00009C200000}"/>
    <cellStyle name="Note 2 2 2 2 3 2" xfId="3653" xr:uid="{00000000-0005-0000-0000-00009D200000}"/>
    <cellStyle name="Note 2 2 2 2 3 2 2" xfId="7875" xr:uid="{00000000-0005-0000-0000-00009E200000}"/>
    <cellStyle name="Note 2 2 2 2 3 2 2 2" xfId="16325" xr:uid="{A0763A00-AD60-4DE5-AF19-9A1D71611378}"/>
    <cellStyle name="Note 2 2 2 2 3 2 3" xfId="12107" xr:uid="{DB956EE8-0AC8-4A79-ABE4-BB7CEC3FD2A1}"/>
    <cellStyle name="Note 2 2 2 2 3 3" xfId="5730" xr:uid="{00000000-0005-0000-0000-00009F200000}"/>
    <cellStyle name="Note 2 2 2 2 3 3 2" xfId="14180" xr:uid="{5202DA49-C731-45D4-9093-8A42750D1EA0}"/>
    <cellStyle name="Note 2 2 2 2 3 4" xfId="9962" xr:uid="{839CFA4C-E054-40F9-8A09-93309085F178}"/>
    <cellStyle name="Note 2 2 2 2 4" xfId="1837" xr:uid="{00000000-0005-0000-0000-0000A0200000}"/>
    <cellStyle name="Note 2 2 2 2 4 2" xfId="4066" xr:uid="{00000000-0005-0000-0000-0000A1200000}"/>
    <cellStyle name="Note 2 2 2 2 4 2 2" xfId="8288" xr:uid="{00000000-0005-0000-0000-0000A2200000}"/>
    <cellStyle name="Note 2 2 2 2 4 2 2 2" xfId="16738" xr:uid="{4D73C160-5E10-45CA-A435-0F2A3BF4568A}"/>
    <cellStyle name="Note 2 2 2 2 4 2 3" xfId="12520" xr:uid="{6FBF4518-5180-4309-917E-5CE99ECD8794}"/>
    <cellStyle name="Note 2 2 2 2 4 3" xfId="6143" xr:uid="{00000000-0005-0000-0000-0000A3200000}"/>
    <cellStyle name="Note 2 2 2 2 4 3 2" xfId="14593" xr:uid="{9CEB49CC-5F08-462E-BB30-1EDF27201374}"/>
    <cellStyle name="Note 2 2 2 2 4 4" xfId="10375" xr:uid="{D58A4273-3180-4F84-BD82-BB59228555F6}"/>
    <cellStyle name="Note 2 2 2 2 5" xfId="2250" xr:uid="{00000000-0005-0000-0000-0000A4200000}"/>
    <cellStyle name="Note 2 2 2 2 5 2" xfId="4479" xr:uid="{00000000-0005-0000-0000-0000A5200000}"/>
    <cellStyle name="Note 2 2 2 2 5 2 2" xfId="8701" xr:uid="{00000000-0005-0000-0000-0000A6200000}"/>
    <cellStyle name="Note 2 2 2 2 5 2 2 2" xfId="17151" xr:uid="{24BC8EBE-FE4F-4AC4-9078-C11EE216696C}"/>
    <cellStyle name="Note 2 2 2 2 5 2 3" xfId="12933" xr:uid="{3EBA5918-EF88-460A-8F82-AC2C35F19069}"/>
    <cellStyle name="Note 2 2 2 2 5 3" xfId="6556" xr:uid="{00000000-0005-0000-0000-0000A7200000}"/>
    <cellStyle name="Note 2 2 2 2 5 3 2" xfId="15006" xr:uid="{C1623DED-F55C-4060-8023-4CA3FF3F1F04}"/>
    <cellStyle name="Note 2 2 2 2 5 4" xfId="10788" xr:uid="{5C322B88-C932-4E31-8D09-5A642E2120D6}"/>
    <cellStyle name="Note 2 2 2 2 6" xfId="2686" xr:uid="{00000000-0005-0000-0000-0000A8200000}"/>
    <cellStyle name="Note 2 2 2 2 6 2" xfId="6969" xr:uid="{00000000-0005-0000-0000-0000A9200000}"/>
    <cellStyle name="Note 2 2 2 2 6 2 2" xfId="15419" xr:uid="{BE6D30E8-9FDC-41CC-9876-54D595D5171C}"/>
    <cellStyle name="Note 2 2 2 2 6 3" xfId="11201" xr:uid="{5A7314CB-B42E-44D7-B13E-7901AACE5288}"/>
    <cellStyle name="Note 2 2 2 2 7" xfId="2745" xr:uid="{00000000-0005-0000-0000-0000AA200000}"/>
    <cellStyle name="Note 2 2 2 2 8" xfId="2826" xr:uid="{00000000-0005-0000-0000-0000AB200000}"/>
    <cellStyle name="Note 2 2 2 2 8 2" xfId="7049" xr:uid="{00000000-0005-0000-0000-0000AC200000}"/>
    <cellStyle name="Note 2 2 2 2 8 2 2" xfId="15499" xr:uid="{5147C46E-A0F8-49E5-AA2A-4FA64EFBC035}"/>
    <cellStyle name="Note 2 2 2 2 8 3" xfId="11281" xr:uid="{2CF9A507-1D99-45C5-A4EB-340CC02F32A1}"/>
    <cellStyle name="Note 2 2 2 2 9" xfId="4904" xr:uid="{00000000-0005-0000-0000-0000AD200000}"/>
    <cellStyle name="Note 2 2 2 2 9 2" xfId="13354" xr:uid="{3148A229-80C9-4593-BECB-29EB3F4963B6}"/>
    <cellStyle name="Note 2 2 2 3" xfId="1007" xr:uid="{00000000-0005-0000-0000-0000AE200000}"/>
    <cellStyle name="Note 2 2 2 3 2" xfId="3239" xr:uid="{00000000-0005-0000-0000-0000AF200000}"/>
    <cellStyle name="Note 2 2 2 3 2 2" xfId="7461" xr:uid="{00000000-0005-0000-0000-0000B0200000}"/>
    <cellStyle name="Note 2 2 2 3 2 2 2" xfId="15911" xr:uid="{4A3B2AB3-E13E-4E1D-BEEA-0C49BE89BE81}"/>
    <cellStyle name="Note 2 2 2 3 2 3" xfId="11693" xr:uid="{7F0BB6E1-D364-4CF9-9ECA-F6344F6A190D}"/>
    <cellStyle name="Note 2 2 2 3 3" xfId="5316" xr:uid="{00000000-0005-0000-0000-0000B1200000}"/>
    <cellStyle name="Note 2 2 2 3 3 2" xfId="13766" xr:uid="{4F757D38-F976-47E7-BB5C-E5040F8E7638}"/>
    <cellStyle name="Note 2 2 2 3 4" xfId="9548" xr:uid="{9557B51F-C06A-42F2-9E17-4A09B377F97D}"/>
    <cellStyle name="Note 2 2 2 4" xfId="1422" xr:uid="{00000000-0005-0000-0000-0000B2200000}"/>
    <cellStyle name="Note 2 2 2 4 2" xfId="3652" xr:uid="{00000000-0005-0000-0000-0000B3200000}"/>
    <cellStyle name="Note 2 2 2 4 2 2" xfId="7874" xr:uid="{00000000-0005-0000-0000-0000B4200000}"/>
    <cellStyle name="Note 2 2 2 4 2 2 2" xfId="16324" xr:uid="{89005501-E461-4BDF-8868-8A80C67048FB}"/>
    <cellStyle name="Note 2 2 2 4 2 3" xfId="12106" xr:uid="{10BDA51A-4A53-4E86-83CC-1961C7F3E0C5}"/>
    <cellStyle name="Note 2 2 2 4 3" xfId="5729" xr:uid="{00000000-0005-0000-0000-0000B5200000}"/>
    <cellStyle name="Note 2 2 2 4 3 2" xfId="14179" xr:uid="{70463B4C-C139-460E-8E58-07C8C5C830E0}"/>
    <cellStyle name="Note 2 2 2 4 4" xfId="9961" xr:uid="{0B733406-7B12-42D8-9589-D6479BFBB6E4}"/>
    <cellStyle name="Note 2 2 2 5" xfId="1836" xr:uid="{00000000-0005-0000-0000-0000B6200000}"/>
    <cellStyle name="Note 2 2 2 5 2" xfId="4065" xr:uid="{00000000-0005-0000-0000-0000B7200000}"/>
    <cellStyle name="Note 2 2 2 5 2 2" xfId="8287" xr:uid="{00000000-0005-0000-0000-0000B8200000}"/>
    <cellStyle name="Note 2 2 2 5 2 2 2" xfId="16737" xr:uid="{59813507-A933-45B2-B072-95A197A7F67D}"/>
    <cellStyle name="Note 2 2 2 5 2 3" xfId="12519" xr:uid="{B7501E3E-2D6F-4B28-8E5B-86E62A0845AF}"/>
    <cellStyle name="Note 2 2 2 5 3" xfId="6142" xr:uid="{00000000-0005-0000-0000-0000B9200000}"/>
    <cellStyle name="Note 2 2 2 5 3 2" xfId="14592" xr:uid="{B5036903-9CA2-4187-9EB3-79F7FD4131F5}"/>
    <cellStyle name="Note 2 2 2 5 4" xfId="10374" xr:uid="{DFB47D30-ACD7-42F9-AC40-91BBA2F725F0}"/>
    <cellStyle name="Note 2 2 2 6" xfId="2249" xr:uid="{00000000-0005-0000-0000-0000BA200000}"/>
    <cellStyle name="Note 2 2 2 6 2" xfId="4478" xr:uid="{00000000-0005-0000-0000-0000BB200000}"/>
    <cellStyle name="Note 2 2 2 6 2 2" xfId="8700" xr:uid="{00000000-0005-0000-0000-0000BC200000}"/>
    <cellStyle name="Note 2 2 2 6 2 2 2" xfId="17150" xr:uid="{B6515918-E826-4675-A40A-5298448BCCF3}"/>
    <cellStyle name="Note 2 2 2 6 2 3" xfId="12932" xr:uid="{8495974F-9ECC-42D8-9634-3DB49316A261}"/>
    <cellStyle name="Note 2 2 2 6 3" xfId="6555" xr:uid="{00000000-0005-0000-0000-0000BD200000}"/>
    <cellStyle name="Note 2 2 2 6 3 2" xfId="15005" xr:uid="{B7417191-7C12-4836-BF54-7CCA47F34889}"/>
    <cellStyle name="Note 2 2 2 6 4" xfId="10787" xr:uid="{EE76BDE3-2BBA-482C-B85A-B8FDCBD07526}"/>
    <cellStyle name="Note 2 2 2 7" xfId="2685" xr:uid="{00000000-0005-0000-0000-0000BE200000}"/>
    <cellStyle name="Note 2 2 2 7 2" xfId="6968" xr:uid="{00000000-0005-0000-0000-0000BF200000}"/>
    <cellStyle name="Note 2 2 2 7 2 2" xfId="15418" xr:uid="{888B1208-20DA-4633-9DD4-D8CF46CB3B1B}"/>
    <cellStyle name="Note 2 2 2 7 3" xfId="11200" xr:uid="{AFC967E2-5670-4887-8A5A-A1166A804A07}"/>
    <cellStyle name="Note 2 2 2 8" xfId="2744" xr:uid="{00000000-0005-0000-0000-0000C0200000}"/>
    <cellStyle name="Note 2 2 2 9" xfId="2825" xr:uid="{00000000-0005-0000-0000-0000C1200000}"/>
    <cellStyle name="Note 2 2 2 9 2" xfId="7048" xr:uid="{00000000-0005-0000-0000-0000C2200000}"/>
    <cellStyle name="Note 2 2 2 9 2 2" xfId="15498" xr:uid="{618AADB8-B239-4245-93E5-B73258FEAC0E}"/>
    <cellStyle name="Note 2 2 2 9 3" xfId="11280" xr:uid="{A45B6FBE-44BA-4C60-A022-6B48F9DC67BF}"/>
    <cellStyle name="Note 2 2 3" xfId="548" xr:uid="{00000000-0005-0000-0000-0000C3200000}"/>
    <cellStyle name="Note 2 2 3 10" xfId="9137" xr:uid="{E26135BC-67AD-43FE-89C6-3ED5FEA573F1}"/>
    <cellStyle name="Note 2 2 3 2" xfId="1009" xr:uid="{00000000-0005-0000-0000-0000C4200000}"/>
    <cellStyle name="Note 2 2 3 2 2" xfId="3241" xr:uid="{00000000-0005-0000-0000-0000C5200000}"/>
    <cellStyle name="Note 2 2 3 2 2 2" xfId="7463" xr:uid="{00000000-0005-0000-0000-0000C6200000}"/>
    <cellStyle name="Note 2 2 3 2 2 2 2" xfId="15913" xr:uid="{ABCA8C89-8205-46DB-813D-511DE693DBF5}"/>
    <cellStyle name="Note 2 2 3 2 2 3" xfId="11695" xr:uid="{8DFA82B5-2C04-4C15-BB43-08A4FBB14F5A}"/>
    <cellStyle name="Note 2 2 3 2 3" xfId="5318" xr:uid="{00000000-0005-0000-0000-0000C7200000}"/>
    <cellStyle name="Note 2 2 3 2 3 2" xfId="13768" xr:uid="{6CE47069-8C26-42AF-92A3-683550882EA2}"/>
    <cellStyle name="Note 2 2 3 2 4" xfId="9550" xr:uid="{CA304022-FBA6-43F4-8D10-04FC583813B5}"/>
    <cellStyle name="Note 2 2 3 3" xfId="1424" xr:uid="{00000000-0005-0000-0000-0000C8200000}"/>
    <cellStyle name="Note 2 2 3 3 2" xfId="3654" xr:uid="{00000000-0005-0000-0000-0000C9200000}"/>
    <cellStyle name="Note 2 2 3 3 2 2" xfId="7876" xr:uid="{00000000-0005-0000-0000-0000CA200000}"/>
    <cellStyle name="Note 2 2 3 3 2 2 2" xfId="16326" xr:uid="{0D14014E-1D05-423B-8A5E-4F44806CD464}"/>
    <cellStyle name="Note 2 2 3 3 2 3" xfId="12108" xr:uid="{E11DC476-5FD3-447F-BA46-A5C29051917E}"/>
    <cellStyle name="Note 2 2 3 3 3" xfId="5731" xr:uid="{00000000-0005-0000-0000-0000CB200000}"/>
    <cellStyle name="Note 2 2 3 3 3 2" xfId="14181" xr:uid="{1464536D-433A-4934-BA7F-66BE5216BE3F}"/>
    <cellStyle name="Note 2 2 3 3 4" xfId="9963" xr:uid="{02E03EF8-710F-4039-9649-5132D80D9B44}"/>
    <cellStyle name="Note 2 2 3 4" xfId="1838" xr:uid="{00000000-0005-0000-0000-0000CC200000}"/>
    <cellStyle name="Note 2 2 3 4 2" xfId="4067" xr:uid="{00000000-0005-0000-0000-0000CD200000}"/>
    <cellStyle name="Note 2 2 3 4 2 2" xfId="8289" xr:uid="{00000000-0005-0000-0000-0000CE200000}"/>
    <cellStyle name="Note 2 2 3 4 2 2 2" xfId="16739" xr:uid="{CBF4CFDF-D806-4DFB-B00E-873293483CCC}"/>
    <cellStyle name="Note 2 2 3 4 2 3" xfId="12521" xr:uid="{3D13F90E-7DE9-49BF-9518-1E6CDE000790}"/>
    <cellStyle name="Note 2 2 3 4 3" xfId="6144" xr:uid="{00000000-0005-0000-0000-0000CF200000}"/>
    <cellStyle name="Note 2 2 3 4 3 2" xfId="14594" xr:uid="{BEA70DDD-4BBC-4BD9-A04C-9180151F42FA}"/>
    <cellStyle name="Note 2 2 3 4 4" xfId="10376" xr:uid="{A9317814-9F82-49D3-A04F-877BC1ADC413}"/>
    <cellStyle name="Note 2 2 3 5" xfId="2251" xr:uid="{00000000-0005-0000-0000-0000D0200000}"/>
    <cellStyle name="Note 2 2 3 5 2" xfId="4480" xr:uid="{00000000-0005-0000-0000-0000D1200000}"/>
    <cellStyle name="Note 2 2 3 5 2 2" xfId="8702" xr:uid="{00000000-0005-0000-0000-0000D2200000}"/>
    <cellStyle name="Note 2 2 3 5 2 2 2" xfId="17152" xr:uid="{E80D6B14-BE63-4ADD-BF6F-8DCF104F0400}"/>
    <cellStyle name="Note 2 2 3 5 2 3" xfId="12934" xr:uid="{427ED129-3483-4E62-92F3-AE4396A0C882}"/>
    <cellStyle name="Note 2 2 3 5 3" xfId="6557" xr:uid="{00000000-0005-0000-0000-0000D3200000}"/>
    <cellStyle name="Note 2 2 3 5 3 2" xfId="15007" xr:uid="{D8A1F7FF-2EE6-43E7-995B-A546F3BC6B0E}"/>
    <cellStyle name="Note 2 2 3 5 4" xfId="10789" xr:uid="{49EC6056-E9E5-4DAB-BB91-C6FD17961D53}"/>
    <cellStyle name="Note 2 2 3 6" xfId="2687" xr:uid="{00000000-0005-0000-0000-0000D4200000}"/>
    <cellStyle name="Note 2 2 3 6 2" xfId="6970" xr:uid="{00000000-0005-0000-0000-0000D5200000}"/>
    <cellStyle name="Note 2 2 3 6 2 2" xfId="15420" xr:uid="{0BD6E19E-0CAA-4B83-BFB0-C475EB5A3C1D}"/>
    <cellStyle name="Note 2 2 3 6 3" xfId="11202" xr:uid="{D636E9B8-202E-46E4-B9B7-FADE2CB6ABDB}"/>
    <cellStyle name="Note 2 2 3 7" xfId="2746" xr:uid="{00000000-0005-0000-0000-0000D6200000}"/>
    <cellStyle name="Note 2 2 3 8" xfId="2827" xr:uid="{00000000-0005-0000-0000-0000D7200000}"/>
    <cellStyle name="Note 2 2 3 8 2" xfId="7050" xr:uid="{00000000-0005-0000-0000-0000D8200000}"/>
    <cellStyle name="Note 2 2 3 8 2 2" xfId="15500" xr:uid="{360A3BFD-3533-4622-B332-2536C312F19B}"/>
    <cellStyle name="Note 2 2 3 8 3" xfId="11282" xr:uid="{376AB381-BA7F-4D15-9DAD-9D249A6DEDF5}"/>
    <cellStyle name="Note 2 2 3 9" xfId="4905" xr:uid="{00000000-0005-0000-0000-0000D9200000}"/>
    <cellStyle name="Note 2 2 3 9 2" xfId="13355" xr:uid="{83BE23B3-922B-42BD-9449-B40570E27ACE}"/>
    <cellStyle name="Note 2 2 4" xfId="1006" xr:uid="{00000000-0005-0000-0000-0000DA200000}"/>
    <cellStyle name="Note 2 2 4 2" xfId="3238" xr:uid="{00000000-0005-0000-0000-0000DB200000}"/>
    <cellStyle name="Note 2 2 4 2 2" xfId="7460" xr:uid="{00000000-0005-0000-0000-0000DC200000}"/>
    <cellStyle name="Note 2 2 4 2 2 2" xfId="15910" xr:uid="{E96E00D3-9B24-49C9-B8CE-3AD5AB969E2F}"/>
    <cellStyle name="Note 2 2 4 2 3" xfId="11692" xr:uid="{AABE351A-AB74-453A-91F7-04E3A593AC2C}"/>
    <cellStyle name="Note 2 2 4 3" xfId="5315" xr:uid="{00000000-0005-0000-0000-0000DD200000}"/>
    <cellStyle name="Note 2 2 4 3 2" xfId="13765" xr:uid="{68C7F680-8DD7-484A-87AB-34EC71EBCE0D}"/>
    <cellStyle name="Note 2 2 4 4" xfId="9547" xr:uid="{FD73803F-F76E-4C3B-9F72-D0D91F8B1F83}"/>
    <cellStyle name="Note 2 2 5" xfId="1421" xr:uid="{00000000-0005-0000-0000-0000DE200000}"/>
    <cellStyle name="Note 2 2 5 2" xfId="3651" xr:uid="{00000000-0005-0000-0000-0000DF200000}"/>
    <cellStyle name="Note 2 2 5 2 2" xfId="7873" xr:uid="{00000000-0005-0000-0000-0000E0200000}"/>
    <cellStyle name="Note 2 2 5 2 2 2" xfId="16323" xr:uid="{C40C4D76-8689-4846-A849-F62151F4C560}"/>
    <cellStyle name="Note 2 2 5 2 3" xfId="12105" xr:uid="{CA238853-76A0-4476-B93B-DE3E119CCE2A}"/>
    <cellStyle name="Note 2 2 5 3" xfId="5728" xr:uid="{00000000-0005-0000-0000-0000E1200000}"/>
    <cellStyle name="Note 2 2 5 3 2" xfId="14178" xr:uid="{6E319DE3-C2AE-49A6-8DA1-47AEDB448C6E}"/>
    <cellStyle name="Note 2 2 5 4" xfId="9960" xr:uid="{0CDAFF78-4758-4B70-98EE-628EC512B68C}"/>
    <cellStyle name="Note 2 2 6" xfId="1835" xr:uid="{00000000-0005-0000-0000-0000E2200000}"/>
    <cellStyle name="Note 2 2 6 2" xfId="4064" xr:uid="{00000000-0005-0000-0000-0000E3200000}"/>
    <cellStyle name="Note 2 2 6 2 2" xfId="8286" xr:uid="{00000000-0005-0000-0000-0000E4200000}"/>
    <cellStyle name="Note 2 2 6 2 2 2" xfId="16736" xr:uid="{F4CC26BB-0B76-4B9F-A4F5-7CADD90C671F}"/>
    <cellStyle name="Note 2 2 6 2 3" xfId="12518" xr:uid="{ED218C44-63CF-4078-8566-B6A0239503FC}"/>
    <cellStyle name="Note 2 2 6 3" xfId="6141" xr:uid="{00000000-0005-0000-0000-0000E5200000}"/>
    <cellStyle name="Note 2 2 6 3 2" xfId="14591" xr:uid="{3B90108E-EFD5-4242-9DB3-EF4010421E96}"/>
    <cellStyle name="Note 2 2 6 4" xfId="10373" xr:uid="{15A998C1-D251-4535-B47F-E729D52B9BF7}"/>
    <cellStyle name="Note 2 2 7" xfId="2248" xr:uid="{00000000-0005-0000-0000-0000E6200000}"/>
    <cellStyle name="Note 2 2 7 2" xfId="4477" xr:uid="{00000000-0005-0000-0000-0000E7200000}"/>
    <cellStyle name="Note 2 2 7 2 2" xfId="8699" xr:uid="{00000000-0005-0000-0000-0000E8200000}"/>
    <cellStyle name="Note 2 2 7 2 2 2" xfId="17149" xr:uid="{B6EFB58C-A019-464A-A18F-0A22B3CF2457}"/>
    <cellStyle name="Note 2 2 7 2 3" xfId="12931" xr:uid="{3E615A6C-1E21-4065-82AD-22A8F09956B6}"/>
    <cellStyle name="Note 2 2 7 3" xfId="6554" xr:uid="{00000000-0005-0000-0000-0000E9200000}"/>
    <cellStyle name="Note 2 2 7 3 2" xfId="15004" xr:uid="{C7B9BA31-36F0-42A6-936D-4B11E94928F4}"/>
    <cellStyle name="Note 2 2 7 4" xfId="10786" xr:uid="{C104AC69-E311-47CF-A0A3-52C034C05AE5}"/>
    <cellStyle name="Note 2 2 8" xfId="2684" xr:uid="{00000000-0005-0000-0000-0000EA200000}"/>
    <cellStyle name="Note 2 2 8 2" xfId="6967" xr:uid="{00000000-0005-0000-0000-0000EB200000}"/>
    <cellStyle name="Note 2 2 8 2 2" xfId="15417" xr:uid="{74285F84-1B75-49F2-A928-41A9A5396CDD}"/>
    <cellStyle name="Note 2 2 8 3" xfId="11199" xr:uid="{FC2D7274-ADB0-4639-B655-B402CF6C5692}"/>
    <cellStyle name="Note 2 2 9" xfId="2743" xr:uid="{00000000-0005-0000-0000-0000EC200000}"/>
    <cellStyle name="Note 2 3" xfId="549" xr:uid="{00000000-0005-0000-0000-0000ED200000}"/>
    <cellStyle name="Note 2 3 10" xfId="4906" xr:uid="{00000000-0005-0000-0000-0000EE200000}"/>
    <cellStyle name="Note 2 3 10 2" xfId="13356" xr:uid="{E6F8B34A-E1F5-450F-8EEE-05C9637AAE10}"/>
    <cellStyle name="Note 2 3 11" xfId="9138" xr:uid="{BC8AC6EA-2FC6-4763-86FF-C0DDA846BCE5}"/>
    <cellStyle name="Note 2 3 2" xfId="550" xr:uid="{00000000-0005-0000-0000-0000EF200000}"/>
    <cellStyle name="Note 2 3 2 10" xfId="9139" xr:uid="{4612BF53-8F2C-4451-99E6-2C17ED8C8494}"/>
    <cellStyle name="Note 2 3 2 2" xfId="1011" xr:uid="{00000000-0005-0000-0000-0000F0200000}"/>
    <cellStyle name="Note 2 3 2 2 2" xfId="3243" xr:uid="{00000000-0005-0000-0000-0000F1200000}"/>
    <cellStyle name="Note 2 3 2 2 2 2" xfId="7465" xr:uid="{00000000-0005-0000-0000-0000F2200000}"/>
    <cellStyle name="Note 2 3 2 2 2 2 2" xfId="15915" xr:uid="{68B7BB77-2A96-4741-B16C-8B66E2B16BB0}"/>
    <cellStyle name="Note 2 3 2 2 2 3" xfId="11697" xr:uid="{3A1E2A1F-CE1D-4F59-8635-CAACEE6D7E62}"/>
    <cellStyle name="Note 2 3 2 2 3" xfId="5320" xr:uid="{00000000-0005-0000-0000-0000F3200000}"/>
    <cellStyle name="Note 2 3 2 2 3 2" xfId="13770" xr:uid="{56CABEE7-1F59-4F70-99A6-C76A4DF70E6A}"/>
    <cellStyle name="Note 2 3 2 2 4" xfId="9552" xr:uid="{8E7127E6-FF47-48CF-BACF-CD2A121D91A1}"/>
    <cellStyle name="Note 2 3 2 3" xfId="1426" xr:uid="{00000000-0005-0000-0000-0000F4200000}"/>
    <cellStyle name="Note 2 3 2 3 2" xfId="3656" xr:uid="{00000000-0005-0000-0000-0000F5200000}"/>
    <cellStyle name="Note 2 3 2 3 2 2" xfId="7878" xr:uid="{00000000-0005-0000-0000-0000F6200000}"/>
    <cellStyle name="Note 2 3 2 3 2 2 2" xfId="16328" xr:uid="{6AFA729D-1F40-47F8-B1FF-AEE684491F3B}"/>
    <cellStyle name="Note 2 3 2 3 2 3" xfId="12110" xr:uid="{6160D8AC-55D0-4926-B88B-6A53A8A8334D}"/>
    <cellStyle name="Note 2 3 2 3 3" xfId="5733" xr:uid="{00000000-0005-0000-0000-0000F7200000}"/>
    <cellStyle name="Note 2 3 2 3 3 2" xfId="14183" xr:uid="{FDECD679-C8BA-430A-B801-E81C6B4EC755}"/>
    <cellStyle name="Note 2 3 2 3 4" xfId="9965" xr:uid="{D540B633-DCDC-4253-B80C-EE6D6F7DA9FC}"/>
    <cellStyle name="Note 2 3 2 4" xfId="1840" xr:uid="{00000000-0005-0000-0000-0000F8200000}"/>
    <cellStyle name="Note 2 3 2 4 2" xfId="4069" xr:uid="{00000000-0005-0000-0000-0000F9200000}"/>
    <cellStyle name="Note 2 3 2 4 2 2" xfId="8291" xr:uid="{00000000-0005-0000-0000-0000FA200000}"/>
    <cellStyle name="Note 2 3 2 4 2 2 2" xfId="16741" xr:uid="{C1C71401-8960-499F-8FB9-D2AE89B0E569}"/>
    <cellStyle name="Note 2 3 2 4 2 3" xfId="12523" xr:uid="{40DF20E7-5243-4758-BDC8-DF78540A2DA6}"/>
    <cellStyle name="Note 2 3 2 4 3" xfId="6146" xr:uid="{00000000-0005-0000-0000-0000FB200000}"/>
    <cellStyle name="Note 2 3 2 4 3 2" xfId="14596" xr:uid="{DD8311BA-8101-47B5-AA12-AB4838B1614D}"/>
    <cellStyle name="Note 2 3 2 4 4" xfId="10378" xr:uid="{B4AB90B8-D7E3-4B0A-9550-167409098C94}"/>
    <cellStyle name="Note 2 3 2 5" xfId="2253" xr:uid="{00000000-0005-0000-0000-0000FC200000}"/>
    <cellStyle name="Note 2 3 2 5 2" xfId="4482" xr:uid="{00000000-0005-0000-0000-0000FD200000}"/>
    <cellStyle name="Note 2 3 2 5 2 2" xfId="8704" xr:uid="{00000000-0005-0000-0000-0000FE200000}"/>
    <cellStyle name="Note 2 3 2 5 2 2 2" xfId="17154" xr:uid="{AE6E9F7A-6FB9-47EE-BD27-2598C0AE9D0B}"/>
    <cellStyle name="Note 2 3 2 5 2 3" xfId="12936" xr:uid="{767E6F1E-F9FB-4031-8835-0E1AC1982AC9}"/>
    <cellStyle name="Note 2 3 2 5 3" xfId="6559" xr:uid="{00000000-0005-0000-0000-0000FF200000}"/>
    <cellStyle name="Note 2 3 2 5 3 2" xfId="15009" xr:uid="{CDDCD2D1-672E-4CD5-9CBC-C50F870C3DE0}"/>
    <cellStyle name="Note 2 3 2 5 4" xfId="10791" xr:uid="{3F5BDB72-49A7-430E-9A94-C6C7A0903320}"/>
    <cellStyle name="Note 2 3 2 6" xfId="2689" xr:uid="{00000000-0005-0000-0000-000000210000}"/>
    <cellStyle name="Note 2 3 2 6 2" xfId="6972" xr:uid="{00000000-0005-0000-0000-000001210000}"/>
    <cellStyle name="Note 2 3 2 6 2 2" xfId="15422" xr:uid="{CE1116B3-FCE7-4D31-A5FD-885A2DB0EAF1}"/>
    <cellStyle name="Note 2 3 2 6 3" xfId="11204" xr:uid="{3570F629-C50E-4FAF-A9E7-B6E1059BD724}"/>
    <cellStyle name="Note 2 3 2 7" xfId="2748" xr:uid="{00000000-0005-0000-0000-000002210000}"/>
    <cellStyle name="Note 2 3 2 8" xfId="2829" xr:uid="{00000000-0005-0000-0000-000003210000}"/>
    <cellStyle name="Note 2 3 2 8 2" xfId="7052" xr:uid="{00000000-0005-0000-0000-000004210000}"/>
    <cellStyle name="Note 2 3 2 8 2 2" xfId="15502" xr:uid="{7C4E2E05-12E0-4E86-B8D5-B94341CD5EB6}"/>
    <cellStyle name="Note 2 3 2 8 3" xfId="11284" xr:uid="{706EDF1F-AD59-44BE-B9A2-4B540D33D6A2}"/>
    <cellStyle name="Note 2 3 2 9" xfId="4907" xr:uid="{00000000-0005-0000-0000-000005210000}"/>
    <cellStyle name="Note 2 3 2 9 2" xfId="13357" xr:uid="{8FCE4C98-29A6-4A3E-AB17-A00BF9DA243A}"/>
    <cellStyle name="Note 2 3 3" xfId="1010" xr:uid="{00000000-0005-0000-0000-000006210000}"/>
    <cellStyle name="Note 2 3 3 2" xfId="3242" xr:uid="{00000000-0005-0000-0000-000007210000}"/>
    <cellStyle name="Note 2 3 3 2 2" xfId="7464" xr:uid="{00000000-0005-0000-0000-000008210000}"/>
    <cellStyle name="Note 2 3 3 2 2 2" xfId="15914" xr:uid="{08A04E54-3DD3-4B4D-8AEA-206D370DC36B}"/>
    <cellStyle name="Note 2 3 3 2 3" xfId="11696" xr:uid="{12FE8436-072C-4268-9E07-0923B48D1889}"/>
    <cellStyle name="Note 2 3 3 3" xfId="5319" xr:uid="{00000000-0005-0000-0000-000009210000}"/>
    <cellStyle name="Note 2 3 3 3 2" xfId="13769" xr:uid="{C91ADC35-941B-4D33-A8CB-FA87530340C8}"/>
    <cellStyle name="Note 2 3 3 4" xfId="9551" xr:uid="{71D99BC1-4E14-49F6-A052-7DDDFEA100A9}"/>
    <cellStyle name="Note 2 3 4" xfId="1425" xr:uid="{00000000-0005-0000-0000-00000A210000}"/>
    <cellStyle name="Note 2 3 4 2" xfId="3655" xr:uid="{00000000-0005-0000-0000-00000B210000}"/>
    <cellStyle name="Note 2 3 4 2 2" xfId="7877" xr:uid="{00000000-0005-0000-0000-00000C210000}"/>
    <cellStyle name="Note 2 3 4 2 2 2" xfId="16327" xr:uid="{3546A0FD-1964-49C8-A79A-E3BEDEFE741F}"/>
    <cellStyle name="Note 2 3 4 2 3" xfId="12109" xr:uid="{326C7E8B-01C7-4C59-A2E2-09E1CDF25873}"/>
    <cellStyle name="Note 2 3 4 3" xfId="5732" xr:uid="{00000000-0005-0000-0000-00000D210000}"/>
    <cellStyle name="Note 2 3 4 3 2" xfId="14182" xr:uid="{CA46491A-6CA7-495E-822F-6C9E8D1DED93}"/>
    <cellStyle name="Note 2 3 4 4" xfId="9964" xr:uid="{533D865B-C03F-443E-90F7-AF275F81E38B}"/>
    <cellStyle name="Note 2 3 5" xfId="1839" xr:uid="{00000000-0005-0000-0000-00000E210000}"/>
    <cellStyle name="Note 2 3 5 2" xfId="4068" xr:uid="{00000000-0005-0000-0000-00000F210000}"/>
    <cellStyle name="Note 2 3 5 2 2" xfId="8290" xr:uid="{00000000-0005-0000-0000-000010210000}"/>
    <cellStyle name="Note 2 3 5 2 2 2" xfId="16740" xr:uid="{714FCCF5-3F89-40DA-AA50-283D9B354E69}"/>
    <cellStyle name="Note 2 3 5 2 3" xfId="12522" xr:uid="{25103ED4-3A00-4FBB-9FFD-260350FD5FC9}"/>
    <cellStyle name="Note 2 3 5 3" xfId="6145" xr:uid="{00000000-0005-0000-0000-000011210000}"/>
    <cellStyle name="Note 2 3 5 3 2" xfId="14595" xr:uid="{63AD6A60-56EB-4B5A-B635-3A687DCDAD60}"/>
    <cellStyle name="Note 2 3 5 4" xfId="10377" xr:uid="{56061481-7CC5-4260-9EDF-5655802B882B}"/>
    <cellStyle name="Note 2 3 6" xfId="2252" xr:uid="{00000000-0005-0000-0000-000012210000}"/>
    <cellStyle name="Note 2 3 6 2" xfId="4481" xr:uid="{00000000-0005-0000-0000-000013210000}"/>
    <cellStyle name="Note 2 3 6 2 2" xfId="8703" xr:uid="{00000000-0005-0000-0000-000014210000}"/>
    <cellStyle name="Note 2 3 6 2 2 2" xfId="17153" xr:uid="{A1EBBF12-6C45-401E-8F27-6DC7F4D6E2AB}"/>
    <cellStyle name="Note 2 3 6 2 3" xfId="12935" xr:uid="{F9F2913D-DBF8-4574-9C9C-81EAC7A03C3F}"/>
    <cellStyle name="Note 2 3 6 3" xfId="6558" xr:uid="{00000000-0005-0000-0000-000015210000}"/>
    <cellStyle name="Note 2 3 6 3 2" xfId="15008" xr:uid="{842F2774-B1D0-492E-84CA-B69C1E95642A}"/>
    <cellStyle name="Note 2 3 6 4" xfId="10790" xr:uid="{F508B7DC-5A5C-4187-B427-689A065DC951}"/>
    <cellStyle name="Note 2 3 7" xfId="2688" xr:uid="{00000000-0005-0000-0000-000016210000}"/>
    <cellStyle name="Note 2 3 7 2" xfId="6971" xr:uid="{00000000-0005-0000-0000-000017210000}"/>
    <cellStyle name="Note 2 3 7 2 2" xfId="15421" xr:uid="{C4E3D18C-86BA-49CE-B49D-E0C6D2968542}"/>
    <cellStyle name="Note 2 3 7 3" xfId="11203" xr:uid="{507DE858-BBBB-44A6-BA79-B09BB8AD5AFA}"/>
    <cellStyle name="Note 2 3 8" xfId="2747" xr:uid="{00000000-0005-0000-0000-000018210000}"/>
    <cellStyle name="Note 2 3 9" xfId="2828" xr:uid="{00000000-0005-0000-0000-000019210000}"/>
    <cellStyle name="Note 2 3 9 2" xfId="7051" xr:uid="{00000000-0005-0000-0000-00001A210000}"/>
    <cellStyle name="Note 2 3 9 2 2" xfId="15501" xr:uid="{C5CC8E6B-1A3F-4BFB-B5E9-C64348A39133}"/>
    <cellStyle name="Note 2 3 9 3" xfId="11283" xr:uid="{D75D48E0-DE14-4DA7-803A-84870F7B8B72}"/>
    <cellStyle name="Note 2 4" xfId="551" xr:uid="{00000000-0005-0000-0000-00001B210000}"/>
    <cellStyle name="Note 2 4 10" xfId="9140" xr:uid="{22092C93-3A5C-4FD3-80B4-1A3D6AA5FD2A}"/>
    <cellStyle name="Note 2 4 2" xfId="1012" xr:uid="{00000000-0005-0000-0000-00001C210000}"/>
    <cellStyle name="Note 2 4 2 2" xfId="3244" xr:uid="{00000000-0005-0000-0000-00001D210000}"/>
    <cellStyle name="Note 2 4 2 2 2" xfId="7466" xr:uid="{00000000-0005-0000-0000-00001E210000}"/>
    <cellStyle name="Note 2 4 2 2 2 2" xfId="15916" xr:uid="{117891AF-FC02-4971-87DC-F77260E87007}"/>
    <cellStyle name="Note 2 4 2 2 3" xfId="11698" xr:uid="{C559D2E3-915F-4303-B0A4-1856A7816EBB}"/>
    <cellStyle name="Note 2 4 2 3" xfId="5321" xr:uid="{00000000-0005-0000-0000-00001F210000}"/>
    <cellStyle name="Note 2 4 2 3 2" xfId="13771" xr:uid="{0AE48117-E995-4342-A2B6-0108B93C5626}"/>
    <cellStyle name="Note 2 4 2 4" xfId="9553" xr:uid="{F3B4C750-7C4B-40D4-AC47-CDBC649519C9}"/>
    <cellStyle name="Note 2 4 3" xfId="1427" xr:uid="{00000000-0005-0000-0000-000020210000}"/>
    <cellStyle name="Note 2 4 3 2" xfId="3657" xr:uid="{00000000-0005-0000-0000-000021210000}"/>
    <cellStyle name="Note 2 4 3 2 2" xfId="7879" xr:uid="{00000000-0005-0000-0000-000022210000}"/>
    <cellStyle name="Note 2 4 3 2 2 2" xfId="16329" xr:uid="{BDF2E28E-012F-4324-8A03-981337BDF5DA}"/>
    <cellStyle name="Note 2 4 3 2 3" xfId="12111" xr:uid="{9745C360-47E7-42B7-ABEF-C3B4B02674CA}"/>
    <cellStyle name="Note 2 4 3 3" xfId="5734" xr:uid="{00000000-0005-0000-0000-000023210000}"/>
    <cellStyle name="Note 2 4 3 3 2" xfId="14184" xr:uid="{79FB87B6-2E0B-41A8-A093-C88363B21F57}"/>
    <cellStyle name="Note 2 4 3 4" xfId="9966" xr:uid="{6F3E9DA5-9C1C-4C4A-9395-8D9944712F40}"/>
    <cellStyle name="Note 2 4 4" xfId="1841" xr:uid="{00000000-0005-0000-0000-000024210000}"/>
    <cellStyle name="Note 2 4 4 2" xfId="4070" xr:uid="{00000000-0005-0000-0000-000025210000}"/>
    <cellStyle name="Note 2 4 4 2 2" xfId="8292" xr:uid="{00000000-0005-0000-0000-000026210000}"/>
    <cellStyle name="Note 2 4 4 2 2 2" xfId="16742" xr:uid="{DBE19741-2417-4A4D-86F2-E3C18EFF0DFF}"/>
    <cellStyle name="Note 2 4 4 2 3" xfId="12524" xr:uid="{E03052E9-74CC-4DDB-BB98-230215D4A83F}"/>
    <cellStyle name="Note 2 4 4 3" xfId="6147" xr:uid="{00000000-0005-0000-0000-000027210000}"/>
    <cellStyle name="Note 2 4 4 3 2" xfId="14597" xr:uid="{65060FBD-10AF-42F4-BD2C-A15578ACF5F8}"/>
    <cellStyle name="Note 2 4 4 4" xfId="10379" xr:uid="{C0994A69-059E-4B37-AA07-14D86D2F048C}"/>
    <cellStyle name="Note 2 4 5" xfId="2254" xr:uid="{00000000-0005-0000-0000-000028210000}"/>
    <cellStyle name="Note 2 4 5 2" xfId="4483" xr:uid="{00000000-0005-0000-0000-000029210000}"/>
    <cellStyle name="Note 2 4 5 2 2" xfId="8705" xr:uid="{00000000-0005-0000-0000-00002A210000}"/>
    <cellStyle name="Note 2 4 5 2 2 2" xfId="17155" xr:uid="{CAFF74E9-8F0F-449D-A3D0-6B9819592E4F}"/>
    <cellStyle name="Note 2 4 5 2 3" xfId="12937" xr:uid="{DBCECF8E-A602-4253-A98A-0F89F612E0E3}"/>
    <cellStyle name="Note 2 4 5 3" xfId="6560" xr:uid="{00000000-0005-0000-0000-00002B210000}"/>
    <cellStyle name="Note 2 4 5 3 2" xfId="15010" xr:uid="{EEF80CE4-2951-46DB-87CA-4753946B1F85}"/>
    <cellStyle name="Note 2 4 5 4" xfId="10792" xr:uid="{9969BF37-38D8-4C00-A125-763663B74E24}"/>
    <cellStyle name="Note 2 4 6" xfId="2690" xr:uid="{00000000-0005-0000-0000-00002C210000}"/>
    <cellStyle name="Note 2 4 6 2" xfId="6973" xr:uid="{00000000-0005-0000-0000-00002D210000}"/>
    <cellStyle name="Note 2 4 6 2 2" xfId="15423" xr:uid="{D5825B71-0FFF-480E-8584-311B727AB6F9}"/>
    <cellStyle name="Note 2 4 6 3" xfId="11205" xr:uid="{ADBC770C-74BD-420E-9689-26321C685A4C}"/>
    <cellStyle name="Note 2 4 7" xfId="2749" xr:uid="{00000000-0005-0000-0000-00002E210000}"/>
    <cellStyle name="Note 2 4 8" xfId="2830" xr:uid="{00000000-0005-0000-0000-00002F210000}"/>
    <cellStyle name="Note 2 4 8 2" xfId="7053" xr:uid="{00000000-0005-0000-0000-000030210000}"/>
    <cellStyle name="Note 2 4 8 2 2" xfId="15503" xr:uid="{A4EC7EEE-C6BC-42DB-80EF-1E53E259805A}"/>
    <cellStyle name="Note 2 4 8 3" xfId="11285" xr:uid="{E6F12180-5DA0-4372-BAA5-127CF03CD570}"/>
    <cellStyle name="Note 2 4 9" xfId="4908" xr:uid="{00000000-0005-0000-0000-000031210000}"/>
    <cellStyle name="Note 2 4 9 2" xfId="13358" xr:uid="{F656FBA6-E457-43D6-B465-0F1CDCF8B64E}"/>
    <cellStyle name="Note 2 5" xfId="552" xr:uid="{00000000-0005-0000-0000-000032210000}"/>
    <cellStyle name="Note 2 5 10" xfId="9141" xr:uid="{07E7A41A-EADB-490E-B446-2DCF3EACF86E}"/>
    <cellStyle name="Note 2 5 2" xfId="1013" xr:uid="{00000000-0005-0000-0000-000033210000}"/>
    <cellStyle name="Note 2 5 2 2" xfId="3245" xr:uid="{00000000-0005-0000-0000-000034210000}"/>
    <cellStyle name="Note 2 5 2 2 2" xfId="7467" xr:uid="{00000000-0005-0000-0000-000035210000}"/>
    <cellStyle name="Note 2 5 2 2 2 2" xfId="15917" xr:uid="{FC651AE8-CF2F-49FC-9F3E-0BC0CD177839}"/>
    <cellStyle name="Note 2 5 2 2 3" xfId="11699" xr:uid="{2783513B-8E5E-4B78-AA30-62E3A0EF2857}"/>
    <cellStyle name="Note 2 5 2 3" xfId="5322" xr:uid="{00000000-0005-0000-0000-000036210000}"/>
    <cellStyle name="Note 2 5 2 3 2" xfId="13772" xr:uid="{42E5BE9C-1A0F-4DB4-A3CD-117392A9001B}"/>
    <cellStyle name="Note 2 5 2 4" xfId="9554" xr:uid="{54BF9464-F482-4CC1-8746-E5123B6E6D35}"/>
    <cellStyle name="Note 2 5 3" xfId="1428" xr:uid="{00000000-0005-0000-0000-000037210000}"/>
    <cellStyle name="Note 2 5 3 2" xfId="3658" xr:uid="{00000000-0005-0000-0000-000038210000}"/>
    <cellStyle name="Note 2 5 3 2 2" xfId="7880" xr:uid="{00000000-0005-0000-0000-000039210000}"/>
    <cellStyle name="Note 2 5 3 2 2 2" xfId="16330" xr:uid="{70AE7B2F-565A-4292-936B-E29EBE39BFC0}"/>
    <cellStyle name="Note 2 5 3 2 3" xfId="12112" xr:uid="{349367C9-199B-48CF-B5BA-5A1FA87CBB3B}"/>
    <cellStyle name="Note 2 5 3 3" xfId="5735" xr:uid="{00000000-0005-0000-0000-00003A210000}"/>
    <cellStyle name="Note 2 5 3 3 2" xfId="14185" xr:uid="{D2591CA1-E772-4B24-84B1-D2617E47CD25}"/>
    <cellStyle name="Note 2 5 3 4" xfId="9967" xr:uid="{8F1ED578-0311-4735-9A88-D45488E9C7CE}"/>
    <cellStyle name="Note 2 5 4" xfId="1842" xr:uid="{00000000-0005-0000-0000-00003B210000}"/>
    <cellStyle name="Note 2 5 4 2" xfId="4071" xr:uid="{00000000-0005-0000-0000-00003C210000}"/>
    <cellStyle name="Note 2 5 4 2 2" xfId="8293" xr:uid="{00000000-0005-0000-0000-00003D210000}"/>
    <cellStyle name="Note 2 5 4 2 2 2" xfId="16743" xr:uid="{7C71B371-FFAB-4386-80EC-74E3416F3D3D}"/>
    <cellStyle name="Note 2 5 4 2 3" xfId="12525" xr:uid="{3B31F23C-90DB-49C8-BAB5-822025FEB745}"/>
    <cellStyle name="Note 2 5 4 3" xfId="6148" xr:uid="{00000000-0005-0000-0000-00003E210000}"/>
    <cellStyle name="Note 2 5 4 3 2" xfId="14598" xr:uid="{DAFF0B11-632D-437A-A7CD-FEEB7F7ED58E}"/>
    <cellStyle name="Note 2 5 4 4" xfId="10380" xr:uid="{B6545584-CE20-40FD-967C-023FC6995049}"/>
    <cellStyle name="Note 2 5 5" xfId="2255" xr:uid="{00000000-0005-0000-0000-00003F210000}"/>
    <cellStyle name="Note 2 5 5 2" xfId="4484" xr:uid="{00000000-0005-0000-0000-000040210000}"/>
    <cellStyle name="Note 2 5 5 2 2" xfId="8706" xr:uid="{00000000-0005-0000-0000-000041210000}"/>
    <cellStyle name="Note 2 5 5 2 2 2" xfId="17156" xr:uid="{0CF14F16-AEA3-4A3D-B348-058B7C669631}"/>
    <cellStyle name="Note 2 5 5 2 3" xfId="12938" xr:uid="{F767E7AF-4FAE-4FA1-A7A5-718F64B49DC6}"/>
    <cellStyle name="Note 2 5 5 3" xfId="6561" xr:uid="{00000000-0005-0000-0000-000042210000}"/>
    <cellStyle name="Note 2 5 5 3 2" xfId="15011" xr:uid="{67FA1408-B3E6-4E42-A8AD-914A62EF1BD5}"/>
    <cellStyle name="Note 2 5 5 4" xfId="10793" xr:uid="{4E58FA24-E201-4C24-A163-CD418380C08C}"/>
    <cellStyle name="Note 2 5 6" xfId="2691" xr:uid="{00000000-0005-0000-0000-000043210000}"/>
    <cellStyle name="Note 2 5 6 2" xfId="6974" xr:uid="{00000000-0005-0000-0000-000044210000}"/>
    <cellStyle name="Note 2 5 6 2 2" xfId="15424" xr:uid="{8FF7AADF-53E0-4DE7-A831-BBFD7F2E2303}"/>
    <cellStyle name="Note 2 5 6 3" xfId="11206" xr:uid="{0DD819A8-E56A-437D-BEEA-8DB841092E19}"/>
    <cellStyle name="Note 2 5 7" xfId="2750" xr:uid="{00000000-0005-0000-0000-000045210000}"/>
    <cellStyle name="Note 2 5 8" xfId="2831" xr:uid="{00000000-0005-0000-0000-000046210000}"/>
    <cellStyle name="Note 2 5 8 2" xfId="7054" xr:uid="{00000000-0005-0000-0000-000047210000}"/>
    <cellStyle name="Note 2 5 8 2 2" xfId="15504" xr:uid="{1B99D306-7389-46FD-9B32-474BE8E24812}"/>
    <cellStyle name="Note 2 5 8 3" xfId="11286" xr:uid="{D1DA2558-E982-4C53-9E45-3A536800588D}"/>
    <cellStyle name="Note 2 5 9" xfId="4909" xr:uid="{00000000-0005-0000-0000-000048210000}"/>
    <cellStyle name="Note 2 5 9 2" xfId="13359" xr:uid="{6661A789-306A-410D-8D3F-0043890C0054}"/>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15505" xr:uid="{047E7D05-7F0F-4652-B32D-E7A4F70F8E37}"/>
    <cellStyle name="Note 3 2 10 3" xfId="11287" xr:uid="{C376C4C3-8510-4931-A6C8-DE04C229A97B}"/>
    <cellStyle name="Note 3 2 11" xfId="4910" xr:uid="{00000000-0005-0000-0000-00004D210000}"/>
    <cellStyle name="Note 3 2 11 2" xfId="13360" xr:uid="{15058289-019E-4CB1-8E21-D853D8265963}"/>
    <cellStyle name="Note 3 2 12" xfId="9142" xr:uid="{12A1F26D-649D-40CA-AB49-307CE6EFFFD6}"/>
    <cellStyle name="Note 3 2 2" xfId="555" xr:uid="{00000000-0005-0000-0000-00004E210000}"/>
    <cellStyle name="Note 3 2 2 10" xfId="4911" xr:uid="{00000000-0005-0000-0000-00004F210000}"/>
    <cellStyle name="Note 3 2 2 10 2" xfId="13361" xr:uid="{8C4DA1DB-52A4-46CA-A48D-E4AB6071F334}"/>
    <cellStyle name="Note 3 2 2 11" xfId="9143" xr:uid="{1326F914-1B3A-49B2-B29D-36953CB3A9FB}"/>
    <cellStyle name="Note 3 2 2 2" xfId="556" xr:uid="{00000000-0005-0000-0000-000050210000}"/>
    <cellStyle name="Note 3 2 2 2 10" xfId="9144" xr:uid="{FD89DD2F-FC9A-4F57-88B2-EF89DBBF014B}"/>
    <cellStyle name="Note 3 2 2 2 2" xfId="1016" xr:uid="{00000000-0005-0000-0000-000051210000}"/>
    <cellStyle name="Note 3 2 2 2 2 2" xfId="3248" xr:uid="{00000000-0005-0000-0000-000052210000}"/>
    <cellStyle name="Note 3 2 2 2 2 2 2" xfId="7470" xr:uid="{00000000-0005-0000-0000-000053210000}"/>
    <cellStyle name="Note 3 2 2 2 2 2 2 2" xfId="15920" xr:uid="{27598591-E1CD-4C40-AA7A-E30AEC1D9118}"/>
    <cellStyle name="Note 3 2 2 2 2 2 3" xfId="11702" xr:uid="{B6D9FDB5-DA40-4B87-ADC4-954F07983C0A}"/>
    <cellStyle name="Note 3 2 2 2 2 3" xfId="5325" xr:uid="{00000000-0005-0000-0000-000054210000}"/>
    <cellStyle name="Note 3 2 2 2 2 3 2" xfId="13775" xr:uid="{606CD533-5542-4033-9EA6-0F6E6E6C56BE}"/>
    <cellStyle name="Note 3 2 2 2 2 4" xfId="9557" xr:uid="{D670759C-0C64-4DD5-A91E-07337A65EB81}"/>
    <cellStyle name="Note 3 2 2 2 3" xfId="1431" xr:uid="{00000000-0005-0000-0000-000055210000}"/>
    <cellStyle name="Note 3 2 2 2 3 2" xfId="3661" xr:uid="{00000000-0005-0000-0000-000056210000}"/>
    <cellStyle name="Note 3 2 2 2 3 2 2" xfId="7883" xr:uid="{00000000-0005-0000-0000-000057210000}"/>
    <cellStyle name="Note 3 2 2 2 3 2 2 2" xfId="16333" xr:uid="{87507AD4-731B-4D0E-8B0C-3615324D9E5B}"/>
    <cellStyle name="Note 3 2 2 2 3 2 3" xfId="12115" xr:uid="{6A57FB7E-7F29-4CF1-82F7-B4891DE39185}"/>
    <cellStyle name="Note 3 2 2 2 3 3" xfId="5738" xr:uid="{00000000-0005-0000-0000-000058210000}"/>
    <cellStyle name="Note 3 2 2 2 3 3 2" xfId="14188" xr:uid="{41D9290B-A5E9-4B3C-A6BB-21857983410B}"/>
    <cellStyle name="Note 3 2 2 2 3 4" xfId="9970" xr:uid="{1C80CB8B-5069-4484-AB45-ABE1282D1B67}"/>
    <cellStyle name="Note 3 2 2 2 4" xfId="1845" xr:uid="{00000000-0005-0000-0000-000059210000}"/>
    <cellStyle name="Note 3 2 2 2 4 2" xfId="4074" xr:uid="{00000000-0005-0000-0000-00005A210000}"/>
    <cellStyle name="Note 3 2 2 2 4 2 2" xfId="8296" xr:uid="{00000000-0005-0000-0000-00005B210000}"/>
    <cellStyle name="Note 3 2 2 2 4 2 2 2" xfId="16746" xr:uid="{1A515C07-85A9-4A2A-A9F5-AF0D93619049}"/>
    <cellStyle name="Note 3 2 2 2 4 2 3" xfId="12528" xr:uid="{6ACAB046-3899-4624-91C3-32FB60087F93}"/>
    <cellStyle name="Note 3 2 2 2 4 3" xfId="6151" xr:uid="{00000000-0005-0000-0000-00005C210000}"/>
    <cellStyle name="Note 3 2 2 2 4 3 2" xfId="14601" xr:uid="{52C03113-9A34-45A7-95C9-1302C9D43431}"/>
    <cellStyle name="Note 3 2 2 2 4 4" xfId="10383" xr:uid="{C8F9186D-A05B-4A02-80F3-C245FA3E53A7}"/>
    <cellStyle name="Note 3 2 2 2 5" xfId="2258" xr:uid="{00000000-0005-0000-0000-00005D210000}"/>
    <cellStyle name="Note 3 2 2 2 5 2" xfId="4487" xr:uid="{00000000-0005-0000-0000-00005E210000}"/>
    <cellStyle name="Note 3 2 2 2 5 2 2" xfId="8709" xr:uid="{00000000-0005-0000-0000-00005F210000}"/>
    <cellStyle name="Note 3 2 2 2 5 2 2 2" xfId="17159" xr:uid="{0706D79D-35B1-499C-B95D-C40AEBF55D3D}"/>
    <cellStyle name="Note 3 2 2 2 5 2 3" xfId="12941" xr:uid="{D1546F65-3658-4A98-ADF4-9E00F75D3E52}"/>
    <cellStyle name="Note 3 2 2 2 5 3" xfId="6564" xr:uid="{00000000-0005-0000-0000-000060210000}"/>
    <cellStyle name="Note 3 2 2 2 5 3 2" xfId="15014" xr:uid="{1930F106-75BD-46DA-9223-98E673F3E5FE}"/>
    <cellStyle name="Note 3 2 2 2 5 4" xfId="10796" xr:uid="{5A83859C-4B3C-4A9F-882B-F52620885E20}"/>
    <cellStyle name="Note 3 2 2 2 6" xfId="2694" xr:uid="{00000000-0005-0000-0000-000061210000}"/>
    <cellStyle name="Note 3 2 2 2 6 2" xfId="6977" xr:uid="{00000000-0005-0000-0000-000062210000}"/>
    <cellStyle name="Note 3 2 2 2 6 2 2" xfId="15427" xr:uid="{522FA5AC-8E8C-4089-9133-761F2411810C}"/>
    <cellStyle name="Note 3 2 2 2 6 3" xfId="11209" xr:uid="{C1B59BC1-03FF-47E4-996F-92303115ECAE}"/>
    <cellStyle name="Note 3 2 2 2 7" xfId="2753" xr:uid="{00000000-0005-0000-0000-000063210000}"/>
    <cellStyle name="Note 3 2 2 2 8" xfId="2834" xr:uid="{00000000-0005-0000-0000-000064210000}"/>
    <cellStyle name="Note 3 2 2 2 8 2" xfId="7057" xr:uid="{00000000-0005-0000-0000-000065210000}"/>
    <cellStyle name="Note 3 2 2 2 8 2 2" xfId="15507" xr:uid="{5BD44B07-D21D-4E43-9D56-FF6452F1F432}"/>
    <cellStyle name="Note 3 2 2 2 8 3" xfId="11289" xr:uid="{50011911-B334-4073-B74F-8B17231EEF35}"/>
    <cellStyle name="Note 3 2 2 2 9" xfId="4912" xr:uid="{00000000-0005-0000-0000-000066210000}"/>
    <cellStyle name="Note 3 2 2 2 9 2" xfId="13362" xr:uid="{CC81FED6-B89A-455D-B05C-41E727ECCC5E}"/>
    <cellStyle name="Note 3 2 2 3" xfId="1015" xr:uid="{00000000-0005-0000-0000-000067210000}"/>
    <cellStyle name="Note 3 2 2 3 2" xfId="3247" xr:uid="{00000000-0005-0000-0000-000068210000}"/>
    <cellStyle name="Note 3 2 2 3 2 2" xfId="7469" xr:uid="{00000000-0005-0000-0000-000069210000}"/>
    <cellStyle name="Note 3 2 2 3 2 2 2" xfId="15919" xr:uid="{6B6810D3-0232-4B9A-917B-3675D4BF066D}"/>
    <cellStyle name="Note 3 2 2 3 2 3" xfId="11701" xr:uid="{A32E6D17-B5E3-474C-A535-5433127283AB}"/>
    <cellStyle name="Note 3 2 2 3 3" xfId="5324" xr:uid="{00000000-0005-0000-0000-00006A210000}"/>
    <cellStyle name="Note 3 2 2 3 3 2" xfId="13774" xr:uid="{3CBB805B-2ABF-42EB-A5A6-687DA8C937B2}"/>
    <cellStyle name="Note 3 2 2 3 4" xfId="9556" xr:uid="{70595ABB-F6B2-42C7-804A-BF2287F61C7B}"/>
    <cellStyle name="Note 3 2 2 4" xfId="1430" xr:uid="{00000000-0005-0000-0000-00006B210000}"/>
    <cellStyle name="Note 3 2 2 4 2" xfId="3660" xr:uid="{00000000-0005-0000-0000-00006C210000}"/>
    <cellStyle name="Note 3 2 2 4 2 2" xfId="7882" xr:uid="{00000000-0005-0000-0000-00006D210000}"/>
    <cellStyle name="Note 3 2 2 4 2 2 2" xfId="16332" xr:uid="{80A7122B-55E7-410B-8E5D-D87AA65821FC}"/>
    <cellStyle name="Note 3 2 2 4 2 3" xfId="12114" xr:uid="{9AFB2635-BC13-4B2E-8572-27237236217E}"/>
    <cellStyle name="Note 3 2 2 4 3" xfId="5737" xr:uid="{00000000-0005-0000-0000-00006E210000}"/>
    <cellStyle name="Note 3 2 2 4 3 2" xfId="14187" xr:uid="{D7B6F7D5-4AF5-4870-B577-440B1EFB55D2}"/>
    <cellStyle name="Note 3 2 2 4 4" xfId="9969" xr:uid="{1D77E699-D2DA-44C3-BB0D-37195BE883A7}"/>
    <cellStyle name="Note 3 2 2 5" xfId="1844" xr:uid="{00000000-0005-0000-0000-00006F210000}"/>
    <cellStyle name="Note 3 2 2 5 2" xfId="4073" xr:uid="{00000000-0005-0000-0000-000070210000}"/>
    <cellStyle name="Note 3 2 2 5 2 2" xfId="8295" xr:uid="{00000000-0005-0000-0000-000071210000}"/>
    <cellStyle name="Note 3 2 2 5 2 2 2" xfId="16745" xr:uid="{D63EDA05-0E5F-41A1-8CA0-8D66D6CA32F6}"/>
    <cellStyle name="Note 3 2 2 5 2 3" xfId="12527" xr:uid="{14F79379-A3FC-4E50-82D7-59D54F56BDAB}"/>
    <cellStyle name="Note 3 2 2 5 3" xfId="6150" xr:uid="{00000000-0005-0000-0000-000072210000}"/>
    <cellStyle name="Note 3 2 2 5 3 2" xfId="14600" xr:uid="{ED4AA669-219C-49E5-88D8-50C2DF86A189}"/>
    <cellStyle name="Note 3 2 2 5 4" xfId="10382" xr:uid="{9DE2DEC0-FCFA-4C48-943C-754BCD05F84D}"/>
    <cellStyle name="Note 3 2 2 6" xfId="2257" xr:uid="{00000000-0005-0000-0000-000073210000}"/>
    <cellStyle name="Note 3 2 2 6 2" xfId="4486" xr:uid="{00000000-0005-0000-0000-000074210000}"/>
    <cellStyle name="Note 3 2 2 6 2 2" xfId="8708" xr:uid="{00000000-0005-0000-0000-000075210000}"/>
    <cellStyle name="Note 3 2 2 6 2 2 2" xfId="17158" xr:uid="{3CCCB8FE-C919-4C1E-BA02-70647DC6DACC}"/>
    <cellStyle name="Note 3 2 2 6 2 3" xfId="12940" xr:uid="{C196B829-9181-43E2-819B-AC9CCE95BA04}"/>
    <cellStyle name="Note 3 2 2 6 3" xfId="6563" xr:uid="{00000000-0005-0000-0000-000076210000}"/>
    <cellStyle name="Note 3 2 2 6 3 2" xfId="15013" xr:uid="{F756E133-3976-4180-9FE2-45BBCB7FE9D6}"/>
    <cellStyle name="Note 3 2 2 6 4" xfId="10795" xr:uid="{07DBEB20-953F-4B28-9654-93B416D1F15A}"/>
    <cellStyle name="Note 3 2 2 7" xfId="2693" xr:uid="{00000000-0005-0000-0000-000077210000}"/>
    <cellStyle name="Note 3 2 2 7 2" xfId="6976" xr:uid="{00000000-0005-0000-0000-000078210000}"/>
    <cellStyle name="Note 3 2 2 7 2 2" xfId="15426" xr:uid="{713BC355-DF80-4B0E-927B-831671A0D240}"/>
    <cellStyle name="Note 3 2 2 7 3" xfId="11208" xr:uid="{46A51042-BEED-4487-BEA0-7AE96AABBB01}"/>
    <cellStyle name="Note 3 2 2 8" xfId="2752" xr:uid="{00000000-0005-0000-0000-000079210000}"/>
    <cellStyle name="Note 3 2 2 9" xfId="2833" xr:uid="{00000000-0005-0000-0000-00007A210000}"/>
    <cellStyle name="Note 3 2 2 9 2" xfId="7056" xr:uid="{00000000-0005-0000-0000-00007B210000}"/>
    <cellStyle name="Note 3 2 2 9 2 2" xfId="15506" xr:uid="{D7653BD0-875E-44F4-BEB5-604EC5C1A83F}"/>
    <cellStyle name="Note 3 2 2 9 3" xfId="11288" xr:uid="{E25FCB33-8F1E-4F93-9ABB-21F8828D694E}"/>
    <cellStyle name="Note 3 2 3" xfId="557" xr:uid="{00000000-0005-0000-0000-00007C210000}"/>
    <cellStyle name="Note 3 2 3 10" xfId="9145" xr:uid="{BC7F8A5B-65DC-4558-A79E-DF8B34A38C43}"/>
    <cellStyle name="Note 3 2 3 2" xfId="1017" xr:uid="{00000000-0005-0000-0000-00007D210000}"/>
    <cellStyle name="Note 3 2 3 2 2" xfId="3249" xr:uid="{00000000-0005-0000-0000-00007E210000}"/>
    <cellStyle name="Note 3 2 3 2 2 2" xfId="7471" xr:uid="{00000000-0005-0000-0000-00007F210000}"/>
    <cellStyle name="Note 3 2 3 2 2 2 2" xfId="15921" xr:uid="{D9CA0B99-88E9-4022-9FD0-B4084323A522}"/>
    <cellStyle name="Note 3 2 3 2 2 3" xfId="11703" xr:uid="{AB5B7515-FB32-4E98-A6C1-E909E2F45F9D}"/>
    <cellStyle name="Note 3 2 3 2 3" xfId="5326" xr:uid="{00000000-0005-0000-0000-000080210000}"/>
    <cellStyle name="Note 3 2 3 2 3 2" xfId="13776" xr:uid="{AD2EDAA2-3884-4748-8FD5-1357A2152F37}"/>
    <cellStyle name="Note 3 2 3 2 4" xfId="9558" xr:uid="{44D0700D-2DA6-4ECD-9E1B-D74EB7A77F6A}"/>
    <cellStyle name="Note 3 2 3 3" xfId="1432" xr:uid="{00000000-0005-0000-0000-000081210000}"/>
    <cellStyle name="Note 3 2 3 3 2" xfId="3662" xr:uid="{00000000-0005-0000-0000-000082210000}"/>
    <cellStyle name="Note 3 2 3 3 2 2" xfId="7884" xr:uid="{00000000-0005-0000-0000-000083210000}"/>
    <cellStyle name="Note 3 2 3 3 2 2 2" xfId="16334" xr:uid="{0699F123-D88B-4AA2-AD9C-0A50D2FBD25B}"/>
    <cellStyle name="Note 3 2 3 3 2 3" xfId="12116" xr:uid="{8909BC81-3028-4A1D-9C9A-15242A3ED19A}"/>
    <cellStyle name="Note 3 2 3 3 3" xfId="5739" xr:uid="{00000000-0005-0000-0000-000084210000}"/>
    <cellStyle name="Note 3 2 3 3 3 2" xfId="14189" xr:uid="{D4E9E96C-CB46-4BA0-9ACE-F53F1558880B}"/>
    <cellStyle name="Note 3 2 3 3 4" xfId="9971" xr:uid="{7DD997D5-4C70-46B9-84EA-AB7FABFFC0FC}"/>
    <cellStyle name="Note 3 2 3 4" xfId="1846" xr:uid="{00000000-0005-0000-0000-000085210000}"/>
    <cellStyle name="Note 3 2 3 4 2" xfId="4075" xr:uid="{00000000-0005-0000-0000-000086210000}"/>
    <cellStyle name="Note 3 2 3 4 2 2" xfId="8297" xr:uid="{00000000-0005-0000-0000-000087210000}"/>
    <cellStyle name="Note 3 2 3 4 2 2 2" xfId="16747" xr:uid="{A7C74AB9-B882-46FE-AEB1-95944577F206}"/>
    <cellStyle name="Note 3 2 3 4 2 3" xfId="12529" xr:uid="{FE270D6A-7392-47C6-B5CD-5261C24D7660}"/>
    <cellStyle name="Note 3 2 3 4 3" xfId="6152" xr:uid="{00000000-0005-0000-0000-000088210000}"/>
    <cellStyle name="Note 3 2 3 4 3 2" xfId="14602" xr:uid="{0FE65F89-A714-4800-B3EF-DB40AE89BC1C}"/>
    <cellStyle name="Note 3 2 3 4 4" xfId="10384" xr:uid="{9CC92C23-A4E7-4E6E-B5F7-DAD70289EA09}"/>
    <cellStyle name="Note 3 2 3 5" xfId="2259" xr:uid="{00000000-0005-0000-0000-000089210000}"/>
    <cellStyle name="Note 3 2 3 5 2" xfId="4488" xr:uid="{00000000-0005-0000-0000-00008A210000}"/>
    <cellStyle name="Note 3 2 3 5 2 2" xfId="8710" xr:uid="{00000000-0005-0000-0000-00008B210000}"/>
    <cellStyle name="Note 3 2 3 5 2 2 2" xfId="17160" xr:uid="{D7DE5242-1910-4948-AE0A-2965F3B9F736}"/>
    <cellStyle name="Note 3 2 3 5 2 3" xfId="12942" xr:uid="{FDC6ECA7-8608-4654-A6D1-ADF23FC94ADA}"/>
    <cellStyle name="Note 3 2 3 5 3" xfId="6565" xr:uid="{00000000-0005-0000-0000-00008C210000}"/>
    <cellStyle name="Note 3 2 3 5 3 2" xfId="15015" xr:uid="{9C6F1696-EC61-4F81-9DDF-CD51E2DBEEF4}"/>
    <cellStyle name="Note 3 2 3 5 4" xfId="10797" xr:uid="{73400B30-E70A-4BA3-A44E-FBAE4AAB1F49}"/>
    <cellStyle name="Note 3 2 3 6" xfId="2695" xr:uid="{00000000-0005-0000-0000-00008D210000}"/>
    <cellStyle name="Note 3 2 3 6 2" xfId="6978" xr:uid="{00000000-0005-0000-0000-00008E210000}"/>
    <cellStyle name="Note 3 2 3 6 2 2" xfId="15428" xr:uid="{0B653CC9-878A-4B20-A7CA-3318BF87FA76}"/>
    <cellStyle name="Note 3 2 3 6 3" xfId="11210" xr:uid="{3FC17DD1-139B-4A05-B47F-AA99D03C6EA1}"/>
    <cellStyle name="Note 3 2 3 7" xfId="2754" xr:uid="{00000000-0005-0000-0000-00008F210000}"/>
    <cellStyle name="Note 3 2 3 8" xfId="2835" xr:uid="{00000000-0005-0000-0000-000090210000}"/>
    <cellStyle name="Note 3 2 3 8 2" xfId="7058" xr:uid="{00000000-0005-0000-0000-000091210000}"/>
    <cellStyle name="Note 3 2 3 8 2 2" xfId="15508" xr:uid="{02F9C6A3-B124-4D54-B58D-34B38A2E7994}"/>
    <cellStyle name="Note 3 2 3 8 3" xfId="11290" xr:uid="{6F8D08AB-12FF-4906-9638-E3F544697774}"/>
    <cellStyle name="Note 3 2 3 9" xfId="4913" xr:uid="{00000000-0005-0000-0000-000092210000}"/>
    <cellStyle name="Note 3 2 3 9 2" xfId="13363" xr:uid="{A303CD21-265A-485A-B150-8FF7E581DE8F}"/>
    <cellStyle name="Note 3 2 4" xfId="1014" xr:uid="{00000000-0005-0000-0000-000093210000}"/>
    <cellStyle name="Note 3 2 4 2" xfId="3246" xr:uid="{00000000-0005-0000-0000-000094210000}"/>
    <cellStyle name="Note 3 2 4 2 2" xfId="7468" xr:uid="{00000000-0005-0000-0000-000095210000}"/>
    <cellStyle name="Note 3 2 4 2 2 2" xfId="15918" xr:uid="{013BDA55-9DA5-4731-A486-04EF071737C1}"/>
    <cellStyle name="Note 3 2 4 2 3" xfId="11700" xr:uid="{9464B4AA-E005-41F9-A843-9C31013206E8}"/>
    <cellStyle name="Note 3 2 4 3" xfId="5323" xr:uid="{00000000-0005-0000-0000-000096210000}"/>
    <cellStyle name="Note 3 2 4 3 2" xfId="13773" xr:uid="{F7174555-FE03-4E32-8F0A-D2BA9D8A661F}"/>
    <cellStyle name="Note 3 2 4 4" xfId="9555" xr:uid="{C1F96022-197D-4751-9438-3B5C09458755}"/>
    <cellStyle name="Note 3 2 5" xfId="1429" xr:uid="{00000000-0005-0000-0000-000097210000}"/>
    <cellStyle name="Note 3 2 5 2" xfId="3659" xr:uid="{00000000-0005-0000-0000-000098210000}"/>
    <cellStyle name="Note 3 2 5 2 2" xfId="7881" xr:uid="{00000000-0005-0000-0000-000099210000}"/>
    <cellStyle name="Note 3 2 5 2 2 2" xfId="16331" xr:uid="{8ECF38B7-3FE6-48E8-B2B9-BAE6731FF1BE}"/>
    <cellStyle name="Note 3 2 5 2 3" xfId="12113" xr:uid="{3CB0EF0A-0ED5-4388-9D55-2A7EF2A1717F}"/>
    <cellStyle name="Note 3 2 5 3" xfId="5736" xr:uid="{00000000-0005-0000-0000-00009A210000}"/>
    <cellStyle name="Note 3 2 5 3 2" xfId="14186" xr:uid="{0614FA84-8D12-4751-87BE-6D8ADAB3E6D8}"/>
    <cellStyle name="Note 3 2 5 4" xfId="9968" xr:uid="{988E5E6C-45FB-4EA1-8E76-DA3E756C9905}"/>
    <cellStyle name="Note 3 2 6" xfId="1843" xr:uid="{00000000-0005-0000-0000-00009B210000}"/>
    <cellStyle name="Note 3 2 6 2" xfId="4072" xr:uid="{00000000-0005-0000-0000-00009C210000}"/>
    <cellStyle name="Note 3 2 6 2 2" xfId="8294" xr:uid="{00000000-0005-0000-0000-00009D210000}"/>
    <cellStyle name="Note 3 2 6 2 2 2" xfId="16744" xr:uid="{A9D814FA-8DA9-42B8-A72D-80573B3EA8AD}"/>
    <cellStyle name="Note 3 2 6 2 3" xfId="12526" xr:uid="{D5AC001F-2E2E-4B79-A481-43789AE24DD1}"/>
    <cellStyle name="Note 3 2 6 3" xfId="6149" xr:uid="{00000000-0005-0000-0000-00009E210000}"/>
    <cellStyle name="Note 3 2 6 3 2" xfId="14599" xr:uid="{BD5C3EB0-DC99-4E74-8273-89AA59864970}"/>
    <cellStyle name="Note 3 2 6 4" xfId="10381" xr:uid="{4725067B-F742-41AC-8F9C-41B45DF76983}"/>
    <cellStyle name="Note 3 2 7" xfId="2256" xr:uid="{00000000-0005-0000-0000-00009F210000}"/>
    <cellStyle name="Note 3 2 7 2" xfId="4485" xr:uid="{00000000-0005-0000-0000-0000A0210000}"/>
    <cellStyle name="Note 3 2 7 2 2" xfId="8707" xr:uid="{00000000-0005-0000-0000-0000A1210000}"/>
    <cellStyle name="Note 3 2 7 2 2 2" xfId="17157" xr:uid="{0B4D4210-C5E1-43B8-A858-1E43A59DA972}"/>
    <cellStyle name="Note 3 2 7 2 3" xfId="12939" xr:uid="{94D23F07-07D4-4A37-A45A-C408EEC03D7C}"/>
    <cellStyle name="Note 3 2 7 3" xfId="6562" xr:uid="{00000000-0005-0000-0000-0000A2210000}"/>
    <cellStyle name="Note 3 2 7 3 2" xfId="15012" xr:uid="{1776254B-C407-4A51-BF0D-61B74C0E136E}"/>
    <cellStyle name="Note 3 2 7 4" xfId="10794" xr:uid="{6C6D4F01-C95B-49E9-91D9-5CC6CF8C4104}"/>
    <cellStyle name="Note 3 2 8" xfId="2692" xr:uid="{00000000-0005-0000-0000-0000A3210000}"/>
    <cellStyle name="Note 3 2 8 2" xfId="6975" xr:uid="{00000000-0005-0000-0000-0000A4210000}"/>
    <cellStyle name="Note 3 2 8 2 2" xfId="15425" xr:uid="{DDBD02A6-BC67-40B8-8CA2-F5FB448B49FA}"/>
    <cellStyle name="Note 3 2 8 3" xfId="11207" xr:uid="{6A3D9FDA-3D8C-4343-8B5A-E79A57AEF80F}"/>
    <cellStyle name="Note 3 2 9" xfId="2751" xr:uid="{00000000-0005-0000-0000-0000A5210000}"/>
    <cellStyle name="Note 3 3" xfId="558" xr:uid="{00000000-0005-0000-0000-0000A6210000}"/>
    <cellStyle name="Note 3 3 10" xfId="4914" xr:uid="{00000000-0005-0000-0000-0000A7210000}"/>
    <cellStyle name="Note 3 3 10 2" xfId="13364" xr:uid="{D7181B5D-17B6-4D07-9F96-006C327BCEDB}"/>
    <cellStyle name="Note 3 3 11" xfId="9146" xr:uid="{1E0EC1E0-8FE0-4EA2-B5B9-524535011202}"/>
    <cellStyle name="Note 3 3 2" xfId="559" xr:uid="{00000000-0005-0000-0000-0000A8210000}"/>
    <cellStyle name="Note 3 3 2 10" xfId="9147" xr:uid="{D22DE241-FE08-400E-9761-9168878C5E9F}"/>
    <cellStyle name="Note 3 3 2 2" xfId="1019" xr:uid="{00000000-0005-0000-0000-0000A9210000}"/>
    <cellStyle name="Note 3 3 2 2 2" xfId="3251" xr:uid="{00000000-0005-0000-0000-0000AA210000}"/>
    <cellStyle name="Note 3 3 2 2 2 2" xfId="7473" xr:uid="{00000000-0005-0000-0000-0000AB210000}"/>
    <cellStyle name="Note 3 3 2 2 2 2 2" xfId="15923" xr:uid="{9F0B3B04-EB88-4319-BFEB-5F5EA96968B9}"/>
    <cellStyle name="Note 3 3 2 2 2 3" xfId="11705" xr:uid="{5FAD760D-C408-4441-81A1-45B3B6873DCD}"/>
    <cellStyle name="Note 3 3 2 2 3" xfId="5328" xr:uid="{00000000-0005-0000-0000-0000AC210000}"/>
    <cellStyle name="Note 3 3 2 2 3 2" xfId="13778" xr:uid="{D262F78C-BBF9-4A5D-A8B5-080C28D362E2}"/>
    <cellStyle name="Note 3 3 2 2 4" xfId="9560" xr:uid="{AD4159DF-532A-48D7-8345-806CB07BEE6C}"/>
    <cellStyle name="Note 3 3 2 3" xfId="1434" xr:uid="{00000000-0005-0000-0000-0000AD210000}"/>
    <cellStyle name="Note 3 3 2 3 2" xfId="3664" xr:uid="{00000000-0005-0000-0000-0000AE210000}"/>
    <cellStyle name="Note 3 3 2 3 2 2" xfId="7886" xr:uid="{00000000-0005-0000-0000-0000AF210000}"/>
    <cellStyle name="Note 3 3 2 3 2 2 2" xfId="16336" xr:uid="{86FBA50E-438B-4606-9A37-F6F24822225E}"/>
    <cellStyle name="Note 3 3 2 3 2 3" xfId="12118" xr:uid="{97564CD0-102A-448D-BBF3-E00A15380DF4}"/>
    <cellStyle name="Note 3 3 2 3 3" xfId="5741" xr:uid="{00000000-0005-0000-0000-0000B0210000}"/>
    <cellStyle name="Note 3 3 2 3 3 2" xfId="14191" xr:uid="{BD2E4FE2-7A44-4E15-BF95-386854E8F2C7}"/>
    <cellStyle name="Note 3 3 2 3 4" xfId="9973" xr:uid="{BBC7DD7C-C0F8-4673-BBB8-D39C9ABCE6C6}"/>
    <cellStyle name="Note 3 3 2 4" xfId="1848" xr:uid="{00000000-0005-0000-0000-0000B1210000}"/>
    <cellStyle name="Note 3 3 2 4 2" xfId="4077" xr:uid="{00000000-0005-0000-0000-0000B2210000}"/>
    <cellStyle name="Note 3 3 2 4 2 2" xfId="8299" xr:uid="{00000000-0005-0000-0000-0000B3210000}"/>
    <cellStyle name="Note 3 3 2 4 2 2 2" xfId="16749" xr:uid="{17767CA1-BC8F-4337-83F7-67698579E2D8}"/>
    <cellStyle name="Note 3 3 2 4 2 3" xfId="12531" xr:uid="{FA973125-92EB-4C49-B449-022B0C2DC15B}"/>
    <cellStyle name="Note 3 3 2 4 3" xfId="6154" xr:uid="{00000000-0005-0000-0000-0000B4210000}"/>
    <cellStyle name="Note 3 3 2 4 3 2" xfId="14604" xr:uid="{4642717B-C7B5-4589-8E26-E19700445A71}"/>
    <cellStyle name="Note 3 3 2 4 4" xfId="10386" xr:uid="{683D6D59-43BE-45A3-8E36-23F06590FA15}"/>
    <cellStyle name="Note 3 3 2 5" xfId="2261" xr:uid="{00000000-0005-0000-0000-0000B5210000}"/>
    <cellStyle name="Note 3 3 2 5 2" xfId="4490" xr:uid="{00000000-0005-0000-0000-0000B6210000}"/>
    <cellStyle name="Note 3 3 2 5 2 2" xfId="8712" xr:uid="{00000000-0005-0000-0000-0000B7210000}"/>
    <cellStyle name="Note 3 3 2 5 2 2 2" xfId="17162" xr:uid="{EA57F34A-BF78-4608-8B14-A0AFE797233F}"/>
    <cellStyle name="Note 3 3 2 5 2 3" xfId="12944" xr:uid="{4ED51673-17AB-48FB-8853-1D97C72F74F2}"/>
    <cellStyle name="Note 3 3 2 5 3" xfId="6567" xr:uid="{00000000-0005-0000-0000-0000B8210000}"/>
    <cellStyle name="Note 3 3 2 5 3 2" xfId="15017" xr:uid="{E187DBA4-F209-4163-B727-BF40088EC3F5}"/>
    <cellStyle name="Note 3 3 2 5 4" xfId="10799" xr:uid="{B4C4A654-4AD2-42A8-9891-E3AFAD4BED63}"/>
    <cellStyle name="Note 3 3 2 6" xfId="2697" xr:uid="{00000000-0005-0000-0000-0000B9210000}"/>
    <cellStyle name="Note 3 3 2 6 2" xfId="6980" xr:uid="{00000000-0005-0000-0000-0000BA210000}"/>
    <cellStyle name="Note 3 3 2 6 2 2" xfId="15430" xr:uid="{B4A8EDCD-EDA7-4F5F-85A1-6EFFFFF43125}"/>
    <cellStyle name="Note 3 3 2 6 3" xfId="11212" xr:uid="{DC76AFDC-35C7-4446-B5BB-A34E521DE160}"/>
    <cellStyle name="Note 3 3 2 7" xfId="2756" xr:uid="{00000000-0005-0000-0000-0000BB210000}"/>
    <cellStyle name="Note 3 3 2 8" xfId="2837" xr:uid="{00000000-0005-0000-0000-0000BC210000}"/>
    <cellStyle name="Note 3 3 2 8 2" xfId="7060" xr:uid="{00000000-0005-0000-0000-0000BD210000}"/>
    <cellStyle name="Note 3 3 2 8 2 2" xfId="15510" xr:uid="{1DA3C8C2-AAC8-4827-9FFF-C851C2E43423}"/>
    <cellStyle name="Note 3 3 2 8 3" xfId="11292" xr:uid="{D134677A-42A0-4FA7-9023-717A754AD677}"/>
    <cellStyle name="Note 3 3 2 9" xfId="4915" xr:uid="{00000000-0005-0000-0000-0000BE210000}"/>
    <cellStyle name="Note 3 3 2 9 2" xfId="13365" xr:uid="{2B56D883-3A33-40FE-B4EC-A122BCBB31A0}"/>
    <cellStyle name="Note 3 3 3" xfId="1018" xr:uid="{00000000-0005-0000-0000-0000BF210000}"/>
    <cellStyle name="Note 3 3 3 2" xfId="3250" xr:uid="{00000000-0005-0000-0000-0000C0210000}"/>
    <cellStyle name="Note 3 3 3 2 2" xfId="7472" xr:uid="{00000000-0005-0000-0000-0000C1210000}"/>
    <cellStyle name="Note 3 3 3 2 2 2" xfId="15922" xr:uid="{F2DF3640-2EFC-4319-A1C7-397F4D991345}"/>
    <cellStyle name="Note 3 3 3 2 3" xfId="11704" xr:uid="{A4B56204-5553-4836-9F5D-57B188899E3B}"/>
    <cellStyle name="Note 3 3 3 3" xfId="5327" xr:uid="{00000000-0005-0000-0000-0000C2210000}"/>
    <cellStyle name="Note 3 3 3 3 2" xfId="13777" xr:uid="{3022FB76-8E2C-4B0C-9A5A-FB414DB0D289}"/>
    <cellStyle name="Note 3 3 3 4" xfId="9559" xr:uid="{61FC2C93-806E-4337-99F0-D17293DDF978}"/>
    <cellStyle name="Note 3 3 4" xfId="1433" xr:uid="{00000000-0005-0000-0000-0000C3210000}"/>
    <cellStyle name="Note 3 3 4 2" xfId="3663" xr:uid="{00000000-0005-0000-0000-0000C4210000}"/>
    <cellStyle name="Note 3 3 4 2 2" xfId="7885" xr:uid="{00000000-0005-0000-0000-0000C5210000}"/>
    <cellStyle name="Note 3 3 4 2 2 2" xfId="16335" xr:uid="{A39FF630-9794-4DD5-BB3C-C3B7B4FF7CD1}"/>
    <cellStyle name="Note 3 3 4 2 3" xfId="12117" xr:uid="{B2E41F75-93FD-45FC-9BD8-148ADFE7302F}"/>
    <cellStyle name="Note 3 3 4 3" xfId="5740" xr:uid="{00000000-0005-0000-0000-0000C6210000}"/>
    <cellStyle name="Note 3 3 4 3 2" xfId="14190" xr:uid="{D5F06440-2C7D-409A-BE86-BDEAAE687EB2}"/>
    <cellStyle name="Note 3 3 4 4" xfId="9972" xr:uid="{D5E91768-B5F3-49F6-B862-5413131881E4}"/>
    <cellStyle name="Note 3 3 5" xfId="1847" xr:uid="{00000000-0005-0000-0000-0000C7210000}"/>
    <cellStyle name="Note 3 3 5 2" xfId="4076" xr:uid="{00000000-0005-0000-0000-0000C8210000}"/>
    <cellStyle name="Note 3 3 5 2 2" xfId="8298" xr:uid="{00000000-0005-0000-0000-0000C9210000}"/>
    <cellStyle name="Note 3 3 5 2 2 2" xfId="16748" xr:uid="{58E2F7C1-2FFA-42E0-849B-3DA51518083C}"/>
    <cellStyle name="Note 3 3 5 2 3" xfId="12530" xr:uid="{4CAABBCE-8F75-4763-8FFE-C25A20936C0F}"/>
    <cellStyle name="Note 3 3 5 3" xfId="6153" xr:uid="{00000000-0005-0000-0000-0000CA210000}"/>
    <cellStyle name="Note 3 3 5 3 2" xfId="14603" xr:uid="{EBAF4697-9210-47D3-9EBE-8D21A247840C}"/>
    <cellStyle name="Note 3 3 5 4" xfId="10385" xr:uid="{E04E6569-1671-4A27-9C87-C872A576B455}"/>
    <cellStyle name="Note 3 3 6" xfId="2260" xr:uid="{00000000-0005-0000-0000-0000CB210000}"/>
    <cellStyle name="Note 3 3 6 2" xfId="4489" xr:uid="{00000000-0005-0000-0000-0000CC210000}"/>
    <cellStyle name="Note 3 3 6 2 2" xfId="8711" xr:uid="{00000000-0005-0000-0000-0000CD210000}"/>
    <cellStyle name="Note 3 3 6 2 2 2" xfId="17161" xr:uid="{ED81405B-9837-4FB5-B4A0-916F5F89226F}"/>
    <cellStyle name="Note 3 3 6 2 3" xfId="12943" xr:uid="{6A8E895B-184E-4466-8761-8A7F103C9BCC}"/>
    <cellStyle name="Note 3 3 6 3" xfId="6566" xr:uid="{00000000-0005-0000-0000-0000CE210000}"/>
    <cellStyle name="Note 3 3 6 3 2" xfId="15016" xr:uid="{FA4C9F18-6E1F-42E0-9B04-77A9E26C36E8}"/>
    <cellStyle name="Note 3 3 6 4" xfId="10798" xr:uid="{C4B4E9A9-F816-42CD-A7D7-8A42EB99F174}"/>
    <cellStyle name="Note 3 3 7" xfId="2696" xr:uid="{00000000-0005-0000-0000-0000CF210000}"/>
    <cellStyle name="Note 3 3 7 2" xfId="6979" xr:uid="{00000000-0005-0000-0000-0000D0210000}"/>
    <cellStyle name="Note 3 3 7 2 2" xfId="15429" xr:uid="{91E039F5-D2BA-411F-A639-4F3C9C31CC8A}"/>
    <cellStyle name="Note 3 3 7 3" xfId="11211" xr:uid="{B4850610-2ECE-45D7-92B2-2734E5EA788E}"/>
    <cellStyle name="Note 3 3 8" xfId="2755" xr:uid="{00000000-0005-0000-0000-0000D1210000}"/>
    <cellStyle name="Note 3 3 9" xfId="2836" xr:uid="{00000000-0005-0000-0000-0000D2210000}"/>
    <cellStyle name="Note 3 3 9 2" xfId="7059" xr:uid="{00000000-0005-0000-0000-0000D3210000}"/>
    <cellStyle name="Note 3 3 9 2 2" xfId="15509" xr:uid="{653612FE-812D-4BEA-8F78-58EFECFEFA6E}"/>
    <cellStyle name="Note 3 3 9 3" xfId="11291" xr:uid="{B765F301-FAC8-45E1-89EA-8C57FE6419AF}"/>
    <cellStyle name="Note 3 4" xfId="560" xr:uid="{00000000-0005-0000-0000-0000D4210000}"/>
    <cellStyle name="Note 3 4 10" xfId="9148" xr:uid="{48CE3654-C7A2-4A28-8C8E-610183B8C121}"/>
    <cellStyle name="Note 3 4 2" xfId="1020" xr:uid="{00000000-0005-0000-0000-0000D5210000}"/>
    <cellStyle name="Note 3 4 2 2" xfId="3252" xr:uid="{00000000-0005-0000-0000-0000D6210000}"/>
    <cellStyle name="Note 3 4 2 2 2" xfId="7474" xr:uid="{00000000-0005-0000-0000-0000D7210000}"/>
    <cellStyle name="Note 3 4 2 2 2 2" xfId="15924" xr:uid="{A1E1106F-D5E1-4E26-A87E-81E4F2A2C436}"/>
    <cellStyle name="Note 3 4 2 2 3" xfId="11706" xr:uid="{18A00AA1-CEBB-4BE9-8199-3D2EE0BD8AD5}"/>
    <cellStyle name="Note 3 4 2 3" xfId="5329" xr:uid="{00000000-0005-0000-0000-0000D8210000}"/>
    <cellStyle name="Note 3 4 2 3 2" xfId="13779" xr:uid="{E0640B83-5A54-46AE-B71E-7321F11302A0}"/>
    <cellStyle name="Note 3 4 2 4" xfId="9561" xr:uid="{3855923C-C510-4EC0-B768-218FDDBDAFCB}"/>
    <cellStyle name="Note 3 4 3" xfId="1435" xr:uid="{00000000-0005-0000-0000-0000D9210000}"/>
    <cellStyle name="Note 3 4 3 2" xfId="3665" xr:uid="{00000000-0005-0000-0000-0000DA210000}"/>
    <cellStyle name="Note 3 4 3 2 2" xfId="7887" xr:uid="{00000000-0005-0000-0000-0000DB210000}"/>
    <cellStyle name="Note 3 4 3 2 2 2" xfId="16337" xr:uid="{54FC92C8-FBD8-4153-BA19-DDAEB98D254C}"/>
    <cellStyle name="Note 3 4 3 2 3" xfId="12119" xr:uid="{6E2C028B-0283-48C3-A266-117845FC62F7}"/>
    <cellStyle name="Note 3 4 3 3" xfId="5742" xr:uid="{00000000-0005-0000-0000-0000DC210000}"/>
    <cellStyle name="Note 3 4 3 3 2" xfId="14192" xr:uid="{39CDF74D-CCF3-4DDF-B8AC-D4ACA99560D5}"/>
    <cellStyle name="Note 3 4 3 4" xfId="9974" xr:uid="{166622A7-5215-4E30-900E-A4DC7E98E8CA}"/>
    <cellStyle name="Note 3 4 4" xfId="1849" xr:uid="{00000000-0005-0000-0000-0000DD210000}"/>
    <cellStyle name="Note 3 4 4 2" xfId="4078" xr:uid="{00000000-0005-0000-0000-0000DE210000}"/>
    <cellStyle name="Note 3 4 4 2 2" xfId="8300" xr:uid="{00000000-0005-0000-0000-0000DF210000}"/>
    <cellStyle name="Note 3 4 4 2 2 2" xfId="16750" xr:uid="{79BD7150-7B6A-4374-B944-352F2BD4997F}"/>
    <cellStyle name="Note 3 4 4 2 3" xfId="12532" xr:uid="{313C4449-DFF8-4C2E-9FC1-4D003F0671EA}"/>
    <cellStyle name="Note 3 4 4 3" xfId="6155" xr:uid="{00000000-0005-0000-0000-0000E0210000}"/>
    <cellStyle name="Note 3 4 4 3 2" xfId="14605" xr:uid="{06F7BAF1-9651-4946-BDE2-0B52E1842790}"/>
    <cellStyle name="Note 3 4 4 4" xfId="10387" xr:uid="{00146D83-3E6B-47BC-94CA-0B1782B0121A}"/>
    <cellStyle name="Note 3 4 5" xfId="2262" xr:uid="{00000000-0005-0000-0000-0000E1210000}"/>
    <cellStyle name="Note 3 4 5 2" xfId="4491" xr:uid="{00000000-0005-0000-0000-0000E2210000}"/>
    <cellStyle name="Note 3 4 5 2 2" xfId="8713" xr:uid="{00000000-0005-0000-0000-0000E3210000}"/>
    <cellStyle name="Note 3 4 5 2 2 2" xfId="17163" xr:uid="{535C41A0-6340-4BCC-BE85-B609C05F4FE3}"/>
    <cellStyle name="Note 3 4 5 2 3" xfId="12945" xr:uid="{EE831C8E-731F-4C66-811D-E9C28BB60F6E}"/>
    <cellStyle name="Note 3 4 5 3" xfId="6568" xr:uid="{00000000-0005-0000-0000-0000E4210000}"/>
    <cellStyle name="Note 3 4 5 3 2" xfId="15018" xr:uid="{25906276-81C5-4544-BCCB-A74CEA3C72BA}"/>
    <cellStyle name="Note 3 4 5 4" xfId="10800" xr:uid="{C84B69A6-2D7B-499F-881A-1B03C161FC69}"/>
    <cellStyle name="Note 3 4 6" xfId="2698" xr:uid="{00000000-0005-0000-0000-0000E5210000}"/>
    <cellStyle name="Note 3 4 6 2" xfId="6981" xr:uid="{00000000-0005-0000-0000-0000E6210000}"/>
    <cellStyle name="Note 3 4 6 2 2" xfId="15431" xr:uid="{CC6B2A09-C3A8-492E-9514-F2E1736943C8}"/>
    <cellStyle name="Note 3 4 6 3" xfId="11213" xr:uid="{AD8A6E81-31B8-4CC9-9A92-8AD3B88B2971}"/>
    <cellStyle name="Note 3 4 7" xfId="2757" xr:uid="{00000000-0005-0000-0000-0000E7210000}"/>
    <cellStyle name="Note 3 4 8" xfId="2838" xr:uid="{00000000-0005-0000-0000-0000E8210000}"/>
    <cellStyle name="Note 3 4 8 2" xfId="7061" xr:uid="{00000000-0005-0000-0000-0000E9210000}"/>
    <cellStyle name="Note 3 4 8 2 2" xfId="15511" xr:uid="{00C6E007-D5DE-49EE-9B7E-0897DC8956CE}"/>
    <cellStyle name="Note 3 4 8 3" xfId="11293" xr:uid="{9E38361F-5E7C-4CC0-B5D6-2AB4D291B837}"/>
    <cellStyle name="Note 3 4 9" xfId="4916" xr:uid="{00000000-0005-0000-0000-0000EA210000}"/>
    <cellStyle name="Note 3 4 9 2" xfId="13366" xr:uid="{848817D2-E724-4A7E-BD13-5B7DEB84288C}"/>
    <cellStyle name="Note 3 5" xfId="561" xr:uid="{00000000-0005-0000-0000-0000EB210000}"/>
    <cellStyle name="Note 3 5 10" xfId="9149" xr:uid="{A0FFE402-6418-4B68-9793-09A9337E6E94}"/>
    <cellStyle name="Note 3 5 2" xfId="1021" xr:uid="{00000000-0005-0000-0000-0000EC210000}"/>
    <cellStyle name="Note 3 5 2 2" xfId="3253" xr:uid="{00000000-0005-0000-0000-0000ED210000}"/>
    <cellStyle name="Note 3 5 2 2 2" xfId="7475" xr:uid="{00000000-0005-0000-0000-0000EE210000}"/>
    <cellStyle name="Note 3 5 2 2 2 2" xfId="15925" xr:uid="{1648C6E2-EAE0-4CE7-8284-FA5663192628}"/>
    <cellStyle name="Note 3 5 2 2 3" xfId="11707" xr:uid="{A3F7CB6A-925A-4E9A-A649-11EE48056806}"/>
    <cellStyle name="Note 3 5 2 3" xfId="5330" xr:uid="{00000000-0005-0000-0000-0000EF210000}"/>
    <cellStyle name="Note 3 5 2 3 2" xfId="13780" xr:uid="{E8357FE2-486E-4B9C-A3B1-0BAD6306DE7E}"/>
    <cellStyle name="Note 3 5 2 4" xfId="9562" xr:uid="{59CE7E41-3BD8-4C6B-BAB8-05E74250FB24}"/>
    <cellStyle name="Note 3 5 3" xfId="1436" xr:uid="{00000000-0005-0000-0000-0000F0210000}"/>
    <cellStyle name="Note 3 5 3 2" xfId="3666" xr:uid="{00000000-0005-0000-0000-0000F1210000}"/>
    <cellStyle name="Note 3 5 3 2 2" xfId="7888" xr:uid="{00000000-0005-0000-0000-0000F2210000}"/>
    <cellStyle name="Note 3 5 3 2 2 2" xfId="16338" xr:uid="{476E59D9-DD37-490E-B871-2464E61D1568}"/>
    <cellStyle name="Note 3 5 3 2 3" xfId="12120" xr:uid="{D7B2518E-FF5C-4F77-BC8C-9BE3E1D4E019}"/>
    <cellStyle name="Note 3 5 3 3" xfId="5743" xr:uid="{00000000-0005-0000-0000-0000F3210000}"/>
    <cellStyle name="Note 3 5 3 3 2" xfId="14193" xr:uid="{A4E1FF44-C79E-480A-BED6-3D784242E422}"/>
    <cellStyle name="Note 3 5 3 4" xfId="9975" xr:uid="{87D195AA-3167-4EA2-A0F8-6D152483E17E}"/>
    <cellStyle name="Note 3 5 4" xfId="1850" xr:uid="{00000000-0005-0000-0000-0000F4210000}"/>
    <cellStyle name="Note 3 5 4 2" xfId="4079" xr:uid="{00000000-0005-0000-0000-0000F5210000}"/>
    <cellStyle name="Note 3 5 4 2 2" xfId="8301" xr:uid="{00000000-0005-0000-0000-0000F6210000}"/>
    <cellStyle name="Note 3 5 4 2 2 2" xfId="16751" xr:uid="{76CF88F3-2A13-4B34-BA27-5A17D1078E09}"/>
    <cellStyle name="Note 3 5 4 2 3" xfId="12533" xr:uid="{2BA39C9E-F481-4D27-B217-6F6F231EB0FD}"/>
    <cellStyle name="Note 3 5 4 3" xfId="6156" xr:uid="{00000000-0005-0000-0000-0000F7210000}"/>
    <cellStyle name="Note 3 5 4 3 2" xfId="14606" xr:uid="{82A40DE2-FA26-4B9F-84BB-DAE34F56D2D5}"/>
    <cellStyle name="Note 3 5 4 4" xfId="10388" xr:uid="{AD3F551B-84FA-4864-A9EA-2822B31E5B50}"/>
    <cellStyle name="Note 3 5 5" xfId="2263" xr:uid="{00000000-0005-0000-0000-0000F8210000}"/>
    <cellStyle name="Note 3 5 5 2" xfId="4492" xr:uid="{00000000-0005-0000-0000-0000F9210000}"/>
    <cellStyle name="Note 3 5 5 2 2" xfId="8714" xr:uid="{00000000-0005-0000-0000-0000FA210000}"/>
    <cellStyle name="Note 3 5 5 2 2 2" xfId="17164" xr:uid="{086DE7F1-EC5D-414B-B9B5-C19BA7864FF1}"/>
    <cellStyle name="Note 3 5 5 2 3" xfId="12946" xr:uid="{577C87E3-1CC4-400C-B2C9-6B590F8A45E2}"/>
    <cellStyle name="Note 3 5 5 3" xfId="6569" xr:uid="{00000000-0005-0000-0000-0000FB210000}"/>
    <cellStyle name="Note 3 5 5 3 2" xfId="15019" xr:uid="{4D004C96-E7A2-4154-9766-2C493B9311F3}"/>
    <cellStyle name="Note 3 5 5 4" xfId="10801" xr:uid="{22EF6B07-FF36-4E29-ADC8-9E6C85B3E638}"/>
    <cellStyle name="Note 3 5 6" xfId="2699" xr:uid="{00000000-0005-0000-0000-0000FC210000}"/>
    <cellStyle name="Note 3 5 6 2" xfId="6982" xr:uid="{00000000-0005-0000-0000-0000FD210000}"/>
    <cellStyle name="Note 3 5 6 2 2" xfId="15432" xr:uid="{2EBBD9D9-BD4E-4B88-811A-CE9E20888C58}"/>
    <cellStyle name="Note 3 5 6 3" xfId="11214" xr:uid="{14DBEA1F-E3D9-4A02-87DA-CCE01AF378A0}"/>
    <cellStyle name="Note 3 5 7" xfId="2758" xr:uid="{00000000-0005-0000-0000-0000FE210000}"/>
    <cellStyle name="Note 3 5 8" xfId="2839" xr:uid="{00000000-0005-0000-0000-0000FF210000}"/>
    <cellStyle name="Note 3 5 8 2" xfId="7062" xr:uid="{00000000-0005-0000-0000-000000220000}"/>
    <cellStyle name="Note 3 5 8 2 2" xfId="15512" xr:uid="{B4E2B6D0-F0C2-4B3F-91B1-E4D30EE8B28F}"/>
    <cellStyle name="Note 3 5 8 3" xfId="11294" xr:uid="{24368201-1F0D-4E12-AE42-9E25DC0707E1}"/>
    <cellStyle name="Note 3 5 9" xfId="4917" xr:uid="{00000000-0005-0000-0000-000001220000}"/>
    <cellStyle name="Note 3 5 9 2" xfId="13367" xr:uid="{4D75E7C5-F2BD-4C08-8468-028F0674A9F6}"/>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50" xr:uid="{412F44EF-59E3-4AD1-9EC4-D35F79351DC5}"/>
    <cellStyle name="Percent 4" xfId="4502" xr:uid="{00000000-0005-0000-0000-000007220000}"/>
    <cellStyle name="Percent 4 2" xfId="8717" xr:uid="{00000000-0005-0000-0000-000008220000}"/>
    <cellStyle name="Percent 4 2 2" xfId="17167" xr:uid="{3E960CC8-BAD8-49DA-BFE7-B64ABDC0A1B3}"/>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2 2 2" xfId="17183" xr:uid="{6686E97B-B90E-455C-9873-E08321D4F68F}"/>
    <cellStyle name="Percent 4 3 2 2 2 3" xfId="17180" xr:uid="{CF61C5DF-7200-4778-9109-B3445FB3DF85}"/>
    <cellStyle name="Percent 4 3 2 2 3" xfId="17176" xr:uid="{45CD3BF1-2D6E-4134-88E3-FCAFE9995195}"/>
    <cellStyle name="Percent 4 3 2 3" xfId="17173" xr:uid="{DEF52539-F4D1-48AB-9444-A9952D27CAE9}"/>
    <cellStyle name="Percent 4 3 3" xfId="17170" xr:uid="{70C7AE88-19C1-436A-B7C7-D83087A01712}"/>
    <cellStyle name="Percent 4 4" xfId="12953" xr:uid="{73084B35-564F-42EA-8BC8-1F5C3BD4B540}"/>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1" defaultTableStyle="TableStyleMedium9" defaultPivotStyle="PivotStyleLight16">
    <tableStyle name="Invisible" pivot="0" table="0" count="0" xr9:uid="{632B568C-CEF6-423B-A3FC-BC87E7D32CBF}"/>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2" t="s">
        <v>550</v>
      </c>
      <c r="B1" s="1262"/>
      <c r="C1" s="1262"/>
      <c r="D1" s="1262"/>
      <c r="E1" s="1262"/>
      <c r="F1" s="1262"/>
      <c r="G1" s="1262"/>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2"/>
      <c r="AJ1" s="1262"/>
      <c r="AK1" s="1262"/>
      <c r="AL1" s="1262"/>
    </row>
    <row r="2" spans="1:38" ht="13.5" thickBot="1">
      <c r="A2" s="1263"/>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c r="AB2" s="1263"/>
      <c r="AC2" s="1263"/>
      <c r="AD2" s="1263"/>
      <c r="AE2" s="1263"/>
      <c r="AF2" s="1263"/>
      <c r="AG2" s="1263"/>
      <c r="AH2" s="1263"/>
      <c r="AI2" s="1263"/>
      <c r="AJ2" s="1263"/>
      <c r="AK2" s="1263"/>
      <c r="AL2" s="1263"/>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4" t="s">
        <v>2035</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55"/>
    </row>
    <row r="8" spans="1:38">
      <c r="A8" s="204"/>
      <c r="B8" s="204"/>
      <c r="C8" s="205"/>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55"/>
    </row>
    <row r="9" spans="1:38">
      <c r="A9" s="204"/>
      <c r="B9" s="204"/>
      <c r="C9" s="205"/>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4" t="s">
        <v>2036</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55"/>
    </row>
    <row r="12" spans="1:38">
      <c r="A12" s="204"/>
      <c r="B12" s="204"/>
      <c r="C12" s="205"/>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55"/>
    </row>
    <row r="13" spans="1:38">
      <c r="A13" s="204"/>
      <c r="B13" s="204"/>
      <c r="C13" s="205"/>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4" t="s">
        <v>2602</v>
      </c>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55"/>
    </row>
    <row r="16" spans="1:38" ht="13.15" customHeight="1">
      <c r="A16" s="204"/>
      <c r="B16" s="204"/>
      <c r="C16" s="205"/>
      <c r="D16" s="1264"/>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55"/>
    </row>
    <row r="17" spans="1:38">
      <c r="A17" s="204"/>
      <c r="B17" s="204"/>
      <c r="C17" s="205"/>
      <c r="D17" s="1264"/>
      <c r="E17" s="1264"/>
      <c r="F17" s="1264"/>
      <c r="G17" s="1264"/>
      <c r="H17" s="1264"/>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c r="AK17" s="1264"/>
      <c r="AL17" s="455"/>
    </row>
    <row r="18" spans="1:38">
      <c r="A18" s="204"/>
      <c r="B18" s="204"/>
      <c r="C18" s="205"/>
      <c r="D18" s="519" t="s">
        <v>2601</v>
      </c>
      <c r="E18" s="441"/>
      <c r="G18" s="441"/>
      <c r="H18" s="441"/>
      <c r="I18" s="441"/>
      <c r="J18" s="1266" t="s">
        <v>2600</v>
      </c>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4" t="s">
        <v>2037</v>
      </c>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04"/>
    </row>
    <row r="21" spans="1:38">
      <c r="A21" s="204"/>
      <c r="B21" s="204"/>
      <c r="C21" s="205"/>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04"/>
    </row>
    <row r="22" spans="1:38">
      <c r="A22" s="204"/>
      <c r="B22" s="204"/>
      <c r="C22" s="205"/>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04"/>
    </row>
    <row r="23" spans="1:38" ht="13.15" customHeight="1">
      <c r="A23" s="204"/>
      <c r="B23" s="204"/>
      <c r="C23" s="205"/>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04"/>
    </row>
    <row r="24" spans="1:38">
      <c r="A24" s="204"/>
      <c r="B24" s="204"/>
      <c r="C24" s="205"/>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04"/>
    </row>
    <row r="25" spans="1:38">
      <c r="A25" s="204"/>
      <c r="B25" s="204"/>
      <c r="C25" s="205"/>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04"/>
    </row>
    <row r="26" spans="1:38">
      <c r="A26" s="204"/>
      <c r="B26" s="204"/>
      <c r="C26" s="205"/>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04"/>
    </row>
    <row r="27" spans="1:38">
      <c r="A27" s="204"/>
      <c r="B27" s="204"/>
      <c r="C27" s="205"/>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04"/>
    </row>
    <row r="28" spans="1:38">
      <c r="A28" s="204"/>
      <c r="B28" s="204"/>
      <c r="C28" s="205"/>
      <c r="D28" s="1264"/>
      <c r="E28" s="1264"/>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4" t="s">
        <v>2038</v>
      </c>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04"/>
    </row>
    <row r="31" spans="1:38">
      <c r="A31" s="204"/>
      <c r="B31" s="204"/>
      <c r="C31" s="205"/>
      <c r="D31" s="455"/>
      <c r="E31" s="1272" t="s">
        <v>2516</v>
      </c>
      <c r="F31" s="1273"/>
      <c r="G31" s="1273"/>
      <c r="H31" s="1273"/>
      <c r="I31" s="1273"/>
      <c r="J31" s="1273"/>
      <c r="K31" s="1273"/>
      <c r="L31" s="1273"/>
      <c r="M31" s="1273"/>
      <c r="N31" s="1273"/>
      <c r="O31" s="1273"/>
      <c r="P31" s="1273"/>
      <c r="Q31" s="1273"/>
      <c r="R31" s="1273"/>
      <c r="S31" s="1273"/>
      <c r="T31" s="1273"/>
      <c r="U31" s="1273"/>
      <c r="V31" s="1273"/>
      <c r="W31" s="1273"/>
      <c r="X31" s="1273"/>
      <c r="Y31" s="1273"/>
      <c r="Z31" s="1273"/>
      <c r="AA31" s="1273"/>
      <c r="AB31" s="1273"/>
      <c r="AC31" s="1273"/>
      <c r="AD31" s="1273"/>
      <c r="AE31" s="1273"/>
      <c r="AF31" s="1273"/>
      <c r="AG31" s="1273"/>
      <c r="AH31" s="1273"/>
      <c r="AI31" s="1273"/>
      <c r="AJ31" s="1273"/>
      <c r="AK31" s="1273"/>
      <c r="AL31" s="204"/>
    </row>
    <row r="32" spans="1:38">
      <c r="A32" s="4"/>
      <c r="C32" s="2"/>
    </row>
    <row r="33" spans="1:38">
      <c r="A33" s="4"/>
      <c r="D33" s="1265" t="s">
        <v>2142</v>
      </c>
      <c r="E33" s="1265"/>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row>
    <row r="34" spans="1:38">
      <c r="A34" s="4"/>
      <c r="D34" s="1265"/>
      <c r="E34" s="1265"/>
      <c r="F34" s="1265"/>
      <c r="G34" s="1265"/>
      <c r="H34" s="1265"/>
      <c r="I34" s="1265"/>
      <c r="J34" s="1265"/>
      <c r="K34" s="1265"/>
      <c r="L34" s="1265"/>
      <c r="M34" s="1265"/>
      <c r="N34" s="1265"/>
      <c r="O34" s="1265"/>
      <c r="P34" s="1265"/>
      <c r="Q34" s="1265"/>
      <c r="R34" s="1265"/>
      <c r="S34" s="1265"/>
      <c r="T34" s="1265"/>
      <c r="U34" s="1265"/>
      <c r="V34" s="1265"/>
      <c r="W34" s="1265"/>
      <c r="X34" s="1265"/>
      <c r="Y34" s="1265"/>
      <c r="Z34" s="1265"/>
      <c r="AA34" s="1265"/>
      <c r="AB34" s="1265"/>
      <c r="AC34" s="1265"/>
      <c r="AD34" s="1265"/>
      <c r="AE34" s="1265"/>
      <c r="AF34" s="1265"/>
      <c r="AG34" s="1265"/>
      <c r="AH34" s="1265"/>
      <c r="AI34" s="1265"/>
      <c r="AJ34" s="1265"/>
      <c r="AK34" s="1265"/>
    </row>
    <row r="35" spans="1:38">
      <c r="A35" s="4"/>
      <c r="D35" s="120"/>
      <c r="E35" s="1271" t="s">
        <v>2045</v>
      </c>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0"/>
      <c r="E36" s="1271" t="s">
        <v>2046</v>
      </c>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4" customFormat="1" ht="13.15" customHeight="1">
      <c r="A40" s="4"/>
      <c r="B40"/>
      <c r="C40" s="2"/>
      <c r="D40" s="4"/>
      <c r="E40" s="4" t="s">
        <v>653</v>
      </c>
      <c r="F40" s="1264" t="s">
        <v>1164</v>
      </c>
    </row>
    <row r="41" spans="1:38" s="1264" customFormat="1" ht="13.1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9" t="s">
        <v>1246</v>
      </c>
      <c r="G43" s="1269"/>
      <c r="H43" s="1269"/>
      <c r="I43" s="1269"/>
      <c r="J43" s="1269"/>
      <c r="K43" s="1269"/>
      <c r="L43" s="1269"/>
      <c r="M43" s="1269"/>
      <c r="N43" s="1269"/>
      <c r="O43" s="1269"/>
      <c r="P43" s="1269"/>
      <c r="Q43" s="1269"/>
      <c r="R43" s="1269"/>
      <c r="S43" s="1269"/>
      <c r="T43" s="1269"/>
      <c r="U43" s="1269"/>
      <c r="V43" s="1269"/>
      <c r="W43" s="1269"/>
      <c r="X43" s="1269"/>
      <c r="Y43" s="1269"/>
      <c r="Z43" s="1269"/>
      <c r="AA43" s="1269"/>
      <c r="AB43" s="1269"/>
      <c r="AC43" s="1269"/>
      <c r="AD43" s="1269"/>
      <c r="AE43" s="1269"/>
      <c r="AF43" s="1269"/>
      <c r="AG43" s="1269"/>
      <c r="AH43" s="1269"/>
      <c r="AI43" s="1269"/>
      <c r="AJ43" s="1269"/>
      <c r="AK43" s="1269"/>
      <c r="AL43" s="1269"/>
    </row>
    <row r="44" spans="1:38" s="118" customFormat="1">
      <c r="A44" s="4"/>
      <c r="B44"/>
      <c r="C44" s="2"/>
      <c r="D44" s="4"/>
      <c r="E44" s="4"/>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c r="AB44" s="1269"/>
      <c r="AC44" s="1269"/>
      <c r="AD44" s="1269"/>
      <c r="AE44" s="1269"/>
      <c r="AF44" s="1269"/>
      <c r="AG44" s="1269"/>
      <c r="AH44" s="1269"/>
      <c r="AI44" s="1269"/>
      <c r="AJ44" s="1269"/>
      <c r="AK44" s="1269"/>
      <c r="AL44" s="1269"/>
    </row>
    <row r="45" spans="1:38" s="118" customFormat="1" ht="13.15" customHeight="1">
      <c r="A45" s="4"/>
      <c r="B45"/>
      <c r="C45" s="2"/>
      <c r="D45" s="4"/>
      <c r="E45" s="4"/>
      <c r="F45" s="1269"/>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4" t="s">
        <v>2040</v>
      </c>
      <c r="G48" s="1264"/>
      <c r="H48" s="1264"/>
      <c r="I48" s="1264"/>
      <c r="J48" s="1264"/>
      <c r="K48" s="1264"/>
      <c r="L48" s="1264"/>
      <c r="M48" s="1264"/>
      <c r="N48" s="1264"/>
      <c r="O48" s="1264"/>
      <c r="P48" s="1264"/>
      <c r="Q48" s="1264"/>
      <c r="R48" s="1264"/>
      <c r="S48" s="1264"/>
      <c r="T48" s="1264"/>
      <c r="U48" s="1264"/>
      <c r="V48" s="1264"/>
      <c r="W48" s="1264"/>
      <c r="X48" s="1264"/>
      <c r="Y48" s="1264"/>
      <c r="Z48" s="1264"/>
      <c r="AA48" s="1264"/>
      <c r="AB48" s="1264"/>
      <c r="AC48" s="1264"/>
      <c r="AD48" s="1264"/>
      <c r="AE48" s="1264"/>
      <c r="AF48" s="1264"/>
      <c r="AG48" s="1264"/>
      <c r="AH48" s="1264"/>
      <c r="AI48" s="1264"/>
      <c r="AJ48" s="1264"/>
      <c r="AK48" s="1264"/>
    </row>
    <row r="49" spans="1:38">
      <c r="A49" s="4"/>
      <c r="C49" s="2"/>
      <c r="D49" s="4"/>
      <c r="E49" s="4"/>
      <c r="F49" s="1264"/>
      <c r="G49" s="1264"/>
      <c r="H49" s="1264"/>
      <c r="I49" s="1264"/>
      <c r="J49" s="1264"/>
      <c r="K49" s="1264"/>
      <c r="L49" s="1264"/>
      <c r="M49" s="1264"/>
      <c r="N49" s="1264"/>
      <c r="O49" s="1264"/>
      <c r="P49" s="1264"/>
      <c r="Q49" s="1264"/>
      <c r="R49" s="1264"/>
      <c r="S49" s="1264"/>
      <c r="T49" s="1264"/>
      <c r="U49" s="1264"/>
      <c r="V49" s="1264"/>
      <c r="W49" s="1264"/>
      <c r="X49" s="1264"/>
      <c r="Y49" s="1264"/>
      <c r="Z49" s="1264"/>
      <c r="AA49" s="1264"/>
      <c r="AB49" s="1264"/>
      <c r="AC49" s="1264"/>
      <c r="AD49" s="1264"/>
      <c r="AE49" s="1264"/>
      <c r="AF49" s="1264"/>
      <c r="AG49" s="1264"/>
      <c r="AH49" s="1264"/>
      <c r="AI49" s="1264"/>
      <c r="AJ49" s="1264"/>
      <c r="AK49" s="1264"/>
    </row>
    <row r="50" spans="1:38">
      <c r="A50" s="4"/>
      <c r="C50" s="2"/>
      <c r="D50" s="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7" t="s">
        <v>1191</v>
      </c>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7" t="s">
        <v>575</v>
      </c>
      <c r="H56" s="1267"/>
      <c r="I56" s="1267"/>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7" t="s">
        <v>2041</v>
      </c>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row>
    <row r="58" spans="1:38">
      <c r="A58" s="204"/>
      <c r="B58" s="204"/>
      <c r="C58" s="205"/>
      <c r="D58" s="205"/>
      <c r="E58" s="204"/>
      <c r="F58" s="206"/>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4" t="s">
        <v>1166</v>
      </c>
      <c r="H64" s="1264"/>
      <c r="I64" s="1264"/>
      <c r="J64" s="1264"/>
      <c r="K64" s="1264"/>
      <c r="L64" s="1264"/>
      <c r="M64" s="1264"/>
      <c r="N64" s="1264"/>
      <c r="O64" s="1264"/>
      <c r="P64" s="1264"/>
      <c r="Q64" s="1264"/>
      <c r="R64" s="1264"/>
      <c r="S64" s="1264"/>
      <c r="T64" s="1264"/>
      <c r="U64" s="1264"/>
      <c r="V64" s="1264"/>
      <c r="W64" s="1264"/>
      <c r="X64" s="1264"/>
      <c r="Y64" s="1264"/>
      <c r="Z64" s="1264"/>
      <c r="AA64" s="1264"/>
      <c r="AB64" s="1264"/>
      <c r="AC64" s="1264"/>
      <c r="AD64" s="1264"/>
      <c r="AE64" s="1264"/>
      <c r="AF64" s="1264"/>
      <c r="AG64" s="1264"/>
      <c r="AH64" s="1264"/>
      <c r="AI64" s="1264"/>
      <c r="AJ64" s="1264"/>
      <c r="AK64" s="1264"/>
    </row>
    <row r="65" spans="1:37">
      <c r="A65" s="4"/>
      <c r="C65" s="2"/>
      <c r="D65" s="4"/>
      <c r="E65" s="4"/>
      <c r="G65" s="1264"/>
      <c r="H65" s="1264"/>
      <c r="I65" s="1264"/>
      <c r="J65" s="1264"/>
      <c r="K65" s="1264"/>
      <c r="L65" s="1264"/>
      <c r="M65" s="1264"/>
      <c r="N65" s="1264"/>
      <c r="O65" s="1264"/>
      <c r="P65" s="1264"/>
      <c r="Q65" s="1264"/>
      <c r="R65" s="1264"/>
      <c r="S65" s="1264"/>
      <c r="T65" s="1264"/>
      <c r="U65" s="1264"/>
      <c r="V65" s="1264"/>
      <c r="W65" s="1264"/>
      <c r="X65" s="1264"/>
      <c r="Y65" s="1264"/>
      <c r="Z65" s="1264"/>
      <c r="AA65" s="1264"/>
      <c r="AB65" s="1264"/>
      <c r="AC65" s="1264"/>
      <c r="AD65" s="1264"/>
      <c r="AE65" s="1264"/>
      <c r="AF65" s="1264"/>
      <c r="AG65" s="1264"/>
      <c r="AH65" s="1264"/>
      <c r="AI65" s="1264"/>
      <c r="AJ65" s="1264"/>
      <c r="AK65" s="1264"/>
    </row>
    <row r="66" spans="1:37">
      <c r="A66" s="4"/>
      <c r="C66" s="2"/>
      <c r="D66" s="4"/>
      <c r="E66" s="4"/>
      <c r="G66" s="1264"/>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15" customHeight="1">
      <c r="A67" s="4"/>
      <c r="C67" s="2"/>
      <c r="D67" s="4"/>
      <c r="E67" s="4"/>
      <c r="F67" t="s">
        <v>509</v>
      </c>
      <c r="G67" s="1264" t="s">
        <v>1167</v>
      </c>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F68" s="27"/>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4" t="s">
        <v>1168</v>
      </c>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c r="F71" s="8"/>
      <c r="G71" s="1264"/>
      <c r="H71" s="1264"/>
      <c r="I71" s="1264"/>
      <c r="J71" s="1264"/>
      <c r="K71" s="1264"/>
      <c r="L71" s="1264"/>
      <c r="M71" s="1264"/>
      <c r="N71" s="1264"/>
      <c r="O71" s="1264"/>
      <c r="P71" s="1264"/>
      <c r="Q71" s="1264"/>
      <c r="R71" s="1264"/>
      <c r="S71" s="1264"/>
      <c r="T71" s="1264"/>
      <c r="U71" s="1264"/>
      <c r="V71" s="1264"/>
      <c r="W71" s="1264"/>
      <c r="X71" s="1264"/>
      <c r="Y71" s="1264"/>
      <c r="Z71" s="1264"/>
      <c r="AA71" s="1264"/>
      <c r="AB71" s="1264"/>
      <c r="AC71" s="1264"/>
      <c r="AD71" s="1264"/>
      <c r="AE71" s="1264"/>
      <c r="AF71" s="1264"/>
      <c r="AG71" s="1264"/>
      <c r="AH71" s="1264"/>
      <c r="AI71" s="1264"/>
      <c r="AJ71" s="1264"/>
      <c r="AK71" s="1264"/>
    </row>
    <row r="72" spans="1:37">
      <c r="A72" s="4"/>
      <c r="C72" s="2"/>
      <c r="D72" s="4"/>
      <c r="E72" s="4"/>
      <c r="F72" s="8" t="s">
        <v>509</v>
      </c>
      <c r="G72" s="1264" t="s">
        <v>1169</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4" t="s">
        <v>1170</v>
      </c>
      <c r="H80" s="1264"/>
      <c r="I80" s="1264"/>
      <c r="J80" s="1264"/>
      <c r="K80" s="1264"/>
      <c r="L80" s="1264"/>
      <c r="M80" s="1264"/>
      <c r="N80" s="1264"/>
      <c r="O80" s="1264"/>
      <c r="P80" s="1264"/>
      <c r="Q80" s="1264"/>
      <c r="R80" s="1264"/>
      <c r="S80" s="1264"/>
      <c r="T80" s="1264"/>
      <c r="U80" s="1264"/>
      <c r="V80" s="1264"/>
      <c r="W80" s="1264"/>
      <c r="X80" s="1264"/>
      <c r="Y80" s="1264"/>
      <c r="Z80" s="1264"/>
      <c r="AA80" s="1264"/>
      <c r="AB80" s="1264"/>
      <c r="AC80" s="1264"/>
      <c r="AD80" s="1264"/>
      <c r="AE80" s="1264"/>
      <c r="AF80" s="1264"/>
      <c r="AG80" s="1264"/>
      <c r="AH80" s="1264"/>
      <c r="AI80" s="1264"/>
      <c r="AJ80" s="1264"/>
      <c r="AK80" s="1264"/>
    </row>
    <row r="81" spans="1:37">
      <c r="A81" s="4"/>
      <c r="C81" s="2"/>
      <c r="D81" s="4"/>
      <c r="E81" s="4"/>
      <c r="F81" s="4"/>
      <c r="G81" s="1264"/>
      <c r="H81" s="1264"/>
      <c r="I81" s="1264"/>
      <c r="J81" s="1264"/>
      <c r="K81" s="1264"/>
      <c r="L81" s="1264"/>
      <c r="M81" s="1264"/>
      <c r="N81" s="1264"/>
      <c r="O81" s="1264"/>
      <c r="P81" s="1264"/>
      <c r="Q81" s="1264"/>
      <c r="R81" s="1264"/>
      <c r="S81" s="1264"/>
      <c r="T81" s="1264"/>
      <c r="U81" s="1264"/>
      <c r="V81" s="1264"/>
      <c r="W81" s="1264"/>
      <c r="X81" s="1264"/>
      <c r="Y81" s="1264"/>
      <c r="Z81" s="1264"/>
      <c r="AA81" s="1264"/>
      <c r="AB81" s="1264"/>
      <c r="AC81" s="1264"/>
      <c r="AD81" s="1264"/>
      <c r="AE81" s="1264"/>
      <c r="AF81" s="1264"/>
      <c r="AG81" s="1264"/>
      <c r="AH81" s="1264"/>
      <c r="AI81" s="1264"/>
      <c r="AJ81" s="1264"/>
      <c r="AK81" s="1264"/>
    </row>
    <row r="82" spans="1:37">
      <c r="A82" s="4"/>
      <c r="C82" s="2"/>
      <c r="D82" s="4"/>
      <c r="E82" s="4"/>
      <c r="F82" s="4"/>
      <c r="G82" s="1264"/>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4" t="s">
        <v>1171</v>
      </c>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c r="F85" s="4"/>
      <c r="G85" s="1264"/>
      <c r="H85" s="1264"/>
      <c r="I85" s="1264"/>
      <c r="J85" s="1264"/>
      <c r="K85" s="1264"/>
      <c r="L85" s="1264"/>
      <c r="M85" s="1264"/>
      <c r="N85" s="1264"/>
      <c r="O85" s="1264"/>
      <c r="P85" s="1264"/>
      <c r="Q85" s="1264"/>
      <c r="R85" s="1264"/>
      <c r="S85" s="1264"/>
      <c r="T85" s="1264"/>
      <c r="U85" s="1264"/>
      <c r="V85" s="1264"/>
      <c r="W85" s="1264"/>
      <c r="X85" s="1264"/>
      <c r="Y85" s="1264"/>
      <c r="Z85" s="1264"/>
      <c r="AA85" s="1264"/>
      <c r="AB85" s="1264"/>
      <c r="AC85" s="1264"/>
      <c r="AD85" s="1264"/>
      <c r="AE85" s="1264"/>
      <c r="AF85" s="1264"/>
      <c r="AG85" s="1264"/>
      <c r="AH85" s="1264"/>
      <c r="AI85" s="1264"/>
      <c r="AJ85" s="1264"/>
      <c r="AK85" s="1264"/>
    </row>
    <row r="86" spans="1:37">
      <c r="A86" s="4"/>
      <c r="C86" s="2"/>
      <c r="D86" s="4"/>
      <c r="E86" s="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4" t="s">
        <v>1172</v>
      </c>
      <c r="H88" s="1274"/>
      <c r="I88" s="1274"/>
      <c r="J88" s="1274"/>
      <c r="K88" s="1274"/>
      <c r="L88" s="1274"/>
      <c r="M88" s="1274"/>
      <c r="N88" s="1274"/>
      <c r="O88" s="1274"/>
      <c r="P88" s="1274"/>
      <c r="Q88" s="1274"/>
      <c r="R88" s="1274"/>
      <c r="S88" s="1274"/>
      <c r="T88" s="1274"/>
      <c r="U88" s="1274"/>
      <c r="V88" s="1274"/>
      <c r="W88" s="1274"/>
      <c r="X88" s="1274"/>
      <c r="Y88" s="1274"/>
      <c r="Z88" s="1274"/>
      <c r="AA88" s="1274"/>
      <c r="AB88" s="1274"/>
      <c r="AC88" s="1274"/>
      <c r="AD88" s="1274"/>
      <c r="AE88" s="1274"/>
      <c r="AF88" s="1274"/>
      <c r="AG88" s="1274"/>
      <c r="AH88" s="1274"/>
      <c r="AI88" s="1274"/>
      <c r="AJ88" s="1274"/>
      <c r="AK88" s="1274"/>
    </row>
    <row r="89" spans="1:37">
      <c r="A89" s="4"/>
      <c r="C89" s="2"/>
      <c r="D89" s="4"/>
      <c r="E89" s="4"/>
      <c r="G89" s="1274"/>
      <c r="H89" s="1274"/>
      <c r="I89" s="1274"/>
      <c r="J89" s="1274"/>
      <c r="K89" s="1274"/>
      <c r="L89" s="1274"/>
      <c r="M89" s="1274"/>
      <c r="N89" s="1274"/>
      <c r="O89" s="1274"/>
      <c r="P89" s="1274"/>
      <c r="Q89" s="1274"/>
      <c r="R89" s="1274"/>
      <c r="S89" s="1274"/>
      <c r="T89" s="1274"/>
      <c r="U89" s="1274"/>
      <c r="V89" s="1274"/>
      <c r="W89" s="1274"/>
      <c r="X89" s="1274"/>
      <c r="Y89" s="1274"/>
      <c r="Z89" s="1274"/>
      <c r="AA89" s="1274"/>
      <c r="AB89" s="1274"/>
      <c r="AC89" s="1274"/>
      <c r="AD89" s="1274"/>
      <c r="AE89" s="1274"/>
      <c r="AF89" s="1274"/>
      <c r="AG89" s="1274"/>
      <c r="AH89" s="1274"/>
      <c r="AI89" s="1274"/>
      <c r="AJ89" s="1274"/>
      <c r="AK89" s="1274"/>
    </row>
    <row r="90" spans="1:37">
      <c r="A90" s="4"/>
      <c r="C90" s="2"/>
      <c r="D90" s="4"/>
      <c r="E90" s="4"/>
      <c r="G90" s="1274"/>
      <c r="H90" s="1274"/>
      <c r="I90" s="1274"/>
      <c r="J90" s="1274"/>
      <c r="K90" s="1274"/>
      <c r="L90" s="1274"/>
      <c r="M90" s="1274"/>
      <c r="N90" s="1274"/>
      <c r="O90" s="1274"/>
      <c r="P90" s="1274"/>
      <c r="Q90" s="1274"/>
      <c r="R90" s="1274"/>
      <c r="S90" s="1274"/>
      <c r="T90" s="1274"/>
      <c r="U90" s="1274"/>
      <c r="V90" s="1274"/>
      <c r="W90" s="1274"/>
      <c r="X90" s="1274"/>
      <c r="Y90" s="1274"/>
      <c r="Z90" s="1274"/>
      <c r="AA90" s="1274"/>
      <c r="AB90" s="1274"/>
      <c r="AC90" s="1274"/>
      <c r="AD90" s="1274"/>
      <c r="AE90" s="1274"/>
      <c r="AF90" s="1274"/>
      <c r="AG90" s="1274"/>
      <c r="AH90" s="1274"/>
      <c r="AI90" s="1274"/>
      <c r="AJ90" s="1274"/>
      <c r="AK90" s="1274"/>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4" t="s">
        <v>1173</v>
      </c>
      <c r="H92" s="1264"/>
      <c r="I92" s="1264"/>
      <c r="J92" s="1264"/>
      <c r="K92" s="1264"/>
      <c r="L92" s="1264"/>
      <c r="M92" s="1264"/>
      <c r="N92" s="1264"/>
      <c r="O92" s="1264"/>
      <c r="P92" s="1264"/>
      <c r="Q92" s="1264"/>
      <c r="R92" s="1264"/>
      <c r="S92" s="1264"/>
      <c r="T92" s="1264"/>
      <c r="U92" s="1264"/>
      <c r="V92" s="1264"/>
      <c r="W92" s="1264"/>
      <c r="X92" s="1264"/>
      <c r="Y92" s="1264"/>
      <c r="Z92" s="1264"/>
      <c r="AA92" s="1264"/>
      <c r="AB92" s="1264"/>
      <c r="AC92" s="1264"/>
      <c r="AD92" s="1264"/>
      <c r="AE92" s="1264"/>
      <c r="AF92" s="1264"/>
      <c r="AG92" s="1264"/>
      <c r="AH92" s="1264"/>
      <c r="AI92" s="1264"/>
      <c r="AJ92" s="1264"/>
      <c r="AK92" s="1264"/>
    </row>
    <row r="93" spans="1:37">
      <c r="A93" s="4"/>
      <c r="C93" s="2"/>
      <c r="D93" s="4"/>
      <c r="E93" s="4"/>
      <c r="G93" s="1264"/>
      <c r="H93" s="1264"/>
      <c r="I93" s="1264"/>
      <c r="J93" s="1264"/>
      <c r="K93" s="1264"/>
      <c r="L93" s="1264"/>
      <c r="M93" s="1264"/>
      <c r="N93" s="1264"/>
      <c r="O93" s="1264"/>
      <c r="P93" s="1264"/>
      <c r="Q93" s="1264"/>
      <c r="R93" s="1264"/>
      <c r="S93" s="1264"/>
      <c r="T93" s="1264"/>
      <c r="U93" s="1264"/>
      <c r="V93" s="1264"/>
      <c r="W93" s="1264"/>
      <c r="X93" s="1264"/>
      <c r="Y93" s="1264"/>
      <c r="Z93" s="1264"/>
      <c r="AA93" s="1264"/>
      <c r="AB93" s="1264"/>
      <c r="AC93" s="1264"/>
      <c r="AD93" s="1264"/>
      <c r="AE93" s="1264"/>
      <c r="AF93" s="1264"/>
      <c r="AG93" s="1264"/>
      <c r="AH93" s="1264"/>
      <c r="AI93" s="1264"/>
      <c r="AJ93" s="1264"/>
      <c r="AK93" s="1264"/>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4" t="s">
        <v>1174</v>
      </c>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c r="G96" s="1264"/>
      <c r="H96" s="1264"/>
      <c r="I96" s="1264"/>
      <c r="J96" s="1264"/>
      <c r="K96" s="1264"/>
      <c r="L96" s="1264"/>
      <c r="M96" s="1264"/>
      <c r="N96" s="1264"/>
      <c r="O96" s="1264"/>
      <c r="P96" s="1264"/>
      <c r="Q96" s="1264"/>
      <c r="R96" s="1264"/>
      <c r="S96" s="1264"/>
      <c r="T96" s="1264"/>
      <c r="U96" s="1264"/>
      <c r="V96" s="1264"/>
      <c r="W96" s="1264"/>
      <c r="X96" s="1264"/>
      <c r="Y96" s="1264"/>
      <c r="Z96" s="1264"/>
      <c r="AA96" s="1264"/>
      <c r="AB96" s="1264"/>
      <c r="AC96" s="1264"/>
      <c r="AD96" s="1264"/>
      <c r="AE96" s="1264"/>
      <c r="AF96" s="1264"/>
      <c r="AG96" s="1264"/>
      <c r="AH96" s="1264"/>
      <c r="AI96" s="1264"/>
      <c r="AJ96" s="1264"/>
      <c r="AK96" s="1264"/>
    </row>
    <row r="97" spans="1:38">
      <c r="A97" s="4"/>
      <c r="C97" s="2"/>
      <c r="D97" s="4"/>
      <c r="E97" s="4"/>
      <c r="G97" s="1264"/>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D98" s="99"/>
      <c r="E98" s="1275" t="s">
        <v>1175</v>
      </c>
      <c r="F98" s="1275"/>
      <c r="G98" s="1275"/>
      <c r="H98" s="1275"/>
      <c r="I98" s="1275"/>
      <c r="J98" s="1275"/>
      <c r="K98" s="1275"/>
      <c r="L98" s="1275"/>
      <c r="M98" s="1275"/>
      <c r="N98" s="1275"/>
      <c r="O98" s="1275"/>
      <c r="P98" s="1275"/>
      <c r="Q98" s="1275"/>
      <c r="R98" s="1275"/>
      <c r="S98" s="1275"/>
      <c r="T98" s="1275"/>
      <c r="U98" s="1275"/>
      <c r="V98" s="1275"/>
      <c r="W98" s="1275"/>
      <c r="X98" s="1275"/>
      <c r="Y98" s="1275"/>
      <c r="Z98" s="1275"/>
      <c r="AA98" s="1275"/>
      <c r="AB98" s="1275"/>
      <c r="AC98" s="1275"/>
      <c r="AD98" s="1275"/>
      <c r="AE98" s="1275"/>
      <c r="AF98" s="1275"/>
      <c r="AG98" s="1275"/>
      <c r="AH98" s="1275"/>
      <c r="AI98" s="1275"/>
      <c r="AJ98" s="1275"/>
      <c r="AK98" s="1275"/>
    </row>
    <row r="99" spans="1:38">
      <c r="A99" s="4"/>
      <c r="D99" s="99"/>
      <c r="E99" s="1275"/>
      <c r="F99" s="1275"/>
      <c r="G99" s="1275"/>
      <c r="H99" s="1275"/>
      <c r="I99" s="1275"/>
      <c r="J99" s="1275"/>
      <c r="K99" s="1275"/>
      <c r="L99" s="1275"/>
      <c r="M99" s="1275"/>
      <c r="N99" s="1275"/>
      <c r="O99" s="1275"/>
      <c r="P99" s="1275"/>
      <c r="Q99" s="1275"/>
      <c r="R99" s="1275"/>
      <c r="S99" s="1275"/>
      <c r="T99" s="1275"/>
      <c r="U99" s="1275"/>
      <c r="V99" s="1275"/>
      <c r="W99" s="1275"/>
      <c r="X99" s="1275"/>
      <c r="Y99" s="1275"/>
      <c r="Z99" s="1275"/>
      <c r="AA99" s="1275"/>
      <c r="AB99" s="1275"/>
      <c r="AC99" s="1275"/>
      <c r="AD99" s="1275"/>
      <c r="AE99" s="1275"/>
      <c r="AF99" s="1275"/>
      <c r="AG99" s="1275"/>
      <c r="AH99" s="1275"/>
      <c r="AI99" s="1275"/>
      <c r="AJ99" s="1275"/>
      <c r="AK99" s="127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4" t="s">
        <v>1176</v>
      </c>
      <c r="H205" s="1264"/>
      <c r="I205" s="1264"/>
      <c r="J205" s="1264"/>
      <c r="K205" s="1264"/>
      <c r="L205" s="1264"/>
      <c r="M205" s="1264"/>
      <c r="N205" s="1264"/>
      <c r="O205" s="1264"/>
      <c r="P205" s="1264"/>
      <c r="Q205" s="1264"/>
      <c r="R205" s="1264"/>
      <c r="S205" s="1264"/>
      <c r="T205" s="1264"/>
      <c r="U205" s="1264"/>
      <c r="V205" s="1264"/>
      <c r="W205" s="1264"/>
      <c r="X205" s="1264"/>
      <c r="Y205" s="1264"/>
      <c r="Z205" s="1264"/>
      <c r="AA205" s="1264"/>
      <c r="AB205" s="1264"/>
      <c r="AC205" s="1264"/>
      <c r="AD205" s="1264"/>
      <c r="AE205" s="1264"/>
      <c r="AF205" s="1264"/>
      <c r="AG205" s="1264"/>
      <c r="AH205" s="1264"/>
      <c r="AI205" s="1264"/>
      <c r="AJ205" s="1264"/>
      <c r="AK205" s="1264"/>
    </row>
    <row r="206" spans="2:37">
      <c r="B206" s="4"/>
      <c r="C206" s="4"/>
      <c r="D206" s="2"/>
      <c r="G206" s="1264"/>
      <c r="H206" s="1264"/>
      <c r="I206" s="1264"/>
      <c r="J206" s="1264"/>
      <c r="K206" s="1264"/>
      <c r="L206" s="1264"/>
      <c r="M206" s="1264"/>
      <c r="N206" s="1264"/>
      <c r="O206" s="1264"/>
      <c r="P206" s="1264"/>
      <c r="Q206" s="1264"/>
      <c r="R206" s="1264"/>
      <c r="S206" s="1264"/>
      <c r="T206" s="1264"/>
      <c r="U206" s="1264"/>
      <c r="V206" s="1264"/>
      <c r="W206" s="1264"/>
      <c r="X206" s="1264"/>
      <c r="Y206" s="1264"/>
      <c r="Z206" s="1264"/>
      <c r="AA206" s="1264"/>
      <c r="AB206" s="1264"/>
      <c r="AC206" s="1264"/>
      <c r="AD206" s="1264"/>
      <c r="AE206" s="1264"/>
      <c r="AF206" s="1264"/>
      <c r="AG206" s="1264"/>
      <c r="AH206" s="1264"/>
      <c r="AI206" s="1264"/>
      <c r="AJ206" s="1264"/>
      <c r="AK206" s="1264"/>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4" t="s">
        <v>1155</v>
      </c>
      <c r="G336" s="1264"/>
      <c r="H336" s="1264"/>
      <c r="I336" s="1264"/>
      <c r="J336" s="1264"/>
      <c r="K336" s="1264"/>
      <c r="L336" s="1264"/>
      <c r="M336" s="1264"/>
      <c r="N336" s="1264"/>
      <c r="O336" s="1264"/>
      <c r="P336" s="1264"/>
      <c r="Q336" s="1264"/>
      <c r="R336" s="1264"/>
      <c r="S336" s="1264"/>
      <c r="T336" s="1264"/>
      <c r="U336" s="1264"/>
      <c r="V336" s="1264"/>
      <c r="W336" s="1264"/>
      <c r="X336" s="1264"/>
      <c r="Y336" s="1264"/>
      <c r="Z336" s="1264"/>
      <c r="AA336" s="1264"/>
      <c r="AB336" s="1264"/>
      <c r="AC336" s="1264"/>
      <c r="AD336" s="1264"/>
      <c r="AE336" s="1264"/>
      <c r="AF336" s="1264"/>
      <c r="AG336" s="1264"/>
      <c r="AH336" s="1264"/>
      <c r="AI336" s="1264"/>
      <c r="AJ336" s="1264"/>
      <c r="AK336" s="1264"/>
    </row>
    <row r="337" spans="2:37">
      <c r="B337" s="2"/>
      <c r="E337" s="4"/>
      <c r="F337" s="1264"/>
      <c r="G337" s="1264"/>
      <c r="H337" s="1264"/>
      <c r="I337" s="1264"/>
      <c r="J337" s="1264"/>
      <c r="K337" s="1264"/>
      <c r="L337" s="1264"/>
      <c r="M337" s="1264"/>
      <c r="N337" s="1264"/>
      <c r="O337" s="1264"/>
      <c r="P337" s="1264"/>
      <c r="Q337" s="1264"/>
      <c r="R337" s="1264"/>
      <c r="S337" s="1264"/>
      <c r="T337" s="1264"/>
      <c r="U337" s="1264"/>
      <c r="V337" s="1264"/>
      <c r="W337" s="1264"/>
      <c r="X337" s="1264"/>
      <c r="Y337" s="1264"/>
      <c r="Z337" s="1264"/>
      <c r="AA337" s="1264"/>
      <c r="AB337" s="1264"/>
      <c r="AC337" s="1264"/>
      <c r="AD337" s="1264"/>
      <c r="AE337" s="1264"/>
      <c r="AF337" s="1264"/>
      <c r="AG337" s="1264"/>
      <c r="AH337" s="1264"/>
      <c r="AI337" s="1264"/>
      <c r="AJ337" s="1264"/>
      <c r="AK337" s="1264"/>
    </row>
    <row r="338" spans="2:37">
      <c r="B338" s="2"/>
      <c r="E338" s="4"/>
      <c r="F338" s="1264"/>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15" customHeight="1">
      <c r="B341" s="2"/>
      <c r="E341" s="1267" t="s">
        <v>1235</v>
      </c>
      <c r="F341" s="1267"/>
      <c r="G341" s="1267"/>
      <c r="H341" s="1267"/>
      <c r="I341" s="1267"/>
      <c r="J341" s="1267"/>
      <c r="K341" s="1267"/>
      <c r="L341" s="1267"/>
      <c r="M341" s="1267"/>
      <c r="N341" s="1267"/>
      <c r="O341" s="1267"/>
      <c r="P341" s="1267"/>
      <c r="Q341" s="1267"/>
      <c r="R341" s="1267"/>
      <c r="S341" s="1267"/>
      <c r="T341" s="1267"/>
      <c r="U341" s="1267"/>
      <c r="V341" s="1267"/>
      <c r="W341" s="1267"/>
      <c r="X341" s="1267"/>
      <c r="Y341" s="1267"/>
      <c r="Z341" s="1267"/>
      <c r="AA341" s="1267"/>
      <c r="AB341" s="1267"/>
      <c r="AC341" s="1267"/>
      <c r="AD341" s="1267"/>
      <c r="AE341" s="1267"/>
      <c r="AF341" s="1267"/>
      <c r="AG341" s="1267"/>
      <c r="AH341" s="1267"/>
      <c r="AI341" s="1267"/>
      <c r="AJ341" s="1267"/>
      <c r="AK341" s="1267"/>
    </row>
    <row r="342" spans="2:37">
      <c r="B342" s="2"/>
      <c r="E342" s="1267"/>
      <c r="F342" s="1267"/>
      <c r="G342" s="1267"/>
      <c r="H342" s="1267"/>
      <c r="I342" s="1267"/>
      <c r="J342" s="1267"/>
      <c r="K342" s="1267"/>
      <c r="L342" s="1267"/>
      <c r="M342" s="1267"/>
      <c r="N342" s="1267"/>
      <c r="O342" s="1267"/>
      <c r="P342" s="1267"/>
      <c r="Q342" s="1267"/>
      <c r="R342" s="1267"/>
      <c r="S342" s="1267"/>
      <c r="T342" s="1267"/>
      <c r="U342" s="1267"/>
      <c r="V342" s="1267"/>
      <c r="W342" s="1267"/>
      <c r="X342" s="1267"/>
      <c r="Y342" s="1267"/>
      <c r="Z342" s="1267"/>
      <c r="AA342" s="1267"/>
      <c r="AB342" s="1267"/>
      <c r="AC342" s="1267"/>
      <c r="AD342" s="1267"/>
      <c r="AE342" s="1267"/>
      <c r="AF342" s="1267"/>
      <c r="AG342" s="1267"/>
      <c r="AH342" s="1267"/>
      <c r="AI342" s="1267"/>
      <c r="AJ342" s="1267"/>
      <c r="AK342" s="1267"/>
    </row>
    <row r="343" spans="2:37">
      <c r="B343" s="2"/>
      <c r="E343" s="1267"/>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3" t="s">
        <v>112</v>
      </c>
      <c r="F346" s="1264" t="s">
        <v>1237</v>
      </c>
      <c r="G346" s="1264"/>
      <c r="H346" s="1264"/>
      <c r="I346" s="1264"/>
      <c r="J346" s="1264"/>
      <c r="K346" s="1264"/>
      <c r="L346" s="1264"/>
      <c r="M346" s="1264"/>
      <c r="N346" s="1264"/>
      <c r="O346" s="1264"/>
      <c r="P346" s="1264"/>
      <c r="Q346" s="1264"/>
      <c r="R346" s="1264"/>
      <c r="S346" s="1264"/>
      <c r="T346" s="1264"/>
      <c r="U346" s="1264"/>
      <c r="V346" s="1264"/>
      <c r="W346" s="1264"/>
      <c r="X346" s="1264"/>
      <c r="Y346" s="1264"/>
      <c r="Z346" s="1264"/>
      <c r="AA346" s="1264"/>
      <c r="AB346" s="1264"/>
      <c r="AC346" s="1264"/>
      <c r="AD346" s="1264"/>
      <c r="AE346" s="1264"/>
      <c r="AF346" s="1264"/>
      <c r="AG346" s="1264"/>
      <c r="AH346" s="1264"/>
      <c r="AI346" s="1264"/>
      <c r="AJ346" s="1264"/>
      <c r="AK346" s="1264"/>
    </row>
    <row r="347" spans="2:37">
      <c r="B347" s="2"/>
      <c r="E347" s="3"/>
      <c r="F347" s="1264"/>
      <c r="G347" s="1264"/>
      <c r="H347" s="1264"/>
      <c r="I347" s="1264"/>
      <c r="J347" s="1264"/>
      <c r="K347" s="1264"/>
      <c r="L347" s="1264"/>
      <c r="M347" s="1264"/>
      <c r="N347" s="1264"/>
      <c r="O347" s="1264"/>
      <c r="P347" s="1264"/>
      <c r="Q347" s="1264"/>
      <c r="R347" s="1264"/>
      <c r="S347" s="1264"/>
      <c r="T347" s="1264"/>
      <c r="U347" s="1264"/>
      <c r="V347" s="1264"/>
      <c r="W347" s="1264"/>
      <c r="X347" s="1264"/>
      <c r="Y347" s="1264"/>
      <c r="Z347" s="1264"/>
      <c r="AA347" s="1264"/>
      <c r="AB347" s="1264"/>
      <c r="AC347" s="1264"/>
      <c r="AD347" s="1264"/>
      <c r="AE347" s="1264"/>
      <c r="AF347" s="1264"/>
      <c r="AG347" s="1264"/>
      <c r="AH347" s="1264"/>
      <c r="AI347" s="1264"/>
      <c r="AJ347" s="1264"/>
      <c r="AK347" s="1264"/>
    </row>
    <row r="348" spans="2:37">
      <c r="B348" s="2"/>
      <c r="E348" s="3"/>
      <c r="F348" s="1264"/>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t="s">
        <v>113</v>
      </c>
      <c r="F350" s="1264" t="s">
        <v>1236</v>
      </c>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F352" s="1264"/>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70" customFormat="1">
      <c r="A367"/>
      <c r="B367" s="2"/>
      <c r="C367"/>
      <c r="D367"/>
      <c r="E367" s="1269" t="s">
        <v>1258</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4" t="s">
        <v>1269</v>
      </c>
      <c r="G386" s="1264"/>
      <c r="H386" s="1264"/>
      <c r="I386" s="1264"/>
      <c r="J386" s="1264"/>
      <c r="K386" s="1264"/>
      <c r="L386" s="1264"/>
      <c r="M386" s="1264"/>
      <c r="N386" s="1264"/>
      <c r="O386" s="1264"/>
      <c r="P386" s="1264"/>
      <c r="Q386" s="1264"/>
      <c r="R386" s="1264"/>
      <c r="S386" s="1264"/>
      <c r="T386" s="1264"/>
      <c r="U386" s="1264"/>
      <c r="V386" s="1264"/>
      <c r="W386" s="1264"/>
      <c r="X386" s="1264"/>
      <c r="Y386" s="1264"/>
      <c r="Z386" s="1264"/>
      <c r="AA386" s="1264"/>
      <c r="AB386" s="1264"/>
      <c r="AC386" s="1264"/>
      <c r="AD386" s="1264"/>
      <c r="AE386" s="1264"/>
      <c r="AF386" s="1264"/>
      <c r="AG386" s="1264"/>
      <c r="AH386" s="1264"/>
      <c r="AI386" s="1264"/>
      <c r="AJ386" s="1264"/>
      <c r="AK386" s="1264"/>
    </row>
    <row r="387" spans="1:38">
      <c r="B387" s="2"/>
      <c r="E387" s="3"/>
      <c r="F387" s="1264"/>
      <c r="G387" s="1264"/>
      <c r="H387" s="1264"/>
      <c r="I387" s="1264"/>
      <c r="J387" s="1264"/>
      <c r="K387" s="1264"/>
      <c r="L387" s="1264"/>
      <c r="M387" s="1264"/>
      <c r="N387" s="1264"/>
      <c r="O387" s="1264"/>
      <c r="P387" s="1264"/>
      <c r="Q387" s="1264"/>
      <c r="R387" s="1264"/>
      <c r="S387" s="1264"/>
      <c r="T387" s="1264"/>
      <c r="U387" s="1264"/>
      <c r="V387" s="1264"/>
      <c r="W387" s="1264"/>
      <c r="X387" s="1264"/>
      <c r="Y387" s="1264"/>
      <c r="Z387" s="1264"/>
      <c r="AA387" s="1264"/>
      <c r="AB387" s="1264"/>
      <c r="AC387" s="1264"/>
      <c r="AD387" s="1264"/>
      <c r="AE387" s="1264"/>
      <c r="AF387" s="1264"/>
      <c r="AG387" s="1264"/>
      <c r="AH387" s="1264"/>
      <c r="AI387" s="1264"/>
      <c r="AJ387" s="1264"/>
      <c r="AK387" s="1264"/>
    </row>
    <row r="388" spans="1:38">
      <c r="B388" s="2"/>
      <c r="E388" s="3"/>
      <c r="F388" s="1264"/>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60" workbookViewId="0">
      <selection activeCell="G84" sqref="G8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1" t="s">
        <v>1585</v>
      </c>
      <c r="B1" s="2661"/>
      <c r="C1" s="2661"/>
      <c r="D1" s="2661"/>
      <c r="E1" s="2661"/>
      <c r="F1" s="2661"/>
      <c r="G1" s="2661"/>
      <c r="H1" s="2661"/>
      <c r="I1" s="2661"/>
      <c r="J1" s="2661"/>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41214562</v>
      </c>
      <c r="I3" s="1105"/>
    </row>
    <row r="4" spans="1:13" s="1051" customFormat="1" ht="20.100000000000001" customHeight="1">
      <c r="B4" s="1094"/>
      <c r="D4" s="1108"/>
      <c r="F4" s="1092" t="s">
        <v>1992</v>
      </c>
      <c r="G4" s="1091" t="s">
        <v>1991</v>
      </c>
      <c r="H4" s="1093">
        <f>I18</f>
        <v>35176470.588235296</v>
      </c>
      <c r="I4" s="1095"/>
      <c r="K4" s="1055"/>
    </row>
    <row r="5" spans="1:13" s="1051" customFormat="1" ht="20.100000000000001" customHeight="1" thickBot="1">
      <c r="B5" s="1096"/>
      <c r="C5" s="1097"/>
      <c r="D5" s="1109"/>
      <c r="E5" s="1098"/>
      <c r="F5" s="1109" t="s">
        <v>1942</v>
      </c>
      <c r="G5" s="1110"/>
      <c r="H5" s="1106">
        <f>IFERROR(H3/H4,0)</f>
        <v>1.1716514280936454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4" t="s">
        <v>1940</v>
      </c>
      <c r="C8" s="2665"/>
      <c r="D8" s="2665"/>
      <c r="E8" s="2666"/>
      <c r="G8" s="2667" t="s">
        <v>1941</v>
      </c>
      <c r="H8" s="2668"/>
      <c r="I8" s="2669"/>
      <c r="K8" s="1057"/>
    </row>
    <row r="9" spans="1:13" ht="15" customHeight="1">
      <c r="A9" s="1046"/>
      <c r="B9" s="2662" t="s">
        <v>1974</v>
      </c>
      <c r="C9" s="2662"/>
      <c r="D9" s="2662"/>
      <c r="E9" s="1059">
        <f>G33</f>
        <v>7587500</v>
      </c>
      <c r="G9" s="2670" t="s">
        <v>1972</v>
      </c>
      <c r="H9" s="2670"/>
      <c r="I9" s="1060">
        <f>SUMIF(Application!M554:M565,"Loan, Tax-Exempt",Application!AM554:AM565)</f>
        <v>36000000</v>
      </c>
      <c r="K9" s="1061"/>
      <c r="M9" s="1062"/>
    </row>
    <row r="10" spans="1:13" ht="15" customHeight="1" thickBot="1">
      <c r="A10" s="1046"/>
      <c r="B10" s="2662" t="s">
        <v>1975</v>
      </c>
      <c r="C10" s="2662"/>
      <c r="D10" s="2662"/>
      <c r="E10" s="1060">
        <f>G47</f>
        <v>19537812.000000004</v>
      </c>
      <c r="G10" s="2674" t="s">
        <v>1943</v>
      </c>
      <c r="H10" s="2674"/>
      <c r="I10" s="1140">
        <f>'Basis &amp; Credits'!AB78</f>
        <v>0</v>
      </c>
      <c r="M10" s="1062"/>
    </row>
    <row r="11" spans="1:13" ht="15" customHeight="1">
      <c r="A11" s="1046"/>
      <c r="B11" s="2678" t="s">
        <v>2264</v>
      </c>
      <c r="C11" s="2679"/>
      <c r="D11" s="2680"/>
      <c r="E11" s="1060">
        <f>SUM(E12,E13)</f>
        <v>280000</v>
      </c>
      <c r="G11" s="2677" t="s">
        <v>1983</v>
      </c>
      <c r="H11" s="2677"/>
      <c r="I11" s="1139">
        <f>I9+I10</f>
        <v>36000000</v>
      </c>
      <c r="M11" s="1062"/>
    </row>
    <row r="12" spans="1:13" ht="15" customHeight="1">
      <c r="A12" s="1063"/>
      <c r="B12" s="2663" t="s">
        <v>2266</v>
      </c>
      <c r="C12" s="2663"/>
      <c r="D12" s="2663"/>
      <c r="E12" s="1165">
        <f>G56</f>
        <v>0</v>
      </c>
      <c r="M12" s="1062"/>
    </row>
    <row r="13" spans="1:13" ht="15" customHeight="1">
      <c r="A13" s="1049"/>
      <c r="B13" s="2663" t="s">
        <v>2267</v>
      </c>
      <c r="C13" s="2663"/>
      <c r="D13" s="2663"/>
      <c r="E13" s="1165">
        <f>G65</f>
        <v>280000</v>
      </c>
      <c r="G13" s="2667" t="s">
        <v>2006</v>
      </c>
      <c r="H13" s="2668"/>
      <c r="I13" s="2669"/>
      <c r="M13" s="1062"/>
    </row>
    <row r="14" spans="1:13" ht="15" customHeight="1">
      <c r="A14" s="1049"/>
      <c r="B14" s="2678" t="s">
        <v>2265</v>
      </c>
      <c r="C14" s="2679"/>
      <c r="D14" s="2680"/>
      <c r="E14" s="1167">
        <f>MAX(E15,E16)+E17</f>
        <v>13809250</v>
      </c>
      <c r="G14" s="2670" t="s">
        <v>139</v>
      </c>
      <c r="H14" s="2670"/>
      <c r="I14" s="1064">
        <f>15%*(AND(G120="Yes",G122&lt;&gt;""))</f>
        <v>0</v>
      </c>
      <c r="M14" s="1062"/>
    </row>
    <row r="15" spans="1:13" ht="15" customHeight="1">
      <c r="A15" s="1049"/>
      <c r="B15" s="2681" t="s">
        <v>2271</v>
      </c>
      <c r="C15" s="2682"/>
      <c r="D15" s="2683"/>
      <c r="E15" s="1165">
        <f>G80</f>
        <v>4552500</v>
      </c>
      <c r="G15" s="1137" t="s">
        <v>1984</v>
      </c>
      <c r="H15" s="1137"/>
      <c r="I15" s="1064">
        <f>IF(Application!AJ1032&gt;0,10%,IF(Application!AJ1036&gt;0,5%,0))</f>
        <v>0</v>
      </c>
      <c r="M15" s="1062"/>
    </row>
    <row r="16" spans="1:13" ht="15" customHeight="1">
      <c r="A16" s="1049"/>
      <c r="B16" s="2681" t="s">
        <v>2270</v>
      </c>
      <c r="C16" s="2682"/>
      <c r="D16" s="2683"/>
      <c r="E16" s="1165">
        <f>G90</f>
        <v>0</v>
      </c>
      <c r="G16" s="2670" t="s">
        <v>1985</v>
      </c>
      <c r="H16" s="2670"/>
      <c r="I16" s="1064">
        <f>G132</f>
        <v>2.2875816993464051E-2</v>
      </c>
    </row>
    <row r="17" spans="1:21" ht="15" customHeight="1" thickBot="1">
      <c r="A17" s="1049"/>
      <c r="B17" s="2681" t="s">
        <v>2269</v>
      </c>
      <c r="C17" s="2682"/>
      <c r="D17" s="2683"/>
      <c r="E17" s="1165">
        <f>G115</f>
        <v>9256750</v>
      </c>
      <c r="G17" s="2670" t="s">
        <v>2279</v>
      </c>
      <c r="H17" s="2670"/>
      <c r="I17" s="1064">
        <f>IF(AND(G139="Yes",OR(G136,G137)),IF(G143&gt;15%,15%,G143),0)</f>
        <v>0</v>
      </c>
    </row>
    <row r="18" spans="1:21" ht="15" customHeight="1">
      <c r="A18" s="1046"/>
      <c r="B18" s="2673" t="s">
        <v>1939</v>
      </c>
      <c r="C18" s="2673"/>
      <c r="D18" s="2673"/>
      <c r="E18" s="1111">
        <f>SUM(E9:E11,E14)</f>
        <v>41214562</v>
      </c>
      <c r="G18" s="1138" t="s">
        <v>1973</v>
      </c>
      <c r="H18" s="1138"/>
      <c r="I18" s="1112">
        <f>I11-((I11*I14)+(I11*I15)+(I11*I16)+(I11*I17))</f>
        <v>35176470.588235296</v>
      </c>
      <c r="M18" s="1065">
        <f>SUM(Cdlac[Quantity])</f>
        <v>124</v>
      </c>
      <c r="O18" s="1084" t="s">
        <v>582</v>
      </c>
      <c r="P18" s="1044">
        <f>MATCH(Application!T189,Application!CB160:CB217,0)</f>
        <v>21</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5</v>
      </c>
      <c r="N20" s="1071">
        <f>Application!AC718</f>
        <v>0.3</v>
      </c>
      <c r="O20" s="1071">
        <f>IF(Cdlac[[#This Row],[Quantity]]&gt;0,IF(Cdlac[[#This Row],[Federal]],30%,IF(AND(OR(NOT($G$38),$G$38=""),$G$43),40%,Cdlac[[#This Row],[iAMI]])),"")</f>
        <v>0.3</v>
      </c>
      <c r="P20" s="1065" cm="1">
        <f t="array" ref="P20">IF(Cdlac[[#This Row],[Quantity]]&gt;0,INDEX(TcacRents,$P$18,Cdlac[[#This Row],[Bedrooms]]+1)*Cdlac[[#This Row],[AMI]],"")</f>
        <v>1087.8</v>
      </c>
      <c r="Q20" s="1164"/>
      <c r="R20" s="1065" cm="1">
        <f t="array" ref="R20">IF(Cdlac[[#This Row],[Quantity]]&gt;0,INDEX(HudFmrs,$P$18,Cdlac[[#This Row],[Bedrooms]]+1),"")</f>
        <v>2780</v>
      </c>
      <c r="S20" s="1065">
        <f>IF(Cdlac[[#This Row],[Quantity]]&gt;0,MAX(0,Cdlac[[#This Row],[Fair Market Rent]]-IF(AND($G$37,$G$38,$G$38&lt;&gt;"",NOT(Cdlac[[#This Row],[Federal]]),Cdlac[[#This Row],[Preservation Rent]]&lt;&gt;""),Cdlac[[#This Row],[Preservation Rent]],Cdlac[[#This Row],[Restricted Rent]])),"")</f>
        <v>1692.2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6</v>
      </c>
      <c r="N21" s="1071">
        <f>Application!AC719</f>
        <v>0.3</v>
      </c>
      <c r="O21" s="1071">
        <f>IF(Cdlac[[#This Row],[Quantity]]&gt;0,IF(Cdlac[[#This Row],[Federal]],30%,IF(AND(OR(NOT($G$38),$G$38=""),$G$43),40%,Cdlac[[#This Row],[iAMI]])),"")</f>
        <v>0.3</v>
      </c>
      <c r="P21" s="1065" cm="1">
        <f t="array" ref="P21">IF(Cdlac[[#This Row],[Quantity]]&gt;0,INDEX(TcacRents,$P$18,Cdlac[[#This Row],[Bedrooms]]+1)*Cdlac[[#This Row],[AMI]],"")</f>
        <v>1305.5999999999999</v>
      </c>
      <c r="Q21" s="1164"/>
      <c r="R21" s="1065" cm="1">
        <f t="array" ref="R21">IF(Cdlac[[#This Row],[Quantity]]&gt;0,INDEX(HudFmrs,$P$18,Cdlac[[#This Row],[Bedrooms]]+1),"")</f>
        <v>3318</v>
      </c>
      <c r="S21" s="1065">
        <f>IF(Cdlac[[#This Row],[Quantity]]&gt;0,MAX(0,Cdlac[[#This Row],[Fair Market Rent]]-IF(AND($G$37,$G$38,$G$38&lt;&gt;"",NOT(Cdlac[[#This Row],[Federal]]),Cdlac[[#This Row],[Preservation Rent]]&lt;&gt;""),Cdlac[[#This Row],[Preservation Rent]],Cdlac[[#This Row],[Restricted Rent]])),"")</f>
        <v>2012.4</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71" t="s">
        <v>1987</v>
      </c>
      <c r="D22" s="2671" t="s">
        <v>1988</v>
      </c>
      <c r="E22" s="2671" t="s">
        <v>1989</v>
      </c>
      <c r="F22" s="2671" t="s">
        <v>2607</v>
      </c>
      <c r="G22" s="2671" t="s">
        <v>1986</v>
      </c>
      <c r="H22" s="1070"/>
      <c r="I22" s="1069"/>
      <c r="L22" s="1044">
        <f>IFERROR(MIN(4,MATCH(Application!B720,UnitSizes,0)-1),"")</f>
        <v>3</v>
      </c>
      <c r="M22" s="1065">
        <f>Application!G720</f>
        <v>3</v>
      </c>
      <c r="N22" s="1071">
        <f>Application!AC720</f>
        <v>0.3</v>
      </c>
      <c r="O22" s="1071">
        <f>IF(Cdlac[[#This Row],[Quantity]]&gt;0,IF(Cdlac[[#This Row],[Federal]],30%,IF(AND(OR(NOT($G$38),$G$38=""),$G$43),40%,Cdlac[[#This Row],[iAMI]])),"")</f>
        <v>0.3</v>
      </c>
      <c r="P22" s="1065" cm="1">
        <f t="array" ref="P22">IF(Cdlac[[#This Row],[Quantity]]&gt;0,INDEX(TcacRents,$P$18,Cdlac[[#This Row],[Bedrooms]]+1)*Cdlac[[#This Row],[AMI]],"")</f>
        <v>1508.3999999999999</v>
      </c>
      <c r="Q22" s="1164"/>
      <c r="R22" s="1065" cm="1">
        <f t="array" ref="R22">IF(Cdlac[[#This Row],[Quantity]]&gt;0,INDEX(HudFmrs,$P$18,Cdlac[[#This Row],[Bedrooms]]+1),"")</f>
        <v>4138</v>
      </c>
      <c r="S22" s="1065">
        <f>IF(Cdlac[[#This Row],[Quantity]]&gt;0,MAX(0,Cdlac[[#This Row],[Fair Market Rent]]-IF(AND($G$37,$G$38,$G$38&lt;&gt;"",NOT(Cdlac[[#This Row],[Federal]]),Cdlac[[#This Row],[Preservation Rent]]&lt;&gt;""),Cdlac[[#This Row],[Preservation Rent]],Cdlac[[#This Row],[Restricted Rent]])),"")</f>
        <v>2629.6000000000004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2"/>
      <c r="D23" s="2672"/>
      <c r="E23" s="2672"/>
      <c r="F23" s="2672"/>
      <c r="G23" s="2672"/>
      <c r="H23" s="1070"/>
      <c r="I23" s="1069"/>
      <c r="L23" s="1044">
        <f>IFERROR(MIN(4,MATCH(Application!B721,UnitSizes,0)-1),"")</f>
        <v>1</v>
      </c>
      <c r="M23" s="1065">
        <f>Application!G721</f>
        <v>19</v>
      </c>
      <c r="N23" s="1071">
        <f>Application!AC721</f>
        <v>0.5</v>
      </c>
      <c r="O23" s="1071">
        <f>IF(Cdlac[[#This Row],[Quantity]]&gt;0,IF(Cdlac[[#This Row],[Federal]],30%,IF(AND(OR(NOT($G$38),$G$38=""),$G$43),40%,Cdlac[[#This Row],[iAMI]])),"")</f>
        <v>0.5</v>
      </c>
      <c r="P23" s="1065" cm="1">
        <f t="array" ref="P23">IF(Cdlac[[#This Row],[Quantity]]&gt;0,INDEX(TcacRents,$P$18,Cdlac[[#This Row],[Bedrooms]]+1)*Cdlac[[#This Row],[AMI]],"")</f>
        <v>1813</v>
      </c>
      <c r="Q23" s="1164"/>
      <c r="R23" s="1065" cm="1">
        <f t="array" ref="R23">IF(Cdlac[[#This Row],[Quantity]]&gt;0,INDEX(HudFmrs,$P$18,Cdlac[[#This Row],[Bedrooms]]+1),"")</f>
        <v>2780</v>
      </c>
      <c r="S23" s="1065">
        <f>IF(Cdlac[[#This Row],[Quantity]]&gt;0,MAX(0,Cdlac[[#This Row],[Fair Market Rent]]-IF(AND($G$37,$G$38,$G$38&lt;&gt;"",NOT(Cdlac[[#This Row],[Federal]]),Cdlac[[#This Row],[Preservation Rent]]&lt;&gt;""),Cdlac[[#This Row],[Preservation Rent]],Cdlac[[#This Row],[Restricted Rent]])),"")</f>
        <v>967</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19</v>
      </c>
      <c r="N24" s="1071">
        <f>Application!AC722</f>
        <v>0.5</v>
      </c>
      <c r="O24" s="1071">
        <f>IF(Cdlac[[#This Row],[Quantity]]&gt;0,IF(Cdlac[[#This Row],[Federal]],30%,IF(AND(OR(NOT($G$38),$G$38=""),$G$43),40%,Cdlac[[#This Row],[iAMI]])),"")</f>
        <v>0.5</v>
      </c>
      <c r="P24" s="1065" cm="1">
        <f t="array" ref="P24">IF(Cdlac[[#This Row],[Quantity]]&gt;0,INDEX(TcacRents,$P$18,Cdlac[[#This Row],[Bedrooms]]+1)*Cdlac[[#This Row],[AMI]],"")</f>
        <v>2176</v>
      </c>
      <c r="Q24" s="1164"/>
      <c r="R24" s="1065" cm="1">
        <f t="array" ref="R24">IF(Cdlac[[#This Row],[Quantity]]&gt;0,INDEX(HudFmrs,$P$18,Cdlac[[#This Row],[Bedrooms]]+1),"")</f>
        <v>3318</v>
      </c>
      <c r="S24" s="1065">
        <f>IF(Cdlac[[#This Row],[Quantity]]&gt;0,MAX(0,Cdlac[[#This Row],[Fair Market Rent]]-IF(AND($G$37,$G$38,$G$38&lt;&gt;"",NOT(Cdlac[[#This Row],[Federal]]),Cdlac[[#This Row],[Preservation Rent]]&lt;&gt;""),Cdlac[[#This Row],[Preservation Rent]],Cdlac[[#This Row],[Restricted Rent]])),"")</f>
        <v>1142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45</v>
      </c>
      <c r="F25" s="1072">
        <f>E25</f>
        <v>45</v>
      </c>
      <c r="G25" s="1072">
        <f>D25*F25</f>
        <v>45</v>
      </c>
      <c r="L25" s="1044">
        <f>IFERROR(MIN(4,MATCH(Application!B723,UnitSizes,0)-1),"")</f>
        <v>3</v>
      </c>
      <c r="M25" s="1065">
        <f>Application!G723</f>
        <v>11</v>
      </c>
      <c r="N25" s="1071">
        <f>Application!AC723</f>
        <v>0.5</v>
      </c>
      <c r="O25" s="1071">
        <f>IF(Cdlac[[#This Row],[Quantity]]&gt;0,IF(Cdlac[[#This Row],[Federal]],30%,IF(AND(OR(NOT($G$38),$G$38=""),$G$43),40%,Cdlac[[#This Row],[iAMI]])),"")</f>
        <v>0.5</v>
      </c>
      <c r="P25" s="1065" cm="1">
        <f t="array" ref="P25">IF(Cdlac[[#This Row],[Quantity]]&gt;0,INDEX(TcacRents,$P$18,Cdlac[[#This Row],[Bedrooms]]+1)*Cdlac[[#This Row],[AMI]],"")</f>
        <v>2514</v>
      </c>
      <c r="Q25" s="1164"/>
      <c r="R25" s="1065" cm="1">
        <f t="array" ref="R25">IF(Cdlac[[#This Row],[Quantity]]&gt;0,INDEX(HudFmrs,$P$18,Cdlac[[#This Row],[Bedrooms]]+1),"")</f>
        <v>4138</v>
      </c>
      <c r="S25" s="1065">
        <f>IF(Cdlac[[#This Row],[Quantity]]&gt;0,MAX(0,Cdlac[[#This Row],[Fair Market Rent]]-IF(AND($G$37,$G$38,$G$38&lt;&gt;"",NOT(Cdlac[[#This Row],[Federal]]),Cdlac[[#This Row],[Preservation Rent]]&lt;&gt;""),Cdlac[[#This Row],[Preservation Rent]],Cdlac[[#This Row],[Restricted Rent]])),"")</f>
        <v>1624</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47</v>
      </c>
      <c r="F26" s="1075">
        <f>SUM(E26:E28)-SUM(F27:F28)</f>
        <v>47</v>
      </c>
      <c r="G26" s="1072">
        <f>D26*F26</f>
        <v>58.75</v>
      </c>
      <c r="H26" s="1074"/>
      <c r="I26" s="1074"/>
      <c r="L26" s="1044">
        <f>IFERROR(MIN(4,MATCH(Application!B724,UnitSizes,0)-1),"")</f>
        <v>1</v>
      </c>
      <c r="M26" s="1065">
        <f>Application!G724</f>
        <v>21</v>
      </c>
      <c r="N26" s="1071">
        <f>Application!AC724</f>
        <v>0.7</v>
      </c>
      <c r="O26" s="1071">
        <f>IF(Cdlac[[#This Row],[Quantity]]&gt;0,IF(Cdlac[[#This Row],[Federal]],30%,IF(AND(OR(NOT($G$38),$G$38=""),$G$43),40%,Cdlac[[#This Row],[iAMI]])),"")</f>
        <v>0.7</v>
      </c>
      <c r="P26" s="1065" cm="1">
        <f t="array" ref="P26">IF(Cdlac[[#This Row],[Quantity]]&gt;0,INDEX(TcacRents,$P$18,Cdlac[[#This Row],[Bedrooms]]+1)*Cdlac[[#This Row],[AMI]],"")</f>
        <v>2538.1999999999998</v>
      </c>
      <c r="Q26" s="1164"/>
      <c r="R26" s="1065" cm="1">
        <f t="array" ref="R26">IF(Cdlac[[#This Row],[Quantity]]&gt;0,INDEX(HudFmrs,$P$18,Cdlac[[#This Row],[Bedrooms]]+1),"")</f>
        <v>2780</v>
      </c>
      <c r="S26" s="1065">
        <f>IF(Cdlac[[#This Row],[Quantity]]&gt;0,MAX(0,Cdlac[[#This Row],[Fair Market Rent]]-IF(AND($G$37,$G$38,$G$38&lt;&gt;"",NOT(Cdlac[[#This Row],[Federal]]),Cdlac[[#This Row],[Preservation Rent]]&lt;&gt;""),Cdlac[[#This Row],[Preservation Rent]],Cdlac[[#This Row],[Restricted Rent]])),"")</f>
        <v>241.80000000000018</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32</v>
      </c>
      <c r="F27" s="1075">
        <f>MIN(E27,ROUNDDOWN(E29*30%,0))</f>
        <v>32</v>
      </c>
      <c r="G27" s="1072">
        <f>D27*F27</f>
        <v>48</v>
      </c>
      <c r="H27" s="1074"/>
      <c r="I27" s="1074"/>
      <c r="L27" s="1044">
        <f>IFERROR(MIN(4,MATCH(Application!B725,UnitSizes,0)-1),"")</f>
        <v>2</v>
      </c>
      <c r="M27" s="1065">
        <f>Application!G725</f>
        <v>22</v>
      </c>
      <c r="N27" s="1071">
        <f>Application!AC725</f>
        <v>0.7</v>
      </c>
      <c r="O27" s="1071">
        <f>IF(Cdlac[[#This Row],[Quantity]]&gt;0,IF(Cdlac[[#This Row],[Federal]],30%,IF(AND(OR(NOT($G$38),$G$38=""),$G$43),40%,Cdlac[[#This Row],[iAMI]])),"")</f>
        <v>0.7</v>
      </c>
      <c r="P27" s="1065" cm="1">
        <f t="array" ref="P27">IF(Cdlac[[#This Row],[Quantity]]&gt;0,INDEX(TcacRents,$P$18,Cdlac[[#This Row],[Bedrooms]]+1)*Cdlac[[#This Row],[AMI]],"")</f>
        <v>3046.3999999999996</v>
      </c>
      <c r="Q27" s="1164"/>
      <c r="R27" s="1065" cm="1">
        <f t="array" ref="R27">IF(Cdlac[[#This Row],[Quantity]]&gt;0,INDEX(HudFmrs,$P$18,Cdlac[[#This Row],[Bedrooms]]+1),"")</f>
        <v>3318</v>
      </c>
      <c r="S27" s="1065">
        <f>IF(Cdlac[[#This Row],[Quantity]]&gt;0,MAX(0,Cdlac[[#This Row],[Fair Market Rent]]-IF(AND($G$37,$G$38,$G$38&lt;&gt;"",NOT(Cdlac[[#This Row],[Federal]]),Cdlac[[#This Row],[Preservation Rent]]&lt;&gt;""),Cdlac[[#This Row],[Preservation Rent]],Cdlac[[#This Row],[Restricted Rent]])),"")</f>
        <v>271.60000000000036</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18</v>
      </c>
      <c r="N28" s="1071">
        <f>Application!AC726</f>
        <v>0.7</v>
      </c>
      <c r="O28" s="1071">
        <f>IF(Cdlac[[#This Row],[Quantity]]&gt;0,IF(Cdlac[[#This Row],[Federal]],30%,IF(AND(OR(NOT($G$38),$G$38=""),$G$43),40%,Cdlac[[#This Row],[iAMI]])),"")</f>
        <v>0.7</v>
      </c>
      <c r="P28" s="1065" cm="1">
        <f t="array" ref="P28">IF(Cdlac[[#This Row],[Quantity]]&gt;0,INDEX(TcacRents,$P$18,Cdlac[[#This Row],[Bedrooms]]+1)*Cdlac[[#This Row],[AMI]],"")</f>
        <v>3519.6</v>
      </c>
      <c r="Q28" s="1164"/>
      <c r="R28" s="1065" cm="1">
        <f t="array" ref="R28">IF(Cdlac[[#This Row],[Quantity]]&gt;0,INDEX(HudFmrs,$P$18,Cdlac[[#This Row],[Bedrooms]]+1),"")</f>
        <v>4138</v>
      </c>
      <c r="S28" s="1065">
        <f>IF(Cdlac[[#This Row],[Quantity]]&gt;0,MAX(0,Cdlac[[#This Row],[Fair Market Rent]]-IF(AND($G$37,$G$38,$G$38&lt;&gt;"",NOT(Cdlac[[#This Row],[Federal]]),Cdlac[[#This Row],[Preservation Rent]]&lt;&gt;""),Cdlac[[#This Row],[Preservation Rent]],Cdlac[[#This Row],[Restricted Rent]])),"")</f>
        <v>618.40000000000009</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5" t="s">
        <v>1586</v>
      </c>
      <c r="D29" s="2686"/>
      <c r="E29" s="1089">
        <f>SUM(E24:E28)</f>
        <v>124</v>
      </c>
      <c r="F29" s="1089">
        <f>SUM(F24:F28)</f>
        <v>124</v>
      </c>
      <c r="G29" s="1090">
        <f>SUMPRODUCT(D24:D28,F24:F28)</f>
        <v>151.75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151.75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7587500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8" t="str">
        <f>IF(AND(G37,G38,G38&lt;&gt;""),"Enter the average rent charged for each unit type over the last three years, as documented with rent rolls or property audits, in cells Q20:Q44","")</f>
        <v/>
      </c>
      <c r="D39" s="2688"/>
      <c r="E39" s="2688"/>
      <c r="F39" s="2688"/>
      <c r="G39" s="2688"/>
      <c r="H39" s="2688"/>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8"/>
      <c r="D40" s="2688"/>
      <c r="E40" s="2688"/>
      <c r="F40" s="2688"/>
      <c r="G40" s="2688"/>
      <c r="H40" s="2688"/>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8"/>
      <c r="D41" s="2688"/>
      <c r="E41" s="2688"/>
      <c r="F41" s="2688"/>
      <c r="G41" s="2688"/>
      <c r="H41" s="2688"/>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0.57580645161290311</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108543.40000000002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19537812.000000004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62</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14</v>
      </c>
    </row>
    <row r="61" spans="2:21" ht="15" customHeight="1">
      <c r="E61" s="1117" t="s">
        <v>1995</v>
      </c>
      <c r="G61" s="1079">
        <f>ROUNDDOWN(E29*50%,0)</f>
        <v>62</v>
      </c>
    </row>
    <row r="62" spans="2:21" ht="15" customHeight="1">
      <c r="E62" s="1117"/>
      <c r="G62" s="1079"/>
    </row>
    <row r="63" spans="2:21" ht="15" customHeight="1">
      <c r="E63" s="1117" t="s">
        <v>1955</v>
      </c>
      <c r="G63" s="1114">
        <f>MIN(G60:G61)</f>
        <v>14</v>
      </c>
    </row>
    <row r="64" spans="2:21" ht="15" customHeight="1">
      <c r="E64" s="1117" t="s">
        <v>1945</v>
      </c>
      <c r="F64" s="1113" t="s">
        <v>1993</v>
      </c>
      <c r="G64" s="1124">
        <v>20000</v>
      </c>
    </row>
    <row r="65" spans="2:14" ht="15" customHeight="1">
      <c r="E65" s="1118" t="s">
        <v>1977</v>
      </c>
      <c r="F65" s="1046"/>
      <c r="G65" s="1123">
        <f>G63*G64</f>
        <v>280000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row>
    <row r="72" spans="2:14" ht="15" customHeight="1">
      <c r="C72" s="1077" t="s">
        <v>1969</v>
      </c>
      <c r="G72" s="1044" t="str">
        <f>Application!T193</f>
        <v>Highest Resource</v>
      </c>
      <c r="L72" s="2658" t="s">
        <v>1970</v>
      </c>
      <c r="M72" s="2659"/>
      <c r="N72" s="1131">
        <v>30000</v>
      </c>
    </row>
    <row r="73" spans="2:14" ht="15" customHeight="1">
      <c r="C73" s="2660" t="s">
        <v>2263</v>
      </c>
      <c r="D73" s="2660"/>
      <c r="E73" s="2660"/>
      <c r="F73" s="2660"/>
      <c r="G73" s="1043"/>
      <c r="L73" s="2675" t="s">
        <v>1938</v>
      </c>
      <c r="M73" s="2676"/>
      <c r="N73" s="1132">
        <v>20000</v>
      </c>
    </row>
    <row r="74" spans="2:14" ht="15" customHeight="1" thickBot="1">
      <c r="C74" s="2660"/>
      <c r="D74" s="2660"/>
      <c r="E74" s="2660"/>
      <c r="F74" s="2660"/>
      <c r="L74" s="2650" t="s">
        <v>1971</v>
      </c>
      <c r="M74" s="2651"/>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151.75</v>
      </c>
    </row>
    <row r="80" spans="2:14" ht="15" customHeight="1">
      <c r="D80" s="1046"/>
      <c r="E80" s="1118" t="s">
        <v>2268</v>
      </c>
      <c r="F80" s="1046"/>
      <c r="G80" s="1123">
        <f>G79*G78*G76</f>
        <v>4552500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151.75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151.75</v>
      </c>
    </row>
    <row r="97" spans="2:14" ht="15" customHeight="1">
      <c r="E97" s="1118" t="s">
        <v>1962</v>
      </c>
      <c r="F97" s="1046"/>
      <c r="G97" s="1123">
        <f>G94*G95*G96</f>
        <v>4249000</v>
      </c>
      <c r="L97" s="1127" t="str">
        <f>'Points System'!H638</f>
        <v>(i)</v>
      </c>
      <c r="M97" s="2656" t="s">
        <v>1405</v>
      </c>
      <c r="N97" s="2657"/>
    </row>
    <row r="98" spans="2:14" ht="15" customHeight="1">
      <c r="C98" s="1077"/>
      <c r="G98" s="1114"/>
      <c r="L98" s="1128" t="str">
        <f>'Points System'!H650</f>
        <v>N/A</v>
      </c>
      <c r="M98" s="2652" t="s">
        <v>1957</v>
      </c>
      <c r="N98" s="2653"/>
    </row>
    <row r="99" spans="2:14" ht="15" customHeight="1">
      <c r="E99" s="1084" t="s">
        <v>1998</v>
      </c>
      <c r="G99" s="1126">
        <f>COUNTIFS(L97:L104,"(i)")</f>
        <v>2</v>
      </c>
      <c r="L99" s="1128" t="str">
        <f>'Points System'!H685</f>
        <v>(iv)</v>
      </c>
      <c r="M99" s="2652" t="s">
        <v>1958</v>
      </c>
      <c r="N99" s="2653"/>
    </row>
    <row r="100" spans="2:14" ht="15" customHeight="1">
      <c r="E100" s="1084" t="s">
        <v>1945</v>
      </c>
      <c r="F100" s="1113" t="s">
        <v>1993</v>
      </c>
      <c r="G100" s="1124">
        <v>4000</v>
      </c>
      <c r="L100" s="1128" t="str">
        <f>IF(OR('Points System'!H709="(ii)",'Points System'!H709="(i)"),"(i)","N/A")</f>
        <v>(i)</v>
      </c>
      <c r="M100" s="2652" t="s">
        <v>1959</v>
      </c>
      <c r="N100" s="2653"/>
    </row>
    <row r="101" spans="2:14" ht="15" customHeight="1">
      <c r="E101" s="1118" t="s">
        <v>1963</v>
      </c>
      <c r="F101" s="1046"/>
      <c r="G101" s="1123">
        <f>G96*G99*G100</f>
        <v>1214000</v>
      </c>
      <c r="L101" s="1129" t="str">
        <f>'Points System'!H723</f>
        <v>N/A</v>
      </c>
      <c r="M101" s="2652" t="s">
        <v>1431</v>
      </c>
      <c r="N101" s="2653"/>
    </row>
    <row r="102" spans="2:14" ht="15" customHeight="1">
      <c r="L102" s="1128" t="str">
        <f>'Points System'!H735</f>
        <v>N/A</v>
      </c>
      <c r="M102" s="2652" t="s">
        <v>1960</v>
      </c>
      <c r="N102" s="2653"/>
    </row>
    <row r="103" spans="2:14" ht="15" customHeight="1">
      <c r="C103" s="1080" t="s">
        <v>1965</v>
      </c>
      <c r="L103" s="1128" t="str">
        <f>'Points System'!H751</f>
        <v>N/A</v>
      </c>
      <c r="M103" s="2652" t="s">
        <v>1961</v>
      </c>
      <c r="N103" s="2653"/>
    </row>
    <row r="104" spans="2:14" ht="15" customHeight="1" thickBot="1">
      <c r="C104" s="1077" t="s">
        <v>1966</v>
      </c>
      <c r="G104" s="1043"/>
      <c r="L104" s="1130" t="str">
        <f>'Points System'!H763</f>
        <v>(ii)</v>
      </c>
      <c r="M104" s="2654" t="s">
        <v>1434</v>
      </c>
      <c r="N104" s="2655"/>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151.75</v>
      </c>
    </row>
    <row r="112" spans="2:14" ht="15" customHeight="1">
      <c r="E112" s="1084" t="s">
        <v>1945</v>
      </c>
      <c r="F112" s="1113" t="s">
        <v>1993</v>
      </c>
      <c r="G112" s="1124">
        <v>25000</v>
      </c>
    </row>
    <row r="113" spans="2:9" ht="15" customHeight="1">
      <c r="E113" s="1118" t="s">
        <v>1964</v>
      </c>
      <c r="F113" s="1046"/>
      <c r="G113" s="1123">
        <f>G109*G112*G96</f>
        <v>3793750</v>
      </c>
    </row>
    <row r="114" spans="2:9" ht="15" customHeight="1">
      <c r="C114" s="1077"/>
      <c r="E114" s="1077"/>
    </row>
    <row r="115" spans="2:9" ht="15" customHeight="1">
      <c r="E115" s="1118" t="s">
        <v>2273</v>
      </c>
      <c r="G115" s="1123">
        <f>G113+G101+G97</f>
        <v>9256750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7" t="s">
        <v>2228</v>
      </c>
      <c r="D119" s="2687"/>
      <c r="E119" s="2687"/>
      <c r="F119" s="2687"/>
    </row>
    <row r="120" spans="2:9" ht="15" customHeight="1">
      <c r="C120" s="2687"/>
      <c r="D120" s="2687"/>
      <c r="E120" s="2687"/>
      <c r="F120" s="2687"/>
      <c r="G120" s="1043"/>
    </row>
    <row r="121" spans="2:9" ht="15" customHeight="1"/>
    <row r="122" spans="2:9" ht="15" customHeight="1">
      <c r="C122" s="1044" t="s">
        <v>2230</v>
      </c>
      <c r="G122" s="2689"/>
      <c r="H122" s="2689"/>
    </row>
    <row r="123" spans="2:9" ht="15" customHeight="1">
      <c r="G123" s="2689"/>
      <c r="H123" s="2689"/>
    </row>
    <row r="124" spans="2:9" ht="15" customHeight="1">
      <c r="G124" s="2690"/>
      <c r="H124" s="2690"/>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Marin</v>
      </c>
    </row>
    <row r="129" spans="2:9">
      <c r="E129" s="1084"/>
      <c r="G129" s="1078"/>
    </row>
    <row r="130" spans="2:9">
      <c r="E130" s="1084" t="str">
        <f>"2-Bedroom "&amp;G128&amp;" County Basis Limit"</f>
        <v>2-Bedroom Marin County Basis Limit</v>
      </c>
      <c r="G130" s="1078">
        <f>Application!R988</f>
        <v>534400</v>
      </c>
    </row>
    <row r="131" spans="2:9">
      <c r="E131" s="1084" t="s">
        <v>2001</v>
      </c>
      <c r="G131" s="1078">
        <f>MEDIAN((Application!CU160:CU217))</f>
        <v>489600</v>
      </c>
    </row>
    <row r="132" spans="2:9" ht="15">
      <c r="D132" s="1046"/>
      <c r="E132" s="1118" t="s">
        <v>2003</v>
      </c>
      <c r="F132" s="1134"/>
      <c r="G132" s="1135">
        <f>((G130-G131)/G131)*0.25</f>
        <v>2.2875816993464051E-2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4" t="s">
        <v>2276</v>
      </c>
      <c r="D138" s="2684"/>
      <c r="E138" s="2684"/>
      <c r="F138" s="2684"/>
    </row>
    <row r="139" spans="2:9">
      <c r="B139" s="1045"/>
      <c r="C139" s="2684"/>
      <c r="D139" s="2684"/>
      <c r="E139" s="2684"/>
      <c r="F139" s="2684"/>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5400000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6"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22" workbookViewId="0">
      <selection activeCell="D4" sqref="D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1" t="s">
        <v>909</v>
      </c>
      <c r="B1" s="2691"/>
      <c r="C1" s="2691"/>
      <c r="D1" s="2691"/>
      <c r="E1" s="2691"/>
      <c r="F1" s="2691"/>
      <c r="G1" s="2691"/>
      <c r="H1" s="2691"/>
      <c r="I1" s="2691"/>
      <c r="J1" s="2691"/>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5</v>
      </c>
      <c r="C4" s="1162"/>
      <c r="D4" s="428">
        <f>Application!O718</f>
        <v>1063</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6</v>
      </c>
      <c r="C5" s="1162"/>
      <c r="D5" s="428">
        <f>Application!O719</f>
        <v>1226</v>
      </c>
      <c r="E5" s="429"/>
      <c r="F5" s="1083"/>
      <c r="G5" s="428">
        <f t="shared" ref="G5:G38" si="2">F5*B5</f>
        <v>0</v>
      </c>
      <c r="H5" s="429"/>
      <c r="I5" s="428" t="str">
        <f t="shared" si="0"/>
        <v/>
      </c>
      <c r="J5" s="428" t="str">
        <f t="shared" si="1"/>
        <v/>
      </c>
      <c r="K5" s="204"/>
      <c r="L5" s="305"/>
    </row>
    <row r="6" spans="1:12">
      <c r="A6" s="428" t="str">
        <f>Application!B720</f>
        <v>3 Bedrooms</v>
      </c>
      <c r="B6" s="1082">
        <f>Application!G720</f>
        <v>3</v>
      </c>
      <c r="C6" s="1162"/>
      <c r="D6" s="428">
        <f>Application!O720</f>
        <v>1465</v>
      </c>
      <c r="E6" s="429"/>
      <c r="F6" s="1083"/>
      <c r="G6" s="428">
        <f t="shared" si="2"/>
        <v>0</v>
      </c>
      <c r="H6" s="429"/>
      <c r="I6" s="428" t="str">
        <f t="shared" si="0"/>
        <v/>
      </c>
      <c r="J6" s="428" t="str">
        <f t="shared" si="1"/>
        <v/>
      </c>
      <c r="K6" s="204"/>
      <c r="L6" s="305"/>
    </row>
    <row r="7" spans="1:12">
      <c r="A7" s="428" t="str">
        <f>Application!B721</f>
        <v>1 Bedroom</v>
      </c>
      <c r="B7" s="1082">
        <f>Application!G721</f>
        <v>19</v>
      </c>
      <c r="C7" s="1162"/>
      <c r="D7" s="428">
        <f>Application!O721</f>
        <v>1788</v>
      </c>
      <c r="E7" s="429"/>
      <c r="F7" s="1083"/>
      <c r="G7" s="428">
        <f t="shared" si="2"/>
        <v>0</v>
      </c>
      <c r="H7" s="429"/>
      <c r="I7" s="428" t="str">
        <f t="shared" si="0"/>
        <v/>
      </c>
      <c r="J7" s="428" t="str">
        <f t="shared" si="1"/>
        <v/>
      </c>
      <c r="K7" s="204"/>
      <c r="L7" s="305"/>
    </row>
    <row r="8" spans="1:12">
      <c r="A8" s="428" t="str">
        <f>Application!B722</f>
        <v>2 Bedrooms</v>
      </c>
      <c r="B8" s="1082">
        <f>Application!G722</f>
        <v>19</v>
      </c>
      <c r="C8" s="1162"/>
      <c r="D8" s="428">
        <f>Application!O722</f>
        <v>2097</v>
      </c>
      <c r="E8" s="429"/>
      <c r="F8" s="1083"/>
      <c r="G8" s="428">
        <f t="shared" si="2"/>
        <v>0</v>
      </c>
      <c r="H8" s="429"/>
      <c r="I8" s="428" t="str">
        <f t="shared" si="0"/>
        <v/>
      </c>
      <c r="J8" s="428" t="str">
        <f t="shared" si="1"/>
        <v/>
      </c>
      <c r="K8" s="204"/>
      <c r="L8" s="305"/>
    </row>
    <row r="9" spans="1:12">
      <c r="A9" s="428" t="str">
        <f>Application!B723</f>
        <v>3 Bedrooms</v>
      </c>
      <c r="B9" s="1082">
        <f>Application!G723</f>
        <v>11</v>
      </c>
      <c r="C9" s="1162"/>
      <c r="D9" s="428">
        <f>Application!O723</f>
        <v>2471</v>
      </c>
      <c r="E9" s="429"/>
      <c r="F9" s="1083"/>
      <c r="G9" s="428">
        <f t="shared" si="2"/>
        <v>0</v>
      </c>
      <c r="H9" s="429"/>
      <c r="I9" s="428" t="str">
        <f t="shared" si="0"/>
        <v/>
      </c>
      <c r="J9" s="428" t="str">
        <f t="shared" si="1"/>
        <v/>
      </c>
      <c r="K9" s="204"/>
      <c r="L9" s="305"/>
    </row>
    <row r="10" spans="1:12">
      <c r="A10" s="428" t="str">
        <f>Application!B724</f>
        <v>1 Bedroom</v>
      </c>
      <c r="B10" s="1082">
        <f>Application!G724</f>
        <v>21</v>
      </c>
      <c r="C10" s="1162"/>
      <c r="D10" s="428">
        <f>Application!O724</f>
        <v>2514</v>
      </c>
      <c r="E10" s="429"/>
      <c r="F10" s="1083"/>
      <c r="G10" s="428">
        <f t="shared" si="2"/>
        <v>0</v>
      </c>
      <c r="H10" s="429"/>
      <c r="I10" s="428" t="str">
        <f t="shared" si="0"/>
        <v/>
      </c>
      <c r="J10" s="428" t="str">
        <f t="shared" si="1"/>
        <v/>
      </c>
      <c r="K10" s="204"/>
      <c r="L10" s="305"/>
    </row>
    <row r="11" spans="1:12">
      <c r="A11" s="428" t="str">
        <f>Application!B725</f>
        <v>2 Bedrooms</v>
      </c>
      <c r="B11" s="1082">
        <f>Application!G725</f>
        <v>22</v>
      </c>
      <c r="C11" s="1162"/>
      <c r="D11" s="428">
        <f>Application!O725</f>
        <v>2967</v>
      </c>
      <c r="E11" s="429"/>
      <c r="F11" s="1083"/>
      <c r="G11" s="428">
        <f t="shared" si="2"/>
        <v>0</v>
      </c>
      <c r="H11" s="429"/>
      <c r="I11" s="428" t="str">
        <f t="shared" si="0"/>
        <v/>
      </c>
      <c r="J11" s="428" t="str">
        <f t="shared" si="1"/>
        <v/>
      </c>
      <c r="K11" s="204"/>
      <c r="L11" s="305"/>
    </row>
    <row r="12" spans="1:12">
      <c r="A12" s="428" t="str">
        <f>Application!B726</f>
        <v>3 Bedrooms</v>
      </c>
      <c r="B12" s="1082">
        <f>Application!G726</f>
        <v>18</v>
      </c>
      <c r="C12" s="1162"/>
      <c r="D12" s="428">
        <f>Application!O726</f>
        <v>3477</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t="str">
        <f>Application!O727</f>
        <v xml:space="preserve">  </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298716</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2258</v>
      </c>
    </row>
    <row r="43" spans="1:12">
      <c r="A43" s="2692" t="s">
        <v>2494</v>
      </c>
      <c r="B43" s="2692"/>
      <c r="C43" s="2692"/>
      <c r="D43" s="2692"/>
      <c r="E43" s="2692"/>
      <c r="F43" s="2692"/>
      <c r="G43" s="2692"/>
      <c r="H43" s="2692"/>
      <c r="I43" s="2692"/>
      <c r="J43" s="2692"/>
    </row>
    <row r="44" spans="1:12">
      <c r="A44" s="2692"/>
      <c r="B44" s="2692"/>
      <c r="C44" s="2692"/>
      <c r="D44" s="2692"/>
      <c r="E44" s="2692"/>
      <c r="F44" s="2692"/>
      <c r="G44" s="2692"/>
      <c r="H44" s="2692"/>
      <c r="I44" s="2692"/>
      <c r="J44" s="2692"/>
    </row>
    <row r="45" spans="1:12">
      <c r="A45" s="2692" t="s">
        <v>2259</v>
      </c>
      <c r="B45" s="2692"/>
      <c r="C45" s="2692"/>
      <c r="D45" s="2692"/>
      <c r="E45" s="2692"/>
      <c r="F45" s="2692"/>
      <c r="G45" s="2692"/>
      <c r="H45" s="2692"/>
      <c r="I45" s="2692"/>
      <c r="J45" s="2692"/>
    </row>
    <row r="46" spans="1:12">
      <c r="A46" s="2692"/>
      <c r="B46" s="2692"/>
      <c r="C46" s="2692"/>
      <c r="D46" s="2692"/>
      <c r="E46" s="2692"/>
      <c r="F46" s="2692"/>
      <c r="G46" s="2692"/>
      <c r="H46" s="2692"/>
      <c r="I46" s="2692"/>
      <c r="J46" s="269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C40" workbookViewId="0">
      <selection activeCell="AG66" sqref="AG66:AG67"/>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3620292</v>
      </c>
      <c r="G4" s="219">
        <f>E4*$C$4</f>
        <v>3710799.3</v>
      </c>
      <c r="I4" s="219">
        <f>G4*$C$4</f>
        <v>3803569.2824999993</v>
      </c>
      <c r="K4" s="219">
        <f>I4*$C$4</f>
        <v>3898658.5145624988</v>
      </c>
      <c r="M4" s="219">
        <f>K4*$C$4</f>
        <v>3996124.9774265611</v>
      </c>
      <c r="O4" s="219">
        <f>M4*$C$4</f>
        <v>4096028.1018622248</v>
      </c>
      <c r="Q4" s="219">
        <f>O4*$C$4</f>
        <v>4198428.8044087803</v>
      </c>
      <c r="S4" s="219">
        <f>Q4*$C$4</f>
        <v>4303389.5245189993</v>
      </c>
      <c r="U4" s="219">
        <f>S4*$C$4</f>
        <v>4410974.2626319742</v>
      </c>
      <c r="W4" s="219">
        <f>U4*$C$4</f>
        <v>4521248.6191977728</v>
      </c>
      <c r="Y4" s="219">
        <f>W4*$C$4</f>
        <v>4634279.8346777167</v>
      </c>
      <c r="AA4" s="219">
        <f>Y4*$C$4</f>
        <v>4750136.8305446589</v>
      </c>
      <c r="AC4" s="219">
        <f>AA4*$C$4</f>
        <v>4868890.2513082754</v>
      </c>
      <c r="AE4" s="219">
        <f>AC4*$C$4</f>
        <v>4990612.5075909821</v>
      </c>
      <c r="AG4" s="219">
        <f>AE4*$C$4</f>
        <v>5115377.8202807559</v>
      </c>
    </row>
    <row r="5" spans="1:34" s="210" customFormat="1" ht="14.25">
      <c r="B5" s="210" t="s">
        <v>838</v>
      </c>
      <c r="C5" s="238">
        <f>IF(Application!$D$211="Special Needs",(((0.1*Application!$T$212)+(0.05*(1-Application!$T$212)))),0.05)</f>
        <v>0.05</v>
      </c>
      <c r="E5" s="221">
        <f>-E4*$C$5</f>
        <v>-181014.6</v>
      </c>
      <c r="F5" s="221"/>
      <c r="G5" s="221">
        <f>-G4*$C$5</f>
        <v>-185539.965</v>
      </c>
      <c r="H5" s="221"/>
      <c r="I5" s="221">
        <f>-I4*$C$5</f>
        <v>-190178.46412499997</v>
      </c>
      <c r="J5" s="221"/>
      <c r="K5" s="221">
        <f>-K4*$C$5</f>
        <v>-194932.92572812494</v>
      </c>
      <c r="L5" s="221"/>
      <c r="M5" s="221">
        <f>-M4*$C$5</f>
        <v>-199806.24887132808</v>
      </c>
      <c r="N5" s="221"/>
      <c r="O5" s="221">
        <f>-O4*$C$5</f>
        <v>-204801.40509311124</v>
      </c>
      <c r="P5" s="221"/>
      <c r="Q5" s="221">
        <f>-Q4*$C$5</f>
        <v>-209921.44022043902</v>
      </c>
      <c r="R5" s="221"/>
      <c r="S5" s="221">
        <f>-S4*$C$5</f>
        <v>-215169.47622594997</v>
      </c>
      <c r="T5" s="221"/>
      <c r="U5" s="221">
        <f>-U4*$C$5</f>
        <v>-220548.71313159872</v>
      </c>
      <c r="V5" s="221"/>
      <c r="W5" s="221">
        <f>-W4*$C$5</f>
        <v>-226062.43095988865</v>
      </c>
      <c r="X5" s="221"/>
      <c r="Y5" s="221">
        <f>-Y4*$C$5</f>
        <v>-231713.99173388584</v>
      </c>
      <c r="Z5" s="221"/>
      <c r="AA5" s="221">
        <f>-AA4*$C$5</f>
        <v>-237506.84152723296</v>
      </c>
      <c r="AB5" s="221"/>
      <c r="AC5" s="221">
        <f>-AC4*$C$5</f>
        <v>-243444.51256541378</v>
      </c>
      <c r="AD5" s="221"/>
      <c r="AE5" s="221">
        <f>-AE4*$C$5</f>
        <v>-249530.62537954911</v>
      </c>
      <c r="AF5" s="221"/>
      <c r="AG5" s="221">
        <f>-AG4*$C$5</f>
        <v>-255768.8910140378</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287</v>
      </c>
      <c r="C8" s="237">
        <v>1.0249999999999999</v>
      </c>
      <c r="E8" s="222">
        <f>Application!Z817</f>
        <v>24000</v>
      </c>
      <c r="F8" s="222"/>
      <c r="G8" s="222">
        <f>E8*$C$8</f>
        <v>24599.999999999996</v>
      </c>
      <c r="H8" s="222"/>
      <c r="I8" s="222">
        <f>G8*$C$8</f>
        <v>25214.999999999993</v>
      </c>
      <c r="J8" s="222"/>
      <c r="K8" s="222">
        <f>I8*$C$8</f>
        <v>25845.374999999989</v>
      </c>
      <c r="L8" s="222"/>
      <c r="M8" s="222">
        <f>K8*$C$8</f>
        <v>26491.509374999987</v>
      </c>
      <c r="N8" s="222"/>
      <c r="O8" s="222">
        <f>M8*$C$8</f>
        <v>27153.797109374984</v>
      </c>
      <c r="P8" s="222"/>
      <c r="Q8" s="222">
        <f>O8*$C$8</f>
        <v>27832.642037109355</v>
      </c>
      <c r="R8" s="222"/>
      <c r="S8" s="222">
        <f>Q8*$C$8</f>
        <v>28528.458088037089</v>
      </c>
      <c r="T8" s="222"/>
      <c r="U8" s="222">
        <f>S8*$C$8</f>
        <v>29241.669540238014</v>
      </c>
      <c r="V8" s="222"/>
      <c r="W8" s="222">
        <f>U8*$C$8</f>
        <v>29972.711278743962</v>
      </c>
      <c r="X8" s="222"/>
      <c r="Y8" s="222">
        <f>W8*$C$8</f>
        <v>30722.029060712557</v>
      </c>
      <c r="Z8" s="222"/>
      <c r="AA8" s="222">
        <f>Y8*$C$8</f>
        <v>31490.079787230366</v>
      </c>
      <c r="AB8" s="222"/>
      <c r="AC8" s="222">
        <f>AA8*$C$8</f>
        <v>32277.331781911122</v>
      </c>
      <c r="AD8" s="222"/>
      <c r="AE8" s="222">
        <f>AC8*$C$8</f>
        <v>33084.265076458898</v>
      </c>
      <c r="AF8" s="222"/>
      <c r="AG8" s="222">
        <f>AE8*$C$8</f>
        <v>33911.371703370365</v>
      </c>
    </row>
    <row r="9" spans="1:34" s="210" customFormat="1" ht="14.25">
      <c r="B9" s="210" t="s">
        <v>838</v>
      </c>
      <c r="C9" s="238">
        <f>IF(Application!$D$211="Special Needs",(((0.1*Application!$T$212)+(0.05*(1-Application!$T$212)))),0.05)</f>
        <v>0.05</v>
      </c>
      <c r="E9" s="221">
        <f>-E8*$C$9</f>
        <v>-1200</v>
      </c>
      <c r="F9" s="221"/>
      <c r="G9" s="221">
        <f>-G8*$C$9</f>
        <v>-1230</v>
      </c>
      <c r="H9" s="221"/>
      <c r="I9" s="221">
        <f>-I8*$C$9</f>
        <v>-1260.7499999999998</v>
      </c>
      <c r="J9" s="221"/>
      <c r="K9" s="221">
        <f>-K8*$C$9</f>
        <v>-1292.2687499999995</v>
      </c>
      <c r="L9" s="221"/>
      <c r="M9" s="221">
        <f>-M8*$C$9</f>
        <v>-1324.5754687499993</v>
      </c>
      <c r="N9" s="221"/>
      <c r="O9" s="221">
        <f>-O8*$C$9</f>
        <v>-1357.6898554687493</v>
      </c>
      <c r="P9" s="221"/>
      <c r="Q9" s="221">
        <f>-Q8*$C$9</f>
        <v>-1391.6321018554679</v>
      </c>
      <c r="R9" s="221"/>
      <c r="S9" s="221">
        <f>-S8*$C$9</f>
        <v>-1426.4229044018546</v>
      </c>
      <c r="T9" s="221"/>
      <c r="U9" s="221">
        <f>-U8*$C$9</f>
        <v>-1462.0834770119009</v>
      </c>
      <c r="V9" s="221"/>
      <c r="W9" s="221">
        <f>-W8*$C$9</f>
        <v>-1498.6355639371982</v>
      </c>
      <c r="X9" s="221"/>
      <c r="Y9" s="221">
        <f>-Y8*$C$9</f>
        <v>-1536.1014530356279</v>
      </c>
      <c r="Z9" s="221"/>
      <c r="AA9" s="221">
        <f>-AA8*$C$9</f>
        <v>-1574.5039893615185</v>
      </c>
      <c r="AB9" s="221"/>
      <c r="AC9" s="221">
        <f>-AC8*$C$9</f>
        <v>-1613.8665890955563</v>
      </c>
      <c r="AD9" s="221"/>
      <c r="AE9" s="221">
        <f>-AE8*$C$9</f>
        <v>-1654.213253822945</v>
      </c>
      <c r="AF9" s="221"/>
      <c r="AG9" s="221">
        <f>-AG8*$C$9</f>
        <v>-1695.5685851685184</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3462077.4</v>
      </c>
      <c r="G11" s="223">
        <f>SUM(G4:G10)</f>
        <v>3548629.335</v>
      </c>
      <c r="I11" s="223">
        <f>SUM(I4:I10)</f>
        <v>3637345.0683749993</v>
      </c>
      <c r="K11" s="223">
        <f>SUM(K4:K10)</f>
        <v>3728278.6950843739</v>
      </c>
      <c r="M11" s="223">
        <f>SUM(M4:M10)</f>
        <v>3821485.6624614829</v>
      </c>
      <c r="O11" s="223">
        <f>SUM(O4:O10)</f>
        <v>3917022.8040230195</v>
      </c>
      <c r="Q11" s="223">
        <f>SUM(Q4:Q10)</f>
        <v>4014948.3741235957</v>
      </c>
      <c r="S11" s="223">
        <f>SUM(S4:S10)</f>
        <v>4115322.0834766845</v>
      </c>
      <c r="U11" s="223">
        <f>SUM(U4:U10)</f>
        <v>4218205.1355636017</v>
      </c>
      <c r="W11" s="223">
        <f>SUM(W4:W10)</f>
        <v>4323660.2639526911</v>
      </c>
      <c r="Y11" s="223">
        <f>SUM(Y4:Y10)</f>
        <v>4431751.7705515074</v>
      </c>
      <c r="AA11" s="223">
        <f>SUM(AA4:AA10)</f>
        <v>4542545.5648152949</v>
      </c>
      <c r="AC11" s="223">
        <f>SUM(AC4:AC10)</f>
        <v>4656109.2039356772</v>
      </c>
      <c r="AE11" s="223">
        <f>SUM(AE4:AE10)</f>
        <v>4772511.9340340681</v>
      </c>
      <c r="AG11" s="223">
        <f>SUM(AG4:AG10)</f>
        <v>4891824.7323849201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81625</v>
      </c>
      <c r="G15" s="219">
        <f>E15*$C$14</f>
        <v>84481.875</v>
      </c>
      <c r="I15" s="219">
        <f>G15*$C$14</f>
        <v>87438.740624999991</v>
      </c>
      <c r="K15" s="219">
        <f>I15*$C$14</f>
        <v>90499.096546874978</v>
      </c>
      <c r="M15" s="219">
        <f>K15*$C$14</f>
        <v>93666.564926015591</v>
      </c>
      <c r="O15" s="219">
        <f>M15*$C$14</f>
        <v>96944.894698426127</v>
      </c>
      <c r="Q15" s="219">
        <f>O15*$C$14</f>
        <v>100337.96601287104</v>
      </c>
      <c r="S15" s="219">
        <f>Q15*$C$14</f>
        <v>103849.79482332151</v>
      </c>
      <c r="U15" s="219">
        <f>S15*$C$14</f>
        <v>107484.53764213776</v>
      </c>
      <c r="W15" s="219">
        <f>U15*$C$14</f>
        <v>111246.49645961256</v>
      </c>
      <c r="Y15" s="219">
        <f>W15*$C$14</f>
        <v>115140.12383569899</v>
      </c>
      <c r="AA15" s="219">
        <f>Y15*$C$14</f>
        <v>119170.02816994845</v>
      </c>
      <c r="AC15" s="219">
        <f>AA15*$C$14</f>
        <v>123340.97915589664</v>
      </c>
      <c r="AE15" s="219">
        <f>AC15*$C$14</f>
        <v>127657.91342635301</v>
      </c>
      <c r="AG15" s="219">
        <f>AE15*$C$14</f>
        <v>132125.94039627537</v>
      </c>
    </row>
    <row r="16" spans="1:34" s="210" customFormat="1" ht="14.25">
      <c r="A16" s="210" t="s">
        <v>343</v>
      </c>
      <c r="C16" s="233"/>
      <c r="E16" s="222">
        <f>Application!W849</f>
        <v>111398</v>
      </c>
      <c r="F16" s="222"/>
      <c r="G16" s="222">
        <f t="shared" ref="G16:AG21" si="0">E16*$C$14</f>
        <v>115296.93</v>
      </c>
      <c r="H16" s="222"/>
      <c r="I16" s="222">
        <f t="shared" si="0"/>
        <v>119332.32254999998</v>
      </c>
      <c r="J16" s="222"/>
      <c r="K16" s="222">
        <f t="shared" si="0"/>
        <v>123508.95383924997</v>
      </c>
      <c r="L16" s="222"/>
      <c r="M16" s="222">
        <f t="shared" si="0"/>
        <v>127831.76722362371</v>
      </c>
      <c r="N16" s="222"/>
      <c r="O16" s="222">
        <f t="shared" si="0"/>
        <v>132305.87907645054</v>
      </c>
      <c r="P16" s="222"/>
      <c r="Q16" s="222">
        <f t="shared" si="0"/>
        <v>136936.58484412631</v>
      </c>
      <c r="R16" s="222"/>
      <c r="S16" s="222">
        <f t="shared" si="0"/>
        <v>141729.36531367071</v>
      </c>
      <c r="T16" s="222"/>
      <c r="U16" s="222">
        <f t="shared" si="0"/>
        <v>146689.89309964917</v>
      </c>
      <c r="V16" s="222"/>
      <c r="W16" s="222">
        <f t="shared" si="0"/>
        <v>151824.03935813688</v>
      </c>
      <c r="X16" s="222"/>
      <c r="Y16" s="222">
        <f t="shared" si="0"/>
        <v>157137.88073567167</v>
      </c>
      <c r="Z16" s="222"/>
      <c r="AA16" s="222">
        <f t="shared" si="0"/>
        <v>162637.70656142017</v>
      </c>
      <c r="AB16" s="222"/>
      <c r="AC16" s="222">
        <f t="shared" si="0"/>
        <v>168330.02629106987</v>
      </c>
      <c r="AD16" s="222"/>
      <c r="AE16" s="222">
        <f t="shared" si="0"/>
        <v>174221.5772112573</v>
      </c>
      <c r="AF16" s="222"/>
      <c r="AG16" s="222">
        <f t="shared" si="0"/>
        <v>180319.33241365128</v>
      </c>
    </row>
    <row r="17" spans="1:33" s="210" customFormat="1" ht="14.25">
      <c r="A17" s="210" t="s">
        <v>561</v>
      </c>
      <c r="C17" s="233"/>
      <c r="E17" s="222">
        <f>Application!W855</f>
        <v>84500</v>
      </c>
      <c r="F17" s="222"/>
      <c r="G17" s="222">
        <f t="shared" si="0"/>
        <v>87457.5</v>
      </c>
      <c r="H17" s="222"/>
      <c r="I17" s="222">
        <f t="shared" si="0"/>
        <v>90518.512499999997</v>
      </c>
      <c r="J17" s="222"/>
      <c r="K17" s="222">
        <f t="shared" si="0"/>
        <v>93686.660437499988</v>
      </c>
      <c r="L17" s="222"/>
      <c r="M17" s="222">
        <f t="shared" si="0"/>
        <v>96965.693552812474</v>
      </c>
      <c r="N17" s="222"/>
      <c r="O17" s="222">
        <f t="shared" si="0"/>
        <v>100359.49282716091</v>
      </c>
      <c r="P17" s="222"/>
      <c r="Q17" s="222">
        <f t="shared" si="0"/>
        <v>103872.07507611153</v>
      </c>
      <c r="R17" s="222"/>
      <c r="S17" s="222">
        <f t="shared" si="0"/>
        <v>107507.59770377543</v>
      </c>
      <c r="T17" s="222"/>
      <c r="U17" s="222">
        <f t="shared" si="0"/>
        <v>111270.36362340757</v>
      </c>
      <c r="V17" s="222"/>
      <c r="W17" s="222">
        <f t="shared" si="0"/>
        <v>115164.82635022682</v>
      </c>
      <c r="X17" s="222"/>
      <c r="Y17" s="222">
        <f t="shared" si="0"/>
        <v>119195.59527248476</v>
      </c>
      <c r="Z17" s="222"/>
      <c r="AA17" s="222">
        <f t="shared" si="0"/>
        <v>123367.44110702172</v>
      </c>
      <c r="AB17" s="222"/>
      <c r="AC17" s="222">
        <f t="shared" si="0"/>
        <v>127685.30154576746</v>
      </c>
      <c r="AD17" s="222"/>
      <c r="AE17" s="222">
        <f t="shared" si="0"/>
        <v>132154.28709986931</v>
      </c>
      <c r="AF17" s="222"/>
      <c r="AG17" s="222">
        <f t="shared" si="0"/>
        <v>136779.68714836473</v>
      </c>
    </row>
    <row r="18" spans="1:33" s="210" customFormat="1" ht="14.25">
      <c r="A18" s="210" t="s">
        <v>842</v>
      </c>
      <c r="C18" s="233"/>
      <c r="E18" s="222">
        <f>Application!W862</f>
        <v>225025</v>
      </c>
      <c r="F18" s="222"/>
      <c r="G18" s="222">
        <f t="shared" si="0"/>
        <v>232900.87499999997</v>
      </c>
      <c r="H18" s="222"/>
      <c r="I18" s="222">
        <f t="shared" si="0"/>
        <v>241052.40562499996</v>
      </c>
      <c r="J18" s="222"/>
      <c r="K18" s="222">
        <f t="shared" si="0"/>
        <v>249489.23982187494</v>
      </c>
      <c r="L18" s="222"/>
      <c r="M18" s="222">
        <f t="shared" si="0"/>
        <v>258221.36321564054</v>
      </c>
      <c r="N18" s="222"/>
      <c r="O18" s="222">
        <f t="shared" si="0"/>
        <v>267259.11092818796</v>
      </c>
      <c r="P18" s="222"/>
      <c r="Q18" s="222">
        <f t="shared" si="0"/>
        <v>276613.17981067451</v>
      </c>
      <c r="R18" s="222"/>
      <c r="S18" s="222">
        <f t="shared" si="0"/>
        <v>286294.64110404812</v>
      </c>
      <c r="T18" s="222"/>
      <c r="U18" s="222">
        <f t="shared" si="0"/>
        <v>296314.95354268979</v>
      </c>
      <c r="V18" s="222"/>
      <c r="W18" s="222">
        <f t="shared" si="0"/>
        <v>306685.9769166839</v>
      </c>
      <c r="X18" s="222"/>
      <c r="Y18" s="222">
        <f t="shared" si="0"/>
        <v>317419.9861087678</v>
      </c>
      <c r="Z18" s="222"/>
      <c r="AA18" s="222">
        <f t="shared" si="0"/>
        <v>328529.68562257465</v>
      </c>
      <c r="AB18" s="222"/>
      <c r="AC18" s="222">
        <f t="shared" si="0"/>
        <v>340028.22461936472</v>
      </c>
      <c r="AD18" s="222"/>
      <c r="AE18" s="222">
        <f t="shared" si="0"/>
        <v>351929.21248104243</v>
      </c>
      <c r="AF18" s="222"/>
      <c r="AG18" s="222">
        <f t="shared" si="0"/>
        <v>364246.73491787887</v>
      </c>
    </row>
    <row r="19" spans="1:33" s="210" customFormat="1" ht="14.25">
      <c r="A19" s="210" t="s">
        <v>155</v>
      </c>
      <c r="C19" s="233"/>
      <c r="E19" s="222">
        <f>Application!W863</f>
        <v>107500</v>
      </c>
      <c r="F19" s="222"/>
      <c r="G19" s="222">
        <f t="shared" si="0"/>
        <v>111262.49999999999</v>
      </c>
      <c r="H19" s="222"/>
      <c r="I19" s="222">
        <f t="shared" si="0"/>
        <v>115156.68749999997</v>
      </c>
      <c r="J19" s="222"/>
      <c r="K19" s="222">
        <f t="shared" si="0"/>
        <v>119187.17156249996</v>
      </c>
      <c r="L19" s="222"/>
      <c r="M19" s="222">
        <f t="shared" si="0"/>
        <v>123358.72256718745</v>
      </c>
      <c r="N19" s="222"/>
      <c r="O19" s="222">
        <f t="shared" si="0"/>
        <v>127676.27785703899</v>
      </c>
      <c r="P19" s="222"/>
      <c r="Q19" s="222">
        <f t="shared" si="0"/>
        <v>132144.94758203535</v>
      </c>
      <c r="R19" s="222"/>
      <c r="S19" s="222">
        <f t="shared" si="0"/>
        <v>136770.02074740658</v>
      </c>
      <c r="T19" s="222"/>
      <c r="U19" s="222">
        <f t="shared" si="0"/>
        <v>141556.97147356579</v>
      </c>
      <c r="V19" s="222"/>
      <c r="W19" s="222">
        <f t="shared" si="0"/>
        <v>146511.46547514058</v>
      </c>
      <c r="X19" s="222"/>
      <c r="Y19" s="222">
        <f t="shared" si="0"/>
        <v>151639.36676677049</v>
      </c>
      <c r="Z19" s="222"/>
      <c r="AA19" s="222">
        <f t="shared" si="0"/>
        <v>156946.74460360745</v>
      </c>
      <c r="AB19" s="222"/>
      <c r="AC19" s="222">
        <f t="shared" si="0"/>
        <v>162439.8806647337</v>
      </c>
      <c r="AD19" s="222"/>
      <c r="AE19" s="222">
        <f t="shared" si="0"/>
        <v>168125.27648799936</v>
      </c>
      <c r="AF19" s="222"/>
      <c r="AG19" s="222">
        <f t="shared" si="0"/>
        <v>174009.66116507933</v>
      </c>
    </row>
    <row r="20" spans="1:33" s="210" customFormat="1" ht="14.25">
      <c r="A20" s="210" t="s">
        <v>389</v>
      </c>
      <c r="C20" s="233"/>
      <c r="E20" s="222">
        <f>Application!W872</f>
        <v>243625</v>
      </c>
      <c r="F20" s="222"/>
      <c r="G20" s="222">
        <f t="shared" si="0"/>
        <v>252151.87499999997</v>
      </c>
      <c r="H20" s="222"/>
      <c r="I20" s="222">
        <f t="shared" si="0"/>
        <v>260977.19062499996</v>
      </c>
      <c r="J20" s="222"/>
      <c r="K20" s="222">
        <f t="shared" si="0"/>
        <v>270111.39229687495</v>
      </c>
      <c r="L20" s="222"/>
      <c r="M20" s="222">
        <f t="shared" si="0"/>
        <v>279565.29102726554</v>
      </c>
      <c r="N20" s="222"/>
      <c r="O20" s="222">
        <f t="shared" si="0"/>
        <v>289350.07621321984</v>
      </c>
      <c r="P20" s="222"/>
      <c r="Q20" s="222">
        <f t="shared" si="0"/>
        <v>299477.32888068253</v>
      </c>
      <c r="R20" s="222"/>
      <c r="S20" s="222">
        <f t="shared" si="0"/>
        <v>309959.03539150639</v>
      </c>
      <c r="T20" s="222"/>
      <c r="U20" s="222">
        <f t="shared" si="0"/>
        <v>320807.60163020907</v>
      </c>
      <c r="V20" s="222"/>
      <c r="W20" s="222">
        <f t="shared" si="0"/>
        <v>332035.86768726638</v>
      </c>
      <c r="X20" s="222"/>
      <c r="Y20" s="222">
        <f t="shared" si="0"/>
        <v>343657.12305632065</v>
      </c>
      <c r="Z20" s="222"/>
      <c r="AA20" s="222">
        <f t="shared" si="0"/>
        <v>355685.12236329186</v>
      </c>
      <c r="AB20" s="222"/>
      <c r="AC20" s="222">
        <f t="shared" si="0"/>
        <v>368134.10164600704</v>
      </c>
      <c r="AD20" s="222"/>
      <c r="AE20" s="222">
        <f t="shared" si="0"/>
        <v>381018.79520361725</v>
      </c>
      <c r="AF20" s="222"/>
      <c r="AG20" s="222">
        <f t="shared" si="0"/>
        <v>394354.45303574385</v>
      </c>
    </row>
    <row r="21" spans="1:33" s="210" customFormat="1" ht="14.25">
      <c r="A21" s="226" t="s">
        <v>962</v>
      </c>
      <c r="B21" s="226"/>
      <c r="C21" s="233"/>
      <c r="E21" s="232">
        <f>Application!W879</f>
        <v>7500</v>
      </c>
      <c r="F21" s="222"/>
      <c r="G21" s="232">
        <f t="shared" si="0"/>
        <v>7762.4999999999991</v>
      </c>
      <c r="H21" s="222"/>
      <c r="I21" s="232">
        <f t="shared" si="0"/>
        <v>8034.1874999999982</v>
      </c>
      <c r="J21" s="222"/>
      <c r="K21" s="232">
        <f t="shared" si="0"/>
        <v>8315.3840624999975</v>
      </c>
      <c r="L21" s="222"/>
      <c r="M21" s="232">
        <f t="shared" si="0"/>
        <v>8606.4225046874963</v>
      </c>
      <c r="N21" s="222"/>
      <c r="O21" s="232">
        <f t="shared" si="0"/>
        <v>8907.6472923515576</v>
      </c>
      <c r="P21" s="222"/>
      <c r="Q21" s="232">
        <f t="shared" si="0"/>
        <v>9219.4149475838622</v>
      </c>
      <c r="R21" s="222"/>
      <c r="S21" s="232">
        <f t="shared" si="0"/>
        <v>9542.0944707492963</v>
      </c>
      <c r="T21" s="222"/>
      <c r="U21" s="232">
        <f t="shared" si="0"/>
        <v>9876.0677772255203</v>
      </c>
      <c r="V21" s="222"/>
      <c r="W21" s="232">
        <f t="shared" si="0"/>
        <v>10221.730149428413</v>
      </c>
      <c r="X21" s="222"/>
      <c r="Y21" s="232">
        <f t="shared" si="0"/>
        <v>10579.490704658407</v>
      </c>
      <c r="Z21" s="222"/>
      <c r="AA21" s="232">
        <f t="shared" si="0"/>
        <v>10949.77287932145</v>
      </c>
      <c r="AB21" s="222"/>
      <c r="AC21" s="232">
        <f t="shared" si="0"/>
        <v>11333.014930097699</v>
      </c>
      <c r="AD21" s="222"/>
      <c r="AE21" s="232">
        <f t="shared" si="0"/>
        <v>11729.670452651118</v>
      </c>
      <c r="AF21" s="222"/>
      <c r="AG21" s="232">
        <f t="shared" si="0"/>
        <v>12140.208918493907</v>
      </c>
    </row>
    <row r="22" spans="1:33" s="223" customFormat="1" ht="15">
      <c r="A22" s="223" t="s">
        <v>843</v>
      </c>
      <c r="C22" s="233"/>
      <c r="E22" s="223">
        <f>SUM(E15:E21)</f>
        <v>861173</v>
      </c>
      <c r="G22" s="223">
        <f>SUM(G15:G21)</f>
        <v>891314.05499999993</v>
      </c>
      <c r="I22" s="223">
        <f>SUM(I15:I21)</f>
        <v>922510.0469249998</v>
      </c>
      <c r="K22" s="223">
        <f>SUM(K15:K21)</f>
        <v>954797.8985673748</v>
      </c>
      <c r="M22" s="223">
        <f>SUM(M15:M21)</f>
        <v>988215.82501723291</v>
      </c>
      <c r="O22" s="223">
        <f>SUM(O15:O21)</f>
        <v>1022803.3788928359</v>
      </c>
      <c r="Q22" s="223">
        <f>SUM(Q15:Q21)</f>
        <v>1058601.497154085</v>
      </c>
      <c r="S22" s="223">
        <f>SUM(S15:S21)</f>
        <v>1095652.5495544781</v>
      </c>
      <c r="U22" s="223">
        <f>SUM(U15:U21)</f>
        <v>1134000.3887888847</v>
      </c>
      <c r="W22" s="223">
        <f>SUM(W15:W21)</f>
        <v>1173690.4023964955</v>
      </c>
      <c r="Y22" s="223">
        <f>SUM(Y15:Y21)</f>
        <v>1214769.5664803728</v>
      </c>
      <c r="AA22" s="223">
        <f>SUM(AA15:AA21)</f>
        <v>1257286.5013071855</v>
      </c>
      <c r="AC22" s="223">
        <f>SUM(AC15:AC21)</f>
        <v>1301291.528852937</v>
      </c>
      <c r="AE22" s="223">
        <f>SUM(AE15:AE21)</f>
        <v>1346836.7323627898</v>
      </c>
      <c r="AG22" s="223">
        <f>SUM(AG15:AG21)</f>
        <v>1393976.0179954874</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30000</v>
      </c>
      <c r="F27" s="222"/>
      <c r="G27" s="222">
        <f>E27*$C$27</f>
        <v>31049.999999999996</v>
      </c>
      <c r="H27" s="222"/>
      <c r="I27" s="222">
        <f>G27*$C$27</f>
        <v>32136.749999999993</v>
      </c>
      <c r="J27" s="222"/>
      <c r="K27" s="222">
        <f>I27*$C$27</f>
        <v>33261.53624999999</v>
      </c>
      <c r="L27" s="222"/>
      <c r="M27" s="222">
        <f>K27*$C$27</f>
        <v>34425.690018749985</v>
      </c>
      <c r="N27" s="222"/>
      <c r="O27" s="222">
        <f>M27*$C$27</f>
        <v>35630.58916940623</v>
      </c>
      <c r="P27" s="222"/>
      <c r="Q27" s="222">
        <f>O27*$C$27</f>
        <v>36877.659790335449</v>
      </c>
      <c r="R27" s="222"/>
      <c r="S27" s="222">
        <f>Q27*$C$27</f>
        <v>38168.377882997185</v>
      </c>
      <c r="T27" s="222"/>
      <c r="U27" s="222">
        <f>S27*$C$27</f>
        <v>39504.271108902081</v>
      </c>
      <c r="V27" s="222"/>
      <c r="W27" s="222">
        <f>U27*$C$27</f>
        <v>40886.920597713652</v>
      </c>
      <c r="X27" s="222"/>
      <c r="Y27" s="222">
        <f>W27*$C$27</f>
        <v>42317.962818633627</v>
      </c>
      <c r="Z27" s="222"/>
      <c r="AA27" s="222">
        <f>Y27*$C$27</f>
        <v>43799.0915172858</v>
      </c>
      <c r="AB27" s="222"/>
      <c r="AC27" s="222">
        <f>AA27*$C$27</f>
        <v>45332.059720390796</v>
      </c>
      <c r="AD27" s="222"/>
      <c r="AE27" s="222">
        <f>AC27*$C$27</f>
        <v>46918.681810604474</v>
      </c>
      <c r="AF27" s="222"/>
      <c r="AG27" s="222">
        <f>AE27*$C$27</f>
        <v>48560.835673975627</v>
      </c>
    </row>
    <row r="28" spans="1:33" s="210" customFormat="1" ht="14.25">
      <c r="A28" s="210" t="s">
        <v>846</v>
      </c>
      <c r="C28" s="237"/>
      <c r="E28" s="222">
        <f>Application!AC889</f>
        <v>31250</v>
      </c>
      <c r="F28" s="222"/>
      <c r="G28" s="222">
        <f>$E$28</f>
        <v>31250</v>
      </c>
      <c r="H28" s="222"/>
      <c r="I28" s="222">
        <f>$E$28</f>
        <v>31250</v>
      </c>
      <c r="J28" s="222"/>
      <c r="K28" s="222">
        <f>$E$28</f>
        <v>31250</v>
      </c>
      <c r="L28" s="222"/>
      <c r="M28" s="222">
        <f>$E$28</f>
        <v>31250</v>
      </c>
      <c r="N28" s="222"/>
      <c r="O28" s="222">
        <f>$E$28</f>
        <v>31250</v>
      </c>
      <c r="P28" s="222"/>
      <c r="Q28" s="222">
        <f>$E$28</f>
        <v>31250</v>
      </c>
      <c r="R28" s="222"/>
      <c r="S28" s="222">
        <f>$E$28</f>
        <v>31250</v>
      </c>
      <c r="T28" s="222"/>
      <c r="U28" s="222">
        <f>$E$28</f>
        <v>31250</v>
      </c>
      <c r="V28" s="222"/>
      <c r="W28" s="222">
        <f>$E$28</f>
        <v>31250</v>
      </c>
      <c r="X28" s="222"/>
      <c r="Y28" s="222">
        <f>$E$28</f>
        <v>31250</v>
      </c>
      <c r="Z28" s="222"/>
      <c r="AA28" s="222">
        <f>$E$28</f>
        <v>31250</v>
      </c>
      <c r="AB28" s="222"/>
      <c r="AC28" s="222">
        <f>$E$28</f>
        <v>31250</v>
      </c>
      <c r="AD28" s="222"/>
      <c r="AE28" s="222">
        <f>$E$28</f>
        <v>31250</v>
      </c>
      <c r="AF28" s="222"/>
      <c r="AG28" s="222">
        <f>$E$28</f>
        <v>31250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24276</v>
      </c>
      <c r="F30" s="222"/>
      <c r="G30" s="222">
        <f>E30*$C$30</f>
        <v>24761.52</v>
      </c>
      <c r="H30" s="222"/>
      <c r="I30" s="222">
        <f>G30*$C$30</f>
        <v>25256.750400000001</v>
      </c>
      <c r="J30" s="222"/>
      <c r="K30" s="222">
        <f>I30*$C$30</f>
        <v>25761.885408000002</v>
      </c>
      <c r="L30" s="222"/>
      <c r="M30" s="222">
        <f>K30*$C$30</f>
        <v>26277.123116160001</v>
      </c>
      <c r="N30" s="222"/>
      <c r="O30" s="222">
        <f>M30*$C$30</f>
        <v>26802.6655784832</v>
      </c>
      <c r="P30" s="222"/>
      <c r="Q30" s="222">
        <f>O30*$C$30</f>
        <v>27338.718890052864</v>
      </c>
      <c r="R30" s="222"/>
      <c r="S30" s="222">
        <f>Q30*$C$30</f>
        <v>27885.493267853923</v>
      </c>
      <c r="T30" s="222"/>
      <c r="U30" s="222">
        <f>S30*$C$30</f>
        <v>28443.203133211002</v>
      </c>
      <c r="V30" s="222"/>
      <c r="W30" s="222">
        <f>U30*$C$30</f>
        <v>29012.067195875221</v>
      </c>
      <c r="X30" s="222"/>
      <c r="Y30" s="222">
        <f>W30*$C$30</f>
        <v>29592.308539792724</v>
      </c>
      <c r="Z30" s="222"/>
      <c r="AA30" s="222">
        <f>Y30*$C$30</f>
        <v>30184.15471058858</v>
      </c>
      <c r="AB30" s="222"/>
      <c r="AC30" s="222">
        <f>AA30*$C$30</f>
        <v>30787.837804800351</v>
      </c>
      <c r="AD30" s="222"/>
      <c r="AE30" s="222">
        <f>AC30*$C$30</f>
        <v>31403.594560896359</v>
      </c>
      <c r="AF30" s="222"/>
      <c r="AG30" s="222">
        <f>AE30*$C$30</f>
        <v>32031.666452114288</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946699</v>
      </c>
      <c r="G35" s="223">
        <f>SUM(G22:G33)</f>
        <v>978375.57499999995</v>
      </c>
      <c r="I35" s="223">
        <f>SUM(I22:I33)</f>
        <v>1011153.5473249998</v>
      </c>
      <c r="K35" s="223">
        <f>SUM(K22:K33)</f>
        <v>1045071.3202253748</v>
      </c>
      <c r="M35" s="223">
        <f>SUM(M22:M33)</f>
        <v>1080168.638152143</v>
      </c>
      <c r="O35" s="223">
        <f>SUM(O22:O33)</f>
        <v>1116486.6336407254</v>
      </c>
      <c r="Q35" s="223">
        <f>SUM(Q22:Q33)</f>
        <v>1154067.8758344732</v>
      </c>
      <c r="S35" s="223">
        <f>SUM(S22:S33)</f>
        <v>1192956.4207053294</v>
      </c>
      <c r="U35" s="223">
        <f>SUM(U22:U33)</f>
        <v>1233197.8630309978</v>
      </c>
      <c r="W35" s="223">
        <f>SUM(W22:W33)</f>
        <v>1274839.3901900845</v>
      </c>
      <c r="Y35" s="223">
        <f>SUM(Y22:Y33)</f>
        <v>1317929.837838799</v>
      </c>
      <c r="AA35" s="223">
        <f>SUM(AA22:AA33)</f>
        <v>1362519.7475350599</v>
      </c>
      <c r="AC35" s="223">
        <f>SUM(AC22:AC33)</f>
        <v>1408661.4263781281</v>
      </c>
      <c r="AE35" s="223">
        <f>SUM(AE22:AE33)</f>
        <v>1456409.0087342905</v>
      </c>
      <c r="AG35" s="223">
        <f>SUM(AG22:AG33)</f>
        <v>1505818.5201215772</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2515378.4</v>
      </c>
      <c r="G37" s="223">
        <f>G11-G35</f>
        <v>2570253.7599999998</v>
      </c>
      <c r="I37" s="223">
        <f>I11-I35</f>
        <v>2626191.5210499996</v>
      </c>
      <c r="K37" s="223">
        <f>K11-K35</f>
        <v>2683207.3748589992</v>
      </c>
      <c r="M37" s="223">
        <f>M11-M35</f>
        <v>2741317.0243093399</v>
      </c>
      <c r="O37" s="223">
        <f>O11-O35</f>
        <v>2800536.1703822939</v>
      </c>
      <c r="Q37" s="223">
        <f>Q11-Q35</f>
        <v>2860880.4982891222</v>
      </c>
      <c r="S37" s="223">
        <f>S11-S35</f>
        <v>2922365.6627713554</v>
      </c>
      <c r="U37" s="223">
        <f>U11-U35</f>
        <v>2985007.2725326037</v>
      </c>
      <c r="W37" s="223">
        <f>W11-W35</f>
        <v>3048820.8737626066</v>
      </c>
      <c r="Y37" s="223">
        <f>Y11-Y35</f>
        <v>3113821.9327127086</v>
      </c>
      <c r="AA37" s="223">
        <f>AA11-AA35</f>
        <v>3180025.8172802348</v>
      </c>
      <c r="AC37" s="223">
        <f>AC11-AC35</f>
        <v>3247447.7775575491</v>
      </c>
      <c r="AE37" s="223">
        <f>AE11-AE35</f>
        <v>3316102.9252997776</v>
      </c>
      <c r="AG37" s="223">
        <f>AG11-AG35</f>
        <v>3386006.2122633429</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CalHFA Permanent Loan</v>
      </c>
      <c r="B40" s="226"/>
      <c r="C40" s="220"/>
      <c r="E40" s="222">
        <f>Application!AF627</f>
        <v>2157354</v>
      </c>
      <c r="F40" s="222"/>
      <c r="G40" s="222">
        <f>$E$40</f>
        <v>2157354</v>
      </c>
      <c r="H40" s="222"/>
      <c r="I40" s="222">
        <f>$E$40</f>
        <v>2157354</v>
      </c>
      <c r="J40" s="222"/>
      <c r="K40" s="222">
        <f>$E$40</f>
        <v>2157354</v>
      </c>
      <c r="L40" s="222"/>
      <c r="M40" s="222">
        <f>$E$40</f>
        <v>2157354</v>
      </c>
      <c r="N40" s="222"/>
      <c r="O40" s="222">
        <f>$E$40</f>
        <v>2157354</v>
      </c>
      <c r="P40" s="222"/>
      <c r="Q40" s="222">
        <f>$E$40</f>
        <v>2157354</v>
      </c>
      <c r="R40" s="222"/>
      <c r="S40" s="222">
        <f>$E$40</f>
        <v>2157354</v>
      </c>
      <c r="T40" s="222"/>
      <c r="U40" s="222">
        <f>$E$40</f>
        <v>2157354</v>
      </c>
      <c r="V40" s="222"/>
      <c r="W40" s="222">
        <f>$E$40</f>
        <v>2157354</v>
      </c>
      <c r="X40" s="222"/>
      <c r="Y40" s="222">
        <f>$E$40</f>
        <v>2157354</v>
      </c>
      <c r="Z40" s="222"/>
      <c r="AA40" s="222">
        <f>$E$40</f>
        <v>2157354</v>
      </c>
      <c r="AB40" s="222"/>
      <c r="AC40" s="222">
        <f>$E$40</f>
        <v>2157354</v>
      </c>
      <c r="AD40" s="222"/>
      <c r="AE40" s="222">
        <f>$E$40</f>
        <v>2157354</v>
      </c>
      <c r="AF40" s="222"/>
      <c r="AG40" s="222">
        <f>$E$40</f>
        <v>2157354</v>
      </c>
    </row>
    <row r="41" spans="1:33" s="210" customFormat="1" ht="14.25">
      <c r="A41" s="225" t="s">
        <v>2418</v>
      </c>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2157354</v>
      </c>
      <c r="G43" s="223">
        <f>SUM(G40:G42)</f>
        <v>2157354</v>
      </c>
      <c r="I43" s="223">
        <f>SUM(I40:I42)</f>
        <v>2157354</v>
      </c>
      <c r="K43" s="223">
        <f>SUM(K40:K42)</f>
        <v>2157354</v>
      </c>
      <c r="M43" s="223">
        <f>SUM(M40:M42)</f>
        <v>2157354</v>
      </c>
      <c r="O43" s="223">
        <f>SUM(O40:O42)</f>
        <v>2157354</v>
      </c>
      <c r="Q43" s="223">
        <f>SUM(Q40:Q42)</f>
        <v>2157354</v>
      </c>
      <c r="S43" s="223">
        <f>SUM(S40:S42)</f>
        <v>2157354</v>
      </c>
      <c r="U43" s="223">
        <f>SUM(U40:U42)</f>
        <v>2157354</v>
      </c>
      <c r="W43" s="223">
        <f>SUM(W40:W42)</f>
        <v>2157354</v>
      </c>
      <c r="Y43" s="223">
        <f>SUM(Y40:Y42)</f>
        <v>2157354</v>
      </c>
      <c r="AA43" s="223">
        <f>SUM(AA40:AA42)</f>
        <v>2157354</v>
      </c>
      <c r="AC43" s="223">
        <f>SUM(AC40:AC42)</f>
        <v>2157354</v>
      </c>
      <c r="AE43" s="223">
        <f>SUM(AE40:AE42)</f>
        <v>2157354</v>
      </c>
      <c r="AG43" s="223">
        <f>SUM(AG40:AG42)</f>
        <v>2157354</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358024.39999999991</v>
      </c>
      <c r="G45" s="223">
        <f>G37-G43</f>
        <v>412899.75999999978</v>
      </c>
      <c r="I45" s="223">
        <f>I37-I43</f>
        <v>468837.52104999963</v>
      </c>
      <c r="K45" s="223">
        <f>K37-K43</f>
        <v>525853.37485899916</v>
      </c>
      <c r="M45" s="223">
        <f>M37-M43</f>
        <v>583963.02430933993</v>
      </c>
      <c r="O45" s="223">
        <f>O37-O43</f>
        <v>643182.17038229387</v>
      </c>
      <c r="Q45" s="223">
        <f>Q37-Q43</f>
        <v>703526.49828912225</v>
      </c>
      <c r="S45" s="223">
        <f>S37-S43</f>
        <v>765011.66277135536</v>
      </c>
      <c r="U45" s="223">
        <f>U37-U43</f>
        <v>827653.2725326037</v>
      </c>
      <c r="W45" s="223">
        <f>W37-W43</f>
        <v>891466.87376260664</v>
      </c>
      <c r="Y45" s="223">
        <f>Y37-Y43</f>
        <v>956467.9327127086</v>
      </c>
      <c r="AA45" s="223">
        <f>AA37-AA43</f>
        <v>1022671.8172802348</v>
      </c>
      <c r="AC45" s="223">
        <f>AC37-AC43</f>
        <v>1090093.7775575491</v>
      </c>
      <c r="AE45" s="223">
        <f>AE37-AE43</f>
        <v>1158748.9252997776</v>
      </c>
      <c r="AG45" s="223">
        <f>AG37-AG43</f>
        <v>1228652.2122633429</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9.824251185141035E-2</v>
      </c>
      <c r="G47" s="227">
        <f>G45/(G4+G6+G8)</f>
        <v>0.11053698061141677</v>
      </c>
      <c r="I47" s="227">
        <f>I45/(I4+I6+I8)</f>
        <v>0.12245075367470763</v>
      </c>
      <c r="K47" s="227">
        <f>K45/(K4+K6+K8)</f>
        <v>0.13399231843228496</v>
      </c>
      <c r="M47" s="227">
        <f>M45/(M4+M6+M8)</f>
        <v>0.14516994752677931</v>
      </c>
      <c r="O47" s="227">
        <f>O45/(O4+O6+O8)</f>
        <v>0.15599170401449322</v>
      </c>
      <c r="Q47" s="227">
        <f>Q45/(Q4+Q6+Q8)</f>
        <v>0.16646544640080391</v>
      </c>
      <c r="S47" s="227">
        <f>S45/(S4+S6+S8)</f>
        <v>0.17659883355200456</v>
      </c>
      <c r="U47" s="227">
        <f>U45/(U4+U6+U8)</f>
        <v>0.18639932948659657</v>
      </c>
      <c r="W47" s="227">
        <f>W45/(W4+W6+W8)</f>
        <v>0.19587420804895667</v>
      </c>
      <c r="Y47" s="227">
        <f>Y45/(Y4+Y6+Y8)</f>
        <v>0.20503055746824853</v>
      </c>
      <c r="AA47" s="227">
        <f>AA45/(AA4+AA6+AA8)</f>
        <v>0.21387528480536594</v>
      </c>
      <c r="AC47" s="227">
        <f>AC45/(AC4+AC6+AC8)</f>
        <v>0.22241512029063185</v>
      </c>
      <c r="AE47" s="227">
        <f>AE45/(AE4+AE6+AE8)</f>
        <v>0.23065662155491021</v>
      </c>
      <c r="AG47" s="227">
        <f>AG45/(AG4+AG6+AG8)</f>
        <v>0.23860617775672416</v>
      </c>
    </row>
    <row r="48" spans="1:33" s="227" customFormat="1" ht="14.25">
      <c r="A48" s="227" t="s">
        <v>852</v>
      </c>
      <c r="C48" s="220"/>
      <c r="E48" s="227">
        <f>E45/E43</f>
        <v>0.16595533231912793</v>
      </c>
      <c r="G48" s="227">
        <f>G45/G43</f>
        <v>0.19139175119150578</v>
      </c>
      <c r="I48" s="227">
        <f>I45/I43</f>
        <v>0.21732062565995178</v>
      </c>
      <c r="K48" s="227">
        <f>K45/K43</f>
        <v>0.24374922931470641</v>
      </c>
      <c r="M48" s="227">
        <f>M45/M43</f>
        <v>0.27068484092519818</v>
      </c>
      <c r="O48" s="227">
        <f>O45/O43</f>
        <v>0.2981347383796511</v>
      </c>
      <c r="Q48" s="227">
        <f>Q45/Q43</f>
        <v>0.32610619225640403</v>
      </c>
      <c r="S48" s="227">
        <f>S45/S43</f>
        <v>0.3546064590101371</v>
      </c>
      <c r="U48" s="227">
        <f>U45/U43</f>
        <v>0.38364277375553746</v>
      </c>
      <c r="W48" s="227">
        <f>W45/W43</f>
        <v>0.41322234263018803</v>
      </c>
      <c r="Y48" s="227">
        <f>Y45/Y43</f>
        <v>0.44335233471776475</v>
      </c>
      <c r="AA48" s="227">
        <f>AA45/AA43</f>
        <v>0.47403987351182736</v>
      </c>
      <c r="AC48" s="227">
        <f>AC45/AC43</f>
        <v>0.50529202789970917</v>
      </c>
      <c r="AE48" s="227">
        <f>AE45/AE43</f>
        <v>0.53711580264517444</v>
      </c>
      <c r="AG48" s="227">
        <f>AG45/AG43</f>
        <v>0.56951812834766247</v>
      </c>
    </row>
    <row r="49" spans="1:34" s="228" customFormat="1" ht="14.25">
      <c r="A49" s="228" t="s">
        <v>850</v>
      </c>
      <c r="C49" s="229"/>
      <c r="E49" s="228">
        <f>E37/E43</f>
        <v>1.1659553323191278</v>
      </c>
      <c r="G49" s="228">
        <f>G37/G43</f>
        <v>1.1913917511915058</v>
      </c>
      <c r="I49" s="228">
        <f>I37/I43</f>
        <v>1.2173206256599518</v>
      </c>
      <c r="K49" s="228">
        <f>K37/K43</f>
        <v>1.2437492293147063</v>
      </c>
      <c r="M49" s="228">
        <f>M37/M43</f>
        <v>1.2706848409251981</v>
      </c>
      <c r="O49" s="228">
        <f>O37/O43</f>
        <v>1.2981347383796511</v>
      </c>
      <c r="Q49" s="228">
        <f>Q37/Q43</f>
        <v>1.3261061922564039</v>
      </c>
      <c r="S49" s="228">
        <f>S37/S43</f>
        <v>1.3546064590101372</v>
      </c>
      <c r="U49" s="228">
        <f>U37/U43</f>
        <v>1.3836427737555375</v>
      </c>
      <c r="W49" s="228">
        <f>W37/W43</f>
        <v>1.413222342630188</v>
      </c>
      <c r="Y49" s="228">
        <f>Y37/Y43</f>
        <v>1.4433523347177648</v>
      </c>
      <c r="AA49" s="228">
        <f>AA37/AA43</f>
        <v>1.4740398735118274</v>
      </c>
      <c r="AC49" s="228">
        <f>AC37/AC43</f>
        <v>1.5052920278997091</v>
      </c>
      <c r="AE49" s="228">
        <f>AE37/AE43</f>
        <v>1.5371158026451743</v>
      </c>
      <c r="AG49" s="228">
        <f>AG37/AG43</f>
        <v>1.5695181283476625</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5" t="s">
        <v>1184</v>
      </c>
      <c r="B52" s="2695"/>
      <c r="C52" s="2695"/>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358024.39999999991</v>
      </c>
      <c r="G60" s="962">
        <f>G45-G58</f>
        <v>412899.75999999978</v>
      </c>
      <c r="I60" s="962">
        <f>I45-I58</f>
        <v>468837.52104999963</v>
      </c>
      <c r="K60" s="962">
        <f>K45-K58</f>
        <v>525853.37485899916</v>
      </c>
      <c r="M60" s="962">
        <f>M45-M58</f>
        <v>583963.02430933993</v>
      </c>
      <c r="O60" s="962">
        <f>O45-O58</f>
        <v>643182.17038229387</v>
      </c>
      <c r="Q60" s="962">
        <f>Q45-Q58</f>
        <v>703526.49828912225</v>
      </c>
      <c r="S60" s="962">
        <f>S45-S58</f>
        <v>765011.66277135536</v>
      </c>
      <c r="U60" s="962">
        <f>U45-U58</f>
        <v>827653.2725326037</v>
      </c>
      <c r="W60" s="962">
        <f>W45-W58</f>
        <v>891466.87376260664</v>
      </c>
      <c r="Y60" s="962">
        <f>Y45-Y58</f>
        <v>956467.9327127086</v>
      </c>
      <c r="AA60" s="962">
        <f>AA45-AA58</f>
        <v>1022671.8172802348</v>
      </c>
      <c r="AC60" s="962">
        <f>AC45-AC58</f>
        <v>1090093.7775575491</v>
      </c>
      <c r="AE60" s="962">
        <f>AE45-AE58</f>
        <v>1158748.9252997776</v>
      </c>
      <c r="AG60" s="962">
        <f>AG45-AG58</f>
        <v>1228652.2122633429</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358024.39999999991</v>
      </c>
      <c r="G62" s="962">
        <f>G60*$C$62</f>
        <v>412899.75999999978</v>
      </c>
      <c r="I62" s="962">
        <f>I60*$C$62</f>
        <v>468837.52104999963</v>
      </c>
      <c r="K62" s="962">
        <f>K60*$C$62</f>
        <v>525853.37485899916</v>
      </c>
      <c r="M62" s="962">
        <f>M60*$C$62</f>
        <v>583963.02430933993</v>
      </c>
      <c r="O62" s="962">
        <f>O60*$C$62</f>
        <v>643182.17038229387</v>
      </c>
      <c r="Q62" s="962">
        <f>Q60*$C$62</f>
        <v>703526.49828912225</v>
      </c>
      <c r="S62" s="962">
        <f>S60*$C$62</f>
        <v>765011.66277135536</v>
      </c>
      <c r="U62" s="962">
        <f>'Sources and Uses Budget'!I105-SUM('15 Year Pro Forma'!E62:S62)</f>
        <v>128784.58833889011</v>
      </c>
      <c r="Y62" s="962">
        <v>0</v>
      </c>
      <c r="AA62" s="962">
        <v>0</v>
      </c>
      <c r="AC62" s="962">
        <v>0</v>
      </c>
      <c r="AE62" s="962">
        <v>0</v>
      </c>
      <c r="AG62" s="962">
        <v>0</v>
      </c>
    </row>
    <row r="63" spans="1:34" s="962" customFormat="1">
      <c r="A63" s="2695" t="s">
        <v>2788</v>
      </c>
      <c r="B63" s="2695"/>
      <c r="C63" s="2695"/>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2789</v>
      </c>
      <c r="B66" s="964"/>
      <c r="C66" s="1261">
        <v>0.39</v>
      </c>
      <c r="E66" s="964"/>
      <c r="G66" s="960"/>
      <c r="I66" s="960"/>
      <c r="K66" s="960"/>
      <c r="M66" s="960"/>
      <c r="O66" s="960"/>
      <c r="Q66" s="960"/>
      <c r="S66" s="960"/>
      <c r="U66" s="960">
        <f>U62*$C$66</f>
        <v>50225.989452167145</v>
      </c>
      <c r="W66" s="960">
        <f>W60*$C$66</f>
        <v>347672.08076741663</v>
      </c>
      <c r="Y66" s="960">
        <f>Y60*$C$66</f>
        <v>373022.49375795637</v>
      </c>
      <c r="AA66" s="960">
        <f>AA60*$C$66</f>
        <v>398842.00873929157</v>
      </c>
      <c r="AC66" s="960">
        <f>AC60*$C$66</f>
        <v>425136.57324744418</v>
      </c>
      <c r="AE66" s="960">
        <f>AE60*$C$66</f>
        <v>451912.08086691331</v>
      </c>
      <c r="AG66" s="960">
        <f>AG60*$C$66</f>
        <v>479174.36278270377</v>
      </c>
    </row>
    <row r="67" spans="1:34" s="960" customFormat="1">
      <c r="A67" s="965" t="s">
        <v>2790</v>
      </c>
      <c r="B67" s="965"/>
      <c r="C67" s="959">
        <v>0.61</v>
      </c>
      <c r="E67" s="964"/>
      <c r="U67" s="960">
        <f>U62*$C$67</f>
        <v>78558.598886722961</v>
      </c>
      <c r="W67" s="960">
        <f>W60*$C$67</f>
        <v>543794.79299519002</v>
      </c>
      <c r="Y67" s="960">
        <f>Y60*$C$67</f>
        <v>583445.43895475229</v>
      </c>
      <c r="AA67" s="960">
        <f>AA60*$C$67</f>
        <v>623829.8085409432</v>
      </c>
      <c r="AC67" s="960">
        <f>AC60*$C$67</f>
        <v>664957.20431010495</v>
      </c>
      <c r="AE67" s="960">
        <f>AE60*$C$67</f>
        <v>706836.84443286434</v>
      </c>
      <c r="AG67" s="960">
        <f>AG60*$C$67</f>
        <v>749477.84948063921</v>
      </c>
    </row>
    <row r="68" spans="1:34" s="960" customFormat="1">
      <c r="A68" s="965" t="s">
        <v>2791</v>
      </c>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1260"/>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128784.58833889011</v>
      </c>
      <c r="W70" s="960">
        <f>SUM(W66:W69)</f>
        <v>891466.87376260664</v>
      </c>
      <c r="Y70" s="960">
        <f>SUM(Y66:Y69)</f>
        <v>956467.9327127086</v>
      </c>
      <c r="AA70" s="960">
        <f>SUM(AA66:AA69)</f>
        <v>1022671.8172802348</v>
      </c>
      <c r="AC70" s="960">
        <f>SUM(AC66:AC69)</f>
        <v>1090093.7775575491</v>
      </c>
      <c r="AE70" s="960">
        <f>SUM(AE66:AE69)</f>
        <v>1158748.9252997776</v>
      </c>
      <c r="AG70" s="960">
        <f>SUM(AG66:AG69)</f>
        <v>1228652.2122633429</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570084.09585482348</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3" t="s">
        <v>1721</v>
      </c>
      <c r="B77" s="2694"/>
      <c r="C77" s="2694"/>
      <c r="D77" s="2694"/>
      <c r="E77" s="2694"/>
      <c r="F77" s="2694"/>
      <c r="G77" s="2694"/>
      <c r="H77" s="2694"/>
      <c r="I77" s="2694"/>
      <c r="J77" s="2694"/>
      <c r="K77" s="2694"/>
      <c r="L77" s="2694"/>
      <c r="M77" s="2694"/>
      <c r="N77" s="2694"/>
      <c r="O77" s="2694"/>
      <c r="P77" s="2694"/>
      <c r="Q77" s="2694"/>
      <c r="R77" s="2694"/>
      <c r="S77" s="2694"/>
      <c r="T77" s="2694"/>
      <c r="U77" s="2694"/>
      <c r="V77" s="2694"/>
      <c r="W77" s="2694"/>
      <c r="X77" s="2694"/>
      <c r="Y77" s="2694"/>
      <c r="Z77" s="2694"/>
      <c r="AA77" s="2694"/>
      <c r="AB77" s="2694"/>
      <c r="AC77" s="2694"/>
      <c r="AD77" s="2694"/>
      <c r="AE77" s="2694"/>
      <c r="AF77" s="2694"/>
      <c r="AG77" s="2694"/>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51"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8800000</v>
      </c>
      <c r="C5" s="266">
        <f>'Sources and Uses Budget'!$C4</f>
        <v>8800000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50000</v>
      </c>
      <c r="C7" s="266">
        <f>'Sources and Uses Budget'!$C6</f>
        <v>50000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8850000</v>
      </c>
      <c r="C9" s="270">
        <f>SUM(C5:C8)</f>
        <v>8850000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8850000</v>
      </c>
      <c r="C13" s="270">
        <f>SUM(C9+C12)</f>
        <v>8850000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3470282</v>
      </c>
      <c r="C30" s="266">
        <f>'Sources and Uses Budget'!$C29</f>
        <v>3470282</v>
      </c>
      <c r="D30" s="270">
        <f t="shared" si="0"/>
        <v>0</v>
      </c>
      <c r="E30" s="268"/>
      <c r="F30" s="267"/>
    </row>
    <row r="31" spans="1:6" s="352" customFormat="1">
      <c r="A31" s="145" t="s">
        <v>599</v>
      </c>
      <c r="B31" s="266">
        <f>'Sources and Uses Budget'!$C30</f>
        <v>30490838</v>
      </c>
      <c r="C31" s="266">
        <f>'Sources and Uses Budget'!$C30</f>
        <v>30490838</v>
      </c>
      <c r="D31" s="270">
        <f t="shared" si="0"/>
        <v>0</v>
      </c>
      <c r="E31" s="268"/>
      <c r="F31" s="267"/>
    </row>
    <row r="32" spans="1:6" s="352" customFormat="1">
      <c r="A32" s="145" t="s">
        <v>600</v>
      </c>
      <c r="B32" s="266">
        <f>'Sources and Uses Budget'!$C31</f>
        <v>2037667</v>
      </c>
      <c r="C32" s="266">
        <f>'Sources and Uses Budget'!$C31</f>
        <v>2037667</v>
      </c>
      <c r="D32" s="270">
        <f t="shared" si="0"/>
        <v>0</v>
      </c>
      <c r="E32" s="268"/>
      <c r="F32" s="267"/>
    </row>
    <row r="33" spans="1:6" s="352" customFormat="1">
      <c r="A33" s="145" t="s">
        <v>137</v>
      </c>
      <c r="B33" s="266">
        <f>'Sources and Uses Budget'!$C32</f>
        <v>679222</v>
      </c>
      <c r="C33" s="266">
        <f>'Sources and Uses Budget'!$C32</f>
        <v>679222</v>
      </c>
      <c r="D33" s="270">
        <f t="shared" si="0"/>
        <v>0</v>
      </c>
      <c r="E33" s="268"/>
      <c r="F33" s="267"/>
    </row>
    <row r="34" spans="1:6" s="352" customFormat="1">
      <c r="A34" s="145" t="s">
        <v>138</v>
      </c>
      <c r="B34" s="266">
        <f>'Sources and Uses Budget'!$C33</f>
        <v>1600402</v>
      </c>
      <c r="C34" s="266">
        <f>'Sources and Uses Budget'!$C33</f>
        <v>1600402</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185824</v>
      </c>
      <c r="C36" s="266">
        <f>'Sources and Uses Budget'!$C35</f>
        <v>185824</v>
      </c>
      <c r="D36" s="270">
        <f t="shared" si="0"/>
        <v>0</v>
      </c>
      <c r="E36" s="268"/>
      <c r="F36" s="267"/>
    </row>
    <row r="37" spans="1:6" s="352" customFormat="1">
      <c r="A37" s="283" t="s">
        <v>1640</v>
      </c>
      <c r="B37" s="266">
        <f>'Sources and Uses Budget'!$C36</f>
        <v>200000</v>
      </c>
      <c r="C37" s="266">
        <f>'Sources and Uses Budget'!$C36</f>
        <v>200000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38664235</v>
      </c>
      <c r="C39" s="270">
        <f>SUM(C30:C38)</f>
        <v>38664235</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1210927</v>
      </c>
      <c r="C41" s="266">
        <f>'Sources and Uses Budget'!$C40</f>
        <v>1210927</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1210927</v>
      </c>
      <c r="C43" s="270">
        <f>SUM(C41:C42)</f>
        <v>1210927</v>
      </c>
      <c r="D43" s="270">
        <f t="shared" si="0"/>
        <v>0</v>
      </c>
      <c r="E43" s="268"/>
      <c r="F43" s="267"/>
    </row>
    <row r="44" spans="1:6" s="352" customFormat="1">
      <c r="A44" s="271" t="s">
        <v>148</v>
      </c>
      <c r="B44" s="266">
        <f>'Sources and Uses Budget'!$C43</f>
        <v>1515010</v>
      </c>
      <c r="C44" s="266">
        <f>'Sources and Uses Budget'!$C43</f>
        <v>1515010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5280000</v>
      </c>
      <c r="C46" s="266">
        <f>'Sources and Uses Budget'!$C45</f>
        <v>5280000</v>
      </c>
      <c r="D46" s="270">
        <f t="shared" si="0"/>
        <v>0</v>
      </c>
      <c r="E46" s="268"/>
      <c r="F46" s="267"/>
    </row>
    <row r="47" spans="1:6" s="352" customFormat="1">
      <c r="A47" s="145" t="s">
        <v>151</v>
      </c>
      <c r="B47" s="266">
        <f>'Sources and Uses Budget'!$C46</f>
        <v>533000</v>
      </c>
      <c r="C47" s="266">
        <f>'Sources and Uses Budget'!$C46</f>
        <v>533000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298806</v>
      </c>
      <c r="C49" s="266">
        <f>'Sources and Uses Budget'!$C48</f>
        <v>298806</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45000</v>
      </c>
      <c r="C51" s="266">
        <f>'Sources and Uses Budget'!$C50</f>
        <v>45000</v>
      </c>
      <c r="D51" s="270">
        <f t="shared" si="0"/>
        <v>0</v>
      </c>
      <c r="E51" s="268"/>
      <c r="F51" s="267"/>
    </row>
    <row r="52" spans="1:6" s="352" customFormat="1">
      <c r="A52" s="283" t="s">
        <v>154</v>
      </c>
      <c r="B52" s="266">
        <f>'Sources and Uses Budget'!$C51</f>
        <v>50000</v>
      </c>
      <c r="C52" s="266">
        <f>'Sources and Uses Budget'!$C51</f>
        <v>50000</v>
      </c>
      <c r="D52" s="270">
        <f t="shared" si="0"/>
        <v>0</v>
      </c>
      <c r="E52" s="268"/>
      <c r="F52" s="267"/>
    </row>
    <row r="53" spans="1:6" s="352" customFormat="1">
      <c r="A53" s="145" t="s">
        <v>155</v>
      </c>
      <c r="B53" s="266">
        <f>'Sources and Uses Budget'!$C52</f>
        <v>767969</v>
      </c>
      <c r="C53" s="266">
        <f>'Sources and Uses Budget'!$C52</f>
        <v>767969</v>
      </c>
      <c r="D53" s="270">
        <f t="shared" si="0"/>
        <v>0</v>
      </c>
      <c r="E53" s="268"/>
      <c r="F53" s="267"/>
    </row>
    <row r="54" spans="1:6" s="352" customFormat="1" ht="24">
      <c r="A54" s="155" t="str">
        <f>'Sources and Uses Budget'!A53</f>
        <v>Other: Lender Inspection and Construction Legal</v>
      </c>
      <c r="B54" s="266">
        <f>'Sources and Uses Budget'!$C53</f>
        <v>78000</v>
      </c>
      <c r="C54" s="266">
        <f>'Sources and Uses Budget'!$C53</f>
        <v>78000</v>
      </c>
      <c r="D54" s="270">
        <f t="shared" si="0"/>
        <v>0</v>
      </c>
      <c r="E54" s="268"/>
      <c r="F54" s="267"/>
    </row>
    <row r="55" spans="1:6" s="353" customFormat="1">
      <c r="A55" s="271" t="s">
        <v>157</v>
      </c>
      <c r="B55" s="273">
        <f>SUM(B46:B54)</f>
        <v>7052775</v>
      </c>
      <c r="C55" s="273">
        <f>SUM(C46:C54)</f>
        <v>7052775</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437010</v>
      </c>
      <c r="C57" s="266">
        <f>'Sources and Uses Budget'!$C56</f>
        <v>437010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80000</v>
      </c>
      <c r="C59" s="266">
        <f>'Sources and Uses Budget'!$C58</f>
        <v>80000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Issuance Fees</v>
      </c>
      <c r="B62" s="266">
        <f>'Sources and Uses Budget'!$C61</f>
        <v>37500</v>
      </c>
      <c r="C62" s="266">
        <f>'Sources and Uses Budget'!$C61</f>
        <v>37500</v>
      </c>
      <c r="D62" s="270">
        <f t="shared" si="0"/>
        <v>0</v>
      </c>
      <c r="E62" s="268"/>
      <c r="F62" s="267"/>
    </row>
    <row r="63" spans="1:6" s="352" customFormat="1" ht="13.7" customHeight="1">
      <c r="A63" s="271" t="s">
        <v>300</v>
      </c>
      <c r="B63" s="270">
        <f>SUM(B57:B62)</f>
        <v>554510</v>
      </c>
      <c r="C63" s="270">
        <f>SUM(C57:C62)</f>
        <v>554510</v>
      </c>
      <c r="D63" s="270">
        <f t="shared" si="0"/>
        <v>0</v>
      </c>
      <c r="E63" s="268"/>
      <c r="F63" s="267"/>
    </row>
    <row r="64" spans="1:6" s="352" customFormat="1">
      <c r="A64" s="274" t="s">
        <v>301</v>
      </c>
      <c r="B64" s="270">
        <f>SUM(B9+B12+B14+B15+B17+B26+B28+B39+B43+B44+B55+B63)</f>
        <v>57847457</v>
      </c>
      <c r="C64" s="270">
        <f>SUM(C9+C12+C14+C15+C17+C26+C28+C39+C43+C44+C55+C63)</f>
        <v>57847457</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115000</v>
      </c>
      <c r="C66" s="266">
        <f>'Sources and Uses Budget'!$C65</f>
        <v>115000</v>
      </c>
      <c r="D66" s="270">
        <f t="shared" si="0"/>
        <v>0</v>
      </c>
      <c r="E66" s="268"/>
      <c r="F66" s="267"/>
    </row>
    <row r="67" spans="1:6" s="352" customFormat="1" ht="24">
      <c r="A67" s="283" t="s">
        <v>1641</v>
      </c>
      <c r="B67" s="266">
        <f>'Sources and Uses Budget'!$C66</f>
        <v>494301</v>
      </c>
      <c r="C67" s="266">
        <f>'Sources and Uses Budget'!$C66</f>
        <v>494301</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(Perm Loan Legal)</v>
      </c>
      <c r="B70" s="266">
        <f>'Sources and Uses Budget'!$C69</f>
        <v>267853</v>
      </c>
      <c r="C70" s="266">
        <f>'Sources and Uses Budget'!$C69</f>
        <v>267853</v>
      </c>
      <c r="D70" s="270">
        <f t="shared" si="0"/>
        <v>0</v>
      </c>
      <c r="E70" s="268"/>
      <c r="F70" s="267"/>
    </row>
    <row r="71" spans="1:6" s="352" customFormat="1">
      <c r="A71" s="149" t="s">
        <v>1645</v>
      </c>
      <c r="B71" s="270">
        <f>SUM(B66:B70)</f>
        <v>877154</v>
      </c>
      <c r="C71" s="270">
        <f>SUM(C66:C70)</f>
        <v>877154</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31250</v>
      </c>
      <c r="C75" s="266">
        <f>'Sources and Uses Budget'!$C74</f>
        <v>31250</v>
      </c>
      <c r="D75" s="270">
        <f t="shared" si="0"/>
        <v>0</v>
      </c>
      <c r="E75" s="268"/>
      <c r="F75" s="267"/>
    </row>
    <row r="76" spans="1:6" s="352" customFormat="1">
      <c r="A76" s="269" t="s">
        <v>605</v>
      </c>
      <c r="B76" s="266">
        <f>'Sources and Uses Budget'!$C75</f>
        <v>1552026</v>
      </c>
      <c r="C76" s="266">
        <f>'Sources and Uses Budget'!$C75</f>
        <v>1552026</v>
      </c>
      <c r="D76" s="270">
        <f t="shared" si="0"/>
        <v>0</v>
      </c>
      <c r="E76" s="268"/>
      <c r="F76" s="267"/>
    </row>
    <row r="77" spans="1:6" s="352" customFormat="1">
      <c r="A77" s="272" t="s">
        <v>34</v>
      </c>
      <c r="B77" s="266">
        <f>'Sources and Uses Budget'!$C76</f>
        <v>100000</v>
      </c>
      <c r="C77" s="266">
        <f>'Sources and Uses Budget'!$C76</f>
        <v>100000</v>
      </c>
      <c r="D77" s="270">
        <f t="shared" si="0"/>
        <v>0</v>
      </c>
      <c r="E77" s="268"/>
      <c r="F77" s="267"/>
    </row>
    <row r="78" spans="1:6" s="352" customFormat="1">
      <c r="A78" s="271" t="s">
        <v>606</v>
      </c>
      <c r="B78" s="270">
        <f>SUM(B73:B77)</f>
        <v>1683276</v>
      </c>
      <c r="C78" s="270">
        <f>SUM(C73:C77)</f>
        <v>1683276</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1936361</v>
      </c>
      <c r="C80" s="266">
        <f>'Sources and Uses Budget'!$C79</f>
        <v>1936361</v>
      </c>
      <c r="D80" s="270">
        <f t="shared" si="1"/>
        <v>0</v>
      </c>
      <c r="E80" s="268"/>
      <c r="F80" s="267"/>
    </row>
    <row r="81" spans="1:6" s="352" customFormat="1">
      <c r="A81" s="510" t="s">
        <v>58</v>
      </c>
      <c r="B81" s="266">
        <f>'Sources and Uses Budget'!$C80</f>
        <v>290000</v>
      </c>
      <c r="C81" s="266">
        <f>'Sources and Uses Budget'!$C80</f>
        <v>290000</v>
      </c>
      <c r="D81" s="270">
        <f>C81-B81</f>
        <v>0</v>
      </c>
      <c r="E81" s="268"/>
      <c r="F81" s="267"/>
    </row>
    <row r="82" spans="1:6" s="352" customFormat="1">
      <c r="A82" s="271" t="s">
        <v>1209</v>
      </c>
      <c r="B82" s="270">
        <f>SUM(B80:B81)</f>
        <v>2226361</v>
      </c>
      <c r="C82" s="270">
        <f>SUM(C80:C81)</f>
        <v>2226361</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158753</v>
      </c>
      <c r="C84" s="266">
        <f>'Sources and Uses Budget'!$C83</f>
        <v>158753</v>
      </c>
      <c r="D84" s="270">
        <f t="shared" si="1"/>
        <v>0</v>
      </c>
      <c r="E84" s="268"/>
      <c r="F84" s="267"/>
    </row>
    <row r="85" spans="1:6" s="352" customFormat="1">
      <c r="A85" s="269" t="s">
        <v>767</v>
      </c>
      <c r="B85" s="266">
        <f>'Sources and Uses Budget'!$C84</f>
        <v>0</v>
      </c>
      <c r="C85" s="266">
        <f>'Sources and Uses Budget'!$C84</f>
        <v>0</v>
      </c>
      <c r="D85" s="270">
        <f t="shared" si="1"/>
        <v>0</v>
      </c>
      <c r="E85" s="268"/>
      <c r="F85" s="267"/>
    </row>
    <row r="86" spans="1:6" s="352" customFormat="1">
      <c r="A86" s="269" t="s">
        <v>768</v>
      </c>
      <c r="B86" s="266">
        <f>'Sources and Uses Budget'!$C85</f>
        <v>2109915</v>
      </c>
      <c r="C86" s="266">
        <f>'Sources and Uses Budget'!$C85</f>
        <v>2109915</v>
      </c>
      <c r="D86" s="270">
        <f t="shared" si="1"/>
        <v>0</v>
      </c>
      <c r="E86" s="268"/>
      <c r="F86" s="267"/>
    </row>
    <row r="87" spans="1:6" s="352" customFormat="1">
      <c r="A87" s="269" t="s">
        <v>769</v>
      </c>
      <c r="B87" s="266">
        <f>'Sources and Uses Budget'!$C86</f>
        <v>25000</v>
      </c>
      <c r="C87" s="266">
        <f>'Sources and Uses Budget'!$C86</f>
        <v>25000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0</v>
      </c>
      <c r="C89" s="266">
        <f>'Sources and Uses Budget'!$C88</f>
        <v>0</v>
      </c>
      <c r="D89" s="270">
        <f t="shared" si="1"/>
        <v>0</v>
      </c>
      <c r="E89" s="268"/>
      <c r="F89" s="267"/>
    </row>
    <row r="90" spans="1:6" s="352" customFormat="1">
      <c r="A90" s="269" t="s">
        <v>772</v>
      </c>
      <c r="B90" s="266">
        <f>'Sources and Uses Budget'!$C89</f>
        <v>300000</v>
      </c>
      <c r="C90" s="266">
        <f>'Sources and Uses Budget'!$C89</f>
        <v>300000</v>
      </c>
      <c r="D90" s="270">
        <f t="shared" si="1"/>
        <v>0</v>
      </c>
      <c r="E90" s="268"/>
      <c r="F90" s="267"/>
    </row>
    <row r="91" spans="1:6" s="352" customFormat="1">
      <c r="A91" s="269" t="s">
        <v>773</v>
      </c>
      <c r="B91" s="266">
        <f>'Sources and Uses Budget'!$C90</f>
        <v>0</v>
      </c>
      <c r="C91" s="266">
        <f>'Sources and Uses Budget'!$C90</f>
        <v>0</v>
      </c>
      <c r="D91" s="270">
        <f t="shared" si="1"/>
        <v>0</v>
      </c>
      <c r="E91" s="268"/>
      <c r="F91" s="267"/>
    </row>
    <row r="92" spans="1:6" s="352" customFormat="1">
      <c r="A92" s="269" t="s">
        <v>371</v>
      </c>
      <c r="B92" s="266">
        <f>'Sources and Uses Budget'!$C91</f>
        <v>40000</v>
      </c>
      <c r="C92" s="266">
        <f>'Sources and Uses Budget'!$C91</f>
        <v>40000</v>
      </c>
      <c r="D92" s="270">
        <f t="shared" si="1"/>
        <v>0</v>
      </c>
      <c r="E92" s="268"/>
      <c r="F92" s="267"/>
    </row>
    <row r="93" spans="1:6" s="352" customFormat="1">
      <c r="A93" s="510" t="s">
        <v>1211</v>
      </c>
      <c r="B93" s="266">
        <f>'Sources and Uses Budget'!$C92</f>
        <v>20000</v>
      </c>
      <c r="C93" s="266">
        <f>'Sources and Uses Budget'!$C92</f>
        <v>20000</v>
      </c>
      <c r="D93" s="270">
        <f t="shared" si="1"/>
        <v>0</v>
      </c>
      <c r="E93" s="268"/>
      <c r="F93" s="267"/>
    </row>
    <row r="94" spans="1:6" s="352" customFormat="1">
      <c r="A94" s="272" t="s">
        <v>34</v>
      </c>
      <c r="B94" s="266">
        <f>'Sources and Uses Budget'!$C93</f>
        <v>55000</v>
      </c>
      <c r="C94" s="266">
        <f>'Sources and Uses Budget'!$C93</f>
        <v>55000</v>
      </c>
      <c r="D94" s="270">
        <f t="shared" si="1"/>
        <v>0</v>
      </c>
      <c r="E94" s="268"/>
      <c r="F94" s="267"/>
    </row>
    <row r="95" spans="1:6" s="352" customFormat="1">
      <c r="A95" s="272" t="s">
        <v>34</v>
      </c>
      <c r="B95" s="266">
        <f>'Sources and Uses Budget'!$C94</f>
        <v>600000</v>
      </c>
      <c r="C95" s="266">
        <f>'Sources and Uses Budget'!$C94</f>
        <v>600000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3308668</v>
      </c>
      <c r="C97" s="270">
        <f>SUM(C84:C96)</f>
        <v>3308668</v>
      </c>
      <c r="D97" s="270">
        <f t="shared" si="1"/>
        <v>0</v>
      </c>
      <c r="E97" s="268"/>
      <c r="F97" s="267"/>
    </row>
    <row r="98" spans="1:6" s="352" customFormat="1">
      <c r="A98" s="271" t="s">
        <v>775</v>
      </c>
      <c r="B98" s="270">
        <f>SUM(B64+B71+B78+B82+B97)</f>
        <v>65942916</v>
      </c>
      <c r="C98" s="270">
        <f>SUM(C64+C71+C78+C82+C97)</f>
        <v>65942916</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7839268</v>
      </c>
      <c r="C100" s="266">
        <f>'Sources and Uses Budget'!$C99</f>
        <v>7839268</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7839268</v>
      </c>
      <c r="C105" s="270">
        <f>SUM(C100:C104)</f>
        <v>7839268</v>
      </c>
      <c r="D105" s="270">
        <f t="shared" si="1"/>
        <v>0</v>
      </c>
      <c r="E105" s="268"/>
      <c r="F105" s="267"/>
    </row>
    <row r="106" spans="1:6" s="352" customFormat="1">
      <c r="A106" s="271" t="s">
        <v>780</v>
      </c>
      <c r="B106" s="273">
        <f>SUM(B98+B105)</f>
        <v>73782184</v>
      </c>
      <c r="C106" s="273">
        <f>SUM(C98+C105)</f>
        <v>73782184</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6" t="s">
        <v>1869</v>
      </c>
      <c r="B1" s="1277"/>
      <c r="C1" s="1277"/>
      <c r="D1" s="1277"/>
      <c r="E1" s="1277"/>
      <c r="F1" s="1277"/>
      <c r="G1" s="1277"/>
      <c r="H1" s="1277"/>
      <c r="I1" s="1277"/>
      <c r="J1" s="1277"/>
    </row>
    <row r="2" spans="1:10" ht="15">
      <c r="A2" s="1280" t="s">
        <v>1268</v>
      </c>
      <c r="B2" s="1281"/>
      <c r="C2" s="1281"/>
      <c r="D2" s="1281"/>
      <c r="E2" s="1281"/>
      <c r="F2" s="1281"/>
      <c r="G2" s="1281"/>
      <c r="H2" s="1281"/>
      <c r="I2" s="1281"/>
      <c r="J2" s="1281"/>
    </row>
    <row r="3" spans="1:10" ht="12.75"/>
    <row r="4" spans="1:10" ht="12.75" customHeight="1">
      <c r="A4" s="1278" t="s">
        <v>2047</v>
      </c>
      <c r="B4" s="1278"/>
      <c r="C4" s="1278"/>
      <c r="D4" s="1278"/>
      <c r="E4" s="1278"/>
      <c r="F4" s="1278"/>
      <c r="G4" s="1278"/>
      <c r="H4" s="1278"/>
      <c r="I4" s="1278"/>
      <c r="J4" s="1278"/>
    </row>
    <row r="5" spans="1:10" ht="12.75">
      <c r="A5" s="1278"/>
      <c r="B5" s="1278"/>
      <c r="C5" s="1278"/>
      <c r="D5" s="1278"/>
      <c r="E5" s="1278"/>
      <c r="F5" s="1278"/>
      <c r="G5" s="1278"/>
      <c r="H5" s="1278"/>
      <c r="I5" s="1278"/>
      <c r="J5" s="1278"/>
    </row>
    <row r="6" spans="1:10" ht="30" customHeight="1">
      <c r="A6" s="1278"/>
      <c r="B6" s="1278"/>
      <c r="C6" s="1278"/>
      <c r="D6" s="1278"/>
      <c r="E6" s="1278"/>
      <c r="F6" s="1278"/>
      <c r="G6" s="1278"/>
      <c r="H6" s="1278"/>
      <c r="I6" s="1278"/>
      <c r="J6" s="1278"/>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2" t="s">
        <v>1874</v>
      </c>
      <c r="B10" s="1282"/>
      <c r="C10" s="1282"/>
      <c r="D10" s="1282"/>
      <c r="E10" s="1282"/>
      <c r="F10" s="1282"/>
      <c r="G10" s="1282"/>
      <c r="H10" s="1282"/>
      <c r="I10" s="1282"/>
      <c r="J10" s="1282"/>
    </row>
    <row r="11" spans="1:10" ht="12.75">
      <c r="A11" s="1282"/>
      <c r="B11" s="1282"/>
      <c r="C11" s="1282"/>
      <c r="D11" s="1282"/>
      <c r="E11" s="1282"/>
      <c r="F11" s="1282"/>
      <c r="G11" s="1282"/>
      <c r="H11" s="1282"/>
      <c r="I11" s="1282"/>
      <c r="J11" s="1282"/>
    </row>
    <row r="12" spans="1:10" ht="12.75">
      <c r="A12" s="1282"/>
      <c r="B12" s="1282"/>
      <c r="C12" s="1282"/>
      <c r="D12" s="1282"/>
      <c r="E12" s="1282"/>
      <c r="F12" s="1282"/>
      <c r="G12" s="1282"/>
      <c r="H12" s="1282"/>
      <c r="I12" s="1282"/>
      <c r="J12" s="1282"/>
    </row>
    <row r="13" spans="1:10" ht="12.75">
      <c r="A13" s="1282"/>
      <c r="B13" s="1282"/>
      <c r="C13" s="1282"/>
      <c r="D13" s="1282"/>
      <c r="E13" s="1282"/>
      <c r="F13" s="1282"/>
      <c r="G13" s="1282"/>
      <c r="H13" s="1282"/>
      <c r="I13" s="1282"/>
      <c r="J13" s="1282"/>
    </row>
    <row r="14" spans="1:10" ht="12.75">
      <c r="A14" s="1282"/>
      <c r="B14" s="1282"/>
      <c r="C14" s="1282"/>
      <c r="D14" s="1282"/>
      <c r="E14" s="1282"/>
      <c r="F14" s="1282"/>
      <c r="G14" s="1282"/>
      <c r="H14" s="1282"/>
      <c r="I14" s="1282"/>
      <c r="J14" s="1282"/>
    </row>
    <row r="15" spans="1:10" ht="12.75">
      <c r="A15" s="1282"/>
      <c r="B15" s="1282"/>
      <c r="C15" s="1282"/>
      <c r="D15" s="1282"/>
      <c r="E15" s="1282"/>
      <c r="F15" s="1282"/>
      <c r="G15" s="1282"/>
      <c r="H15" s="1282"/>
      <c r="I15" s="1282"/>
      <c r="J15" s="1282"/>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81" t="s">
        <v>1189</v>
      </c>
      <c r="B19" s="1281"/>
      <c r="C19" s="1281"/>
      <c r="D19" s="1281"/>
      <c r="E19" s="1281"/>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8" t="s">
        <v>1190</v>
      </c>
      <c r="B56" s="1278"/>
      <c r="C56" s="1278"/>
      <c r="D56" s="1278"/>
      <c r="E56" s="1278"/>
      <c r="F56" s="1278"/>
      <c r="G56" s="1278"/>
      <c r="H56" s="1278"/>
      <c r="I56" s="1278"/>
      <c r="J56" s="1278"/>
    </row>
    <row r="57" spans="1:10" ht="12.75">
      <c r="A57" s="1278"/>
      <c r="B57" s="1278"/>
      <c r="C57" s="1278"/>
      <c r="D57" s="1278"/>
      <c r="E57" s="1278"/>
      <c r="F57" s="1278"/>
      <c r="G57" s="1278"/>
      <c r="H57" s="1278"/>
      <c r="I57" s="1278"/>
      <c r="J57" s="1278"/>
    </row>
    <row r="58" spans="1:10" ht="12.75">
      <c r="A58" s="1278"/>
      <c r="B58" s="1278"/>
      <c r="C58" s="1278"/>
      <c r="D58" s="1278"/>
      <c r="E58" s="1278"/>
      <c r="F58" s="1278"/>
      <c r="G58" s="1278"/>
      <c r="H58" s="1278"/>
      <c r="I58" s="1278"/>
      <c r="J58" s="1278"/>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9" t="s">
        <v>1870</v>
      </c>
      <c r="B71" s="1279"/>
      <c r="C71" s="1279"/>
      <c r="D71" s="1279"/>
      <c r="E71" s="1279"/>
      <c r="F71" s="1279"/>
      <c r="G71" s="1279"/>
      <c r="H71" s="1279"/>
      <c r="I71" s="1279"/>
    </row>
    <row r="72" spans="1:9" ht="12.75">
      <c r="A72" s="1271" t="s">
        <v>2045</v>
      </c>
      <c r="B72" s="1271"/>
      <c r="C72" s="1271"/>
      <c r="D72" s="1271"/>
      <c r="E72" s="1271"/>
    </row>
    <row r="73" spans="1:9" ht="12.75">
      <c r="A73" s="1271" t="s">
        <v>2046</v>
      </c>
      <c r="B73" s="1271"/>
      <c r="C73" s="1271"/>
      <c r="D73" s="1271"/>
      <c r="E73" s="1271"/>
    </row>
    <row r="74" spans="1:9" ht="12.75">
      <c r="A74" s="1271" t="s">
        <v>1871</v>
      </c>
      <c r="B74" s="1271"/>
      <c r="C74" s="1271"/>
      <c r="D74" s="1271"/>
      <c r="E74" s="1271"/>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D1054" sqref="D1054:F1057"/>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3" t="s">
        <v>2456</v>
      </c>
      <c r="B2" s="1333"/>
      <c r="C2" s="1333"/>
      <c r="D2" s="1333"/>
      <c r="E2" s="1333"/>
      <c r="F2" s="1333"/>
      <c r="G2" s="1333"/>
      <c r="H2" s="1333"/>
      <c r="I2" s="1333"/>
    </row>
    <row r="3" spans="1:13">
      <c r="A3" s="1321" t="s">
        <v>2219</v>
      </c>
      <c r="B3" s="1321"/>
      <c r="C3" s="1321"/>
      <c r="D3" s="1321"/>
      <c r="E3" s="1321"/>
      <c r="F3" s="1321"/>
      <c r="G3" s="1321"/>
      <c r="H3" s="1321"/>
      <c r="I3" s="1321"/>
    </row>
    <row r="4" spans="1:13">
      <c r="A4" s="1321"/>
      <c r="B4" s="1321"/>
      <c r="C4" s="1281"/>
      <c r="D4" s="1281"/>
      <c r="E4" s="1281"/>
      <c r="F4" s="1281"/>
      <c r="G4" s="1281"/>
    </row>
    <row r="5" spans="1:13">
      <c r="A5" s="1321"/>
      <c r="B5" s="1321"/>
      <c r="C5" s="1281"/>
      <c r="D5" s="1281"/>
      <c r="E5" s="1281"/>
      <c r="F5" s="1281"/>
      <c r="G5" s="1281"/>
    </row>
    <row r="6" spans="1:13" ht="12.75" customHeight="1">
      <c r="A6" s="1324" t="s">
        <v>2218</v>
      </c>
      <c r="B6" s="1324"/>
      <c r="C6" s="1324"/>
      <c r="D6" s="1324"/>
      <c r="E6" s="1324"/>
      <c r="F6" s="1324"/>
      <c r="G6" s="1324"/>
      <c r="I6" s="490"/>
    </row>
    <row r="7" spans="1:13">
      <c r="A7" s="1324"/>
      <c r="B7" s="1324"/>
      <c r="C7" s="1324"/>
      <c r="D7" s="1324"/>
      <c r="E7" s="1324"/>
      <c r="F7" s="1324"/>
      <c r="G7" s="1324"/>
      <c r="I7" s="490"/>
    </row>
    <row r="8" spans="1:13">
      <c r="A8" s="481"/>
      <c r="B8" s="481"/>
      <c r="C8" s="482"/>
      <c r="D8" s="482"/>
      <c r="E8" s="482"/>
      <c r="F8" s="482"/>
    </row>
    <row r="9" spans="1:13">
      <c r="A9" s="1310" t="s">
        <v>1101</v>
      </c>
      <c r="B9" s="1310"/>
      <c r="C9" s="1310"/>
      <c r="D9" s="1310"/>
      <c r="E9" s="1310"/>
      <c r="F9" s="1310"/>
      <c r="G9" s="1310"/>
      <c r="H9" s="1028"/>
      <c r="I9" s="1029"/>
    </row>
    <row r="10" spans="1:13">
      <c r="A10" s="482"/>
      <c r="B10" s="482"/>
      <c r="E10" s="404"/>
    </row>
    <row r="11" spans="1:13" ht="13.7" customHeight="1">
      <c r="C11" s="482"/>
      <c r="D11" s="1323" t="s">
        <v>1100</v>
      </c>
      <c r="E11" s="1323"/>
      <c r="F11" s="1323"/>
    </row>
    <row r="12" spans="1:13">
      <c r="C12" s="482"/>
      <c r="D12" s="1323"/>
      <c r="E12" s="1323"/>
      <c r="F12" s="1323"/>
    </row>
    <row r="13" spans="1:13">
      <c r="A13" s="483"/>
      <c r="B13" s="483"/>
      <c r="C13" s="483"/>
      <c r="D13" s="1301" t="s">
        <v>1090</v>
      </c>
      <c r="E13" s="1301"/>
      <c r="F13" s="1301"/>
      <c r="M13" s="96"/>
    </row>
    <row r="14" spans="1:13">
      <c r="A14" s="483"/>
      <c r="B14" s="483"/>
      <c r="C14" s="483"/>
      <c r="D14" s="476"/>
      <c r="L14" s="312"/>
    </row>
    <row r="15" spans="1:13" ht="14.25">
      <c r="A15" s="484"/>
      <c r="B15" s="485" t="s">
        <v>306</v>
      </c>
      <c r="C15" s="483"/>
      <c r="D15" s="1303" t="s">
        <v>1922</v>
      </c>
      <c r="E15" s="1303"/>
      <c r="F15" s="1303"/>
      <c r="I15" s="490"/>
    </row>
    <row r="16" spans="1:13">
      <c r="A16" s="483"/>
      <c r="B16" s="483"/>
      <c r="C16" s="483"/>
      <c r="D16" s="1303"/>
      <c r="E16" s="1303"/>
      <c r="F16" s="1303"/>
      <c r="I16" s="490"/>
    </row>
    <row r="17" spans="1:9">
      <c r="A17" s="483"/>
      <c r="B17" s="483"/>
      <c r="C17" s="483"/>
      <c r="D17" s="1303"/>
      <c r="E17" s="1303"/>
      <c r="F17" s="1303"/>
      <c r="I17" s="490"/>
    </row>
    <row r="18" spans="1:9">
      <c r="A18" s="483"/>
      <c r="B18" s="483"/>
      <c r="C18" s="483"/>
      <c r="D18" s="445"/>
      <c r="E18" s="312" t="s">
        <v>1920</v>
      </c>
      <c r="F18" s="445"/>
      <c r="I18" s="490"/>
    </row>
    <row r="19" spans="1:9">
      <c r="A19" s="483"/>
      <c r="B19" s="483"/>
      <c r="C19" s="483"/>
      <c r="I19" s="490"/>
    </row>
    <row r="20" spans="1:9" ht="14.25">
      <c r="A20" s="484"/>
      <c r="B20" s="485" t="s">
        <v>306</v>
      </c>
      <c r="D20" s="1303" t="s">
        <v>1923</v>
      </c>
      <c r="E20" s="1303"/>
      <c r="F20" s="1303"/>
      <c r="I20" s="490"/>
    </row>
    <row r="21" spans="1:9" ht="14.25">
      <c r="A21" s="484"/>
      <c r="D21" s="1303"/>
      <c r="E21" s="1303"/>
      <c r="F21" s="1303"/>
      <c r="I21" s="490"/>
    </row>
    <row r="22" spans="1:9" ht="14.25">
      <c r="A22" s="484"/>
      <c r="D22" s="392"/>
      <c r="E22" s="96" t="s">
        <v>1919</v>
      </c>
      <c r="F22" s="392"/>
      <c r="I22" s="490"/>
    </row>
    <row r="23" spans="1:9" ht="14.25">
      <c r="A23" s="484"/>
      <c r="B23" s="484"/>
      <c r="D23" s="446"/>
      <c r="I23" s="490"/>
    </row>
    <row r="24" spans="1:9" ht="14.25">
      <c r="A24" s="484"/>
      <c r="B24" s="485" t="s">
        <v>306</v>
      </c>
      <c r="D24" s="1303" t="s">
        <v>1091</v>
      </c>
      <c r="E24" s="1303"/>
      <c r="F24" s="1303"/>
      <c r="I24" s="490"/>
    </row>
    <row r="25" spans="1:9" ht="14.25">
      <c r="A25" s="484"/>
      <c r="B25" s="484"/>
      <c r="D25" s="1303"/>
      <c r="E25" s="1303"/>
      <c r="F25" s="1303"/>
      <c r="I25" s="490"/>
    </row>
    <row r="26" spans="1:9">
      <c r="I26" s="490"/>
    </row>
    <row r="27" spans="1:9" ht="14.25">
      <c r="A27" s="484"/>
      <c r="B27" s="485" t="s">
        <v>306</v>
      </c>
      <c r="D27" s="1303" t="s">
        <v>2048</v>
      </c>
      <c r="E27" s="1303"/>
      <c r="F27" s="1303"/>
      <c r="I27" s="490"/>
    </row>
    <row r="28" spans="1:9">
      <c r="D28" s="1303"/>
      <c r="E28" s="1303"/>
      <c r="F28" s="1303"/>
      <c r="I28" s="490"/>
    </row>
    <row r="29" spans="1:9">
      <c r="D29" s="1303"/>
      <c r="E29" s="1303"/>
      <c r="F29" s="1303"/>
      <c r="I29" s="490"/>
    </row>
    <row r="30" spans="1:9">
      <c r="D30" s="1303"/>
      <c r="E30" s="1303"/>
      <c r="F30" s="1303"/>
      <c r="I30" s="490"/>
    </row>
    <row r="31" spans="1:9">
      <c r="D31" s="1303"/>
      <c r="E31" s="1303"/>
      <c r="F31" s="1303"/>
      <c r="I31" s="490"/>
    </row>
    <row r="32" spans="1:9">
      <c r="D32" s="447"/>
      <c r="I32" s="490"/>
    </row>
    <row r="33" spans="1:9">
      <c r="B33" s="485" t="s">
        <v>306</v>
      </c>
      <c r="D33" s="1303" t="s">
        <v>2049</v>
      </c>
      <c r="E33" s="1303"/>
      <c r="F33" s="1303"/>
      <c r="I33" s="490"/>
    </row>
    <row r="34" spans="1:9">
      <c r="D34" s="1303"/>
      <c r="E34" s="1303"/>
      <c r="F34" s="1303"/>
      <c r="I34" s="490"/>
    </row>
    <row r="35" spans="1:9" ht="14.25">
      <c r="A35" s="484"/>
      <c r="B35" s="484"/>
      <c r="D35" s="447"/>
      <c r="I35" s="490"/>
    </row>
    <row r="36" spans="1:9" ht="14.45" customHeight="1">
      <c r="A36" s="484"/>
      <c r="B36" s="485" t="s">
        <v>306</v>
      </c>
      <c r="D36" s="1303" t="s">
        <v>1214</v>
      </c>
      <c r="E36" s="1303"/>
      <c r="F36" s="1303"/>
      <c r="I36" s="490"/>
    </row>
    <row r="37" spans="1:9" ht="14.25">
      <c r="A37" s="484"/>
      <c r="B37" s="484"/>
      <c r="D37" s="1303"/>
      <c r="E37" s="1303"/>
      <c r="F37" s="1303"/>
      <c r="I37" s="490"/>
    </row>
    <row r="38" spans="1:9" ht="14.25">
      <c r="A38" s="484"/>
      <c r="B38" s="484"/>
      <c r="D38" s="1303"/>
      <c r="E38" s="1303"/>
      <c r="F38" s="1303"/>
      <c r="I38" s="490"/>
    </row>
    <row r="39" spans="1:9" ht="14.25">
      <c r="A39" s="484"/>
      <c r="B39" s="484"/>
      <c r="D39" s="1303"/>
      <c r="E39" s="1303"/>
      <c r="F39" s="1303"/>
      <c r="I39" s="490"/>
    </row>
    <row r="40" spans="1:9" ht="14.25">
      <c r="A40" s="484"/>
      <c r="B40" s="484"/>
      <c r="I40" s="490"/>
    </row>
    <row r="41" spans="1:9" ht="14.25">
      <c r="A41" s="484"/>
      <c r="B41" s="485" t="s">
        <v>306</v>
      </c>
      <c r="D41" s="1303" t="s">
        <v>1092</v>
      </c>
      <c r="E41" s="1303"/>
      <c r="F41" s="1303"/>
      <c r="I41" s="490"/>
    </row>
    <row r="42" spans="1:9" ht="14.25">
      <c r="A42" s="484"/>
      <c r="B42" s="484"/>
      <c r="D42" s="1303"/>
      <c r="E42" s="1303"/>
      <c r="F42" s="1303"/>
      <c r="I42" s="490"/>
    </row>
    <row r="43" spans="1:9" ht="14.25">
      <c r="A43" s="484"/>
      <c r="B43" s="484"/>
      <c r="D43" s="1303"/>
      <c r="E43" s="1303"/>
      <c r="F43" s="1303"/>
      <c r="I43" s="490"/>
    </row>
    <row r="44" spans="1:9" ht="14.25">
      <c r="A44" s="484"/>
      <c r="B44" s="484"/>
      <c r="D44" s="1303"/>
      <c r="E44" s="1303"/>
      <c r="F44" s="1303"/>
      <c r="I44" s="490"/>
    </row>
    <row r="45" spans="1:9" ht="14.25">
      <c r="A45" s="484"/>
      <c r="B45" s="484"/>
      <c r="D45" s="1303"/>
      <c r="E45" s="1303"/>
      <c r="F45" s="1303"/>
      <c r="I45" s="490"/>
    </row>
    <row r="46" spans="1:9" ht="14.25">
      <c r="A46" s="484"/>
      <c r="B46" s="484"/>
      <c r="D46" s="445"/>
      <c r="E46" s="445"/>
      <c r="F46" s="445"/>
      <c r="I46" s="490"/>
    </row>
    <row r="47" spans="1:9" ht="14.25">
      <c r="A47" s="484"/>
      <c r="B47" s="485" t="s">
        <v>306</v>
      </c>
      <c r="D47" s="1303" t="s">
        <v>1093</v>
      </c>
      <c r="E47" s="1303"/>
      <c r="F47" s="1303"/>
      <c r="I47" s="490"/>
    </row>
    <row r="48" spans="1:9" ht="14.25">
      <c r="A48" s="484"/>
      <c r="B48" s="484"/>
      <c r="D48" s="1303"/>
      <c r="E48" s="1303"/>
      <c r="F48" s="1303"/>
      <c r="I48" s="490"/>
    </row>
    <row r="49" spans="1:9" ht="14.25">
      <c r="A49" s="484"/>
      <c r="B49" s="484"/>
      <c r="D49" s="1303"/>
      <c r="E49" s="1303"/>
      <c r="F49" s="1303"/>
      <c r="I49" s="490"/>
    </row>
    <row r="50" spans="1:9" ht="23.25" customHeight="1">
      <c r="A50" s="484"/>
      <c r="B50" s="484"/>
      <c r="D50" s="1303"/>
      <c r="E50" s="1303"/>
      <c r="F50" s="1303"/>
      <c r="I50" s="490"/>
    </row>
    <row r="51" spans="1:9" ht="14.25">
      <c r="A51" s="484"/>
      <c r="B51" s="484"/>
      <c r="D51" s="446"/>
      <c r="I51" s="490"/>
    </row>
    <row r="52" spans="1:9" ht="14.45" customHeight="1">
      <c r="A52" s="484"/>
      <c r="B52" s="485" t="s">
        <v>306</v>
      </c>
      <c r="D52" s="1303" t="s">
        <v>1094</v>
      </c>
      <c r="E52" s="1303"/>
      <c r="F52" s="1303"/>
      <c r="I52" s="490"/>
    </row>
    <row r="53" spans="1:9" ht="14.25">
      <c r="A53" s="484"/>
      <c r="B53" s="484"/>
      <c r="D53" s="1303"/>
      <c r="E53" s="1303"/>
      <c r="F53" s="1303"/>
      <c r="I53" s="490"/>
    </row>
    <row r="54" spans="1:9" ht="14.25">
      <c r="A54" s="484"/>
      <c r="B54" s="484"/>
      <c r="D54" s="1303"/>
      <c r="E54" s="1303"/>
      <c r="F54" s="1303"/>
      <c r="I54" s="490"/>
    </row>
    <row r="55" spans="1:9" ht="14.25">
      <c r="A55" s="484"/>
      <c r="B55" s="484"/>
      <c r="I55" s="490"/>
    </row>
    <row r="56" spans="1:9" ht="14.25">
      <c r="A56" s="484"/>
      <c r="B56" s="485" t="s">
        <v>306</v>
      </c>
      <c r="D56" s="1326" t="s">
        <v>1095</v>
      </c>
      <c r="E56" s="1326"/>
      <c r="F56" s="1326"/>
      <c r="I56" s="490"/>
    </row>
    <row r="57" spans="1:9" ht="14.25">
      <c r="A57" s="484"/>
      <c r="B57" s="484"/>
      <c r="D57" s="1326"/>
      <c r="E57" s="1326"/>
      <c r="F57" s="1326"/>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306</v>
      </c>
      <c r="D61" s="1303" t="s">
        <v>1096</v>
      </c>
      <c r="E61" s="1303"/>
      <c r="F61" s="1303"/>
      <c r="I61" s="490"/>
    </row>
    <row r="62" spans="1:9">
      <c r="D62" s="1303"/>
      <c r="E62" s="1303"/>
      <c r="F62" s="1303"/>
      <c r="I62" s="490"/>
    </row>
    <row r="63" spans="1:9">
      <c r="D63" s="1303"/>
      <c r="E63" s="1303"/>
      <c r="F63" s="1303"/>
      <c r="I63" s="490"/>
    </row>
    <row r="64" spans="1:9">
      <c r="I64" s="490"/>
    </row>
    <row r="65" spans="1:9" ht="14.25">
      <c r="A65" s="484"/>
      <c r="B65" s="485" t="s">
        <v>306</v>
      </c>
      <c r="D65" s="1303" t="s">
        <v>1097</v>
      </c>
      <c r="E65" s="1303"/>
      <c r="F65" s="1303"/>
      <c r="I65" s="490"/>
    </row>
    <row r="66" spans="1:9">
      <c r="D66" s="1303"/>
      <c r="E66" s="1303"/>
      <c r="F66" s="1303"/>
      <c r="I66" s="490"/>
    </row>
    <row r="67" spans="1:9">
      <c r="I67" s="490"/>
    </row>
    <row r="68" spans="1:9" ht="14.25">
      <c r="A68" s="484"/>
      <c r="B68" s="485" t="s">
        <v>306</v>
      </c>
      <c r="D68" s="1303" t="s">
        <v>1098</v>
      </c>
      <c r="E68" s="1303"/>
      <c r="F68" s="1303"/>
      <c r="I68" s="490"/>
    </row>
    <row r="69" spans="1:9">
      <c r="D69" s="1303"/>
      <c r="E69" s="1303"/>
      <c r="F69" s="1303"/>
      <c r="I69" s="490"/>
    </row>
    <row r="70" spans="1:9">
      <c r="D70" s="1303"/>
      <c r="E70" s="1303"/>
      <c r="F70" s="1303"/>
      <c r="I70" s="490"/>
    </row>
    <row r="71" spans="1:9">
      <c r="I71" s="490"/>
    </row>
    <row r="72" spans="1:9" ht="14.25">
      <c r="A72" s="484"/>
      <c r="B72" s="485" t="s">
        <v>306</v>
      </c>
      <c r="D72" s="1303" t="s">
        <v>1099</v>
      </c>
      <c r="E72" s="1303"/>
      <c r="F72" s="1303"/>
      <c r="I72" s="490"/>
    </row>
    <row r="73" spans="1:9">
      <c r="D73" s="1303"/>
      <c r="E73" s="1303"/>
      <c r="F73" s="1303"/>
      <c r="I73" s="490"/>
    </row>
    <row r="74" spans="1:9" ht="14.25">
      <c r="A74" s="484"/>
      <c r="B74" s="484"/>
      <c r="D74" s="446"/>
      <c r="I74" s="490"/>
    </row>
    <row r="75" spans="1:9">
      <c r="A75" s="1310" t="s">
        <v>1044</v>
      </c>
      <c r="B75" s="1310"/>
      <c r="C75" s="1310"/>
      <c r="D75" s="1310"/>
      <c r="E75" s="1310"/>
      <c r="F75" s="1310"/>
      <c r="G75" s="1310"/>
      <c r="H75" s="1028"/>
      <c r="I75" s="1153"/>
    </row>
    <row r="76" spans="1:9">
      <c r="I76" s="490"/>
    </row>
    <row r="77" spans="1:9">
      <c r="C77" s="486"/>
      <c r="D77" s="1319" t="s">
        <v>1102</v>
      </c>
      <c r="E77" s="1319"/>
      <c r="F77" s="1319"/>
      <c r="I77" s="490"/>
    </row>
    <row r="78" spans="1:9">
      <c r="A78" s="446"/>
      <c r="B78" s="446"/>
      <c r="D78" s="1303" t="s">
        <v>1117</v>
      </c>
      <c r="E78" s="1303"/>
      <c r="F78" s="1303"/>
      <c r="I78" s="490"/>
    </row>
    <row r="79" spans="1:9">
      <c r="A79" s="446"/>
      <c r="B79" s="446"/>
      <c r="I79" s="490"/>
    </row>
    <row r="80" spans="1:9" ht="13.7" customHeight="1">
      <c r="A80" s="484"/>
      <c r="B80" s="485" t="s">
        <v>306</v>
      </c>
      <c r="D80" s="1303" t="s">
        <v>1245</v>
      </c>
      <c r="E80" s="1303"/>
      <c r="F80" s="1303"/>
      <c r="I80" s="490"/>
    </row>
    <row r="81" spans="1:9" ht="14.25">
      <c r="A81" s="484"/>
      <c r="B81" s="484"/>
      <c r="D81" s="1303"/>
      <c r="E81" s="1303"/>
      <c r="F81" s="1303"/>
      <c r="I81" s="490"/>
    </row>
    <row r="82" spans="1:9" ht="14.25">
      <c r="A82" s="484"/>
      <c r="B82" s="484"/>
      <c r="D82" s="1303"/>
      <c r="E82" s="1303"/>
      <c r="F82" s="1303"/>
      <c r="I82" s="490"/>
    </row>
    <row r="83" spans="1:9" ht="14.25">
      <c r="A83" s="484"/>
      <c r="B83" s="484"/>
      <c r="D83" s="1303"/>
      <c r="E83" s="1303"/>
      <c r="F83" s="1303"/>
      <c r="I83" s="490"/>
    </row>
    <row r="84" spans="1:9" ht="14.25">
      <c r="A84" s="484"/>
      <c r="B84" s="484"/>
      <c r="D84" s="1303"/>
      <c r="E84" s="1303"/>
      <c r="F84" s="1303"/>
      <c r="I84" s="490"/>
    </row>
    <row r="85" spans="1:9" ht="14.25">
      <c r="A85" s="484"/>
      <c r="B85" s="484"/>
      <c r="D85" s="1303"/>
      <c r="E85" s="1303"/>
      <c r="F85" s="1303"/>
      <c r="I85" s="490"/>
    </row>
    <row r="86" spans="1:9" ht="14.25">
      <c r="A86" s="484"/>
      <c r="B86" s="484"/>
      <c r="D86" s="1303"/>
      <c r="E86" s="1303"/>
      <c r="F86" s="1303"/>
      <c r="I86" s="490"/>
    </row>
    <row r="87" spans="1:9" ht="14.25">
      <c r="A87" s="484"/>
      <c r="B87" s="484"/>
      <c r="D87" s="1303"/>
      <c r="E87" s="1303"/>
      <c r="F87" s="1303"/>
      <c r="I87" s="490"/>
    </row>
    <row r="88" spans="1:9" ht="14.25">
      <c r="A88" s="484"/>
      <c r="B88" s="484"/>
      <c r="D88" s="385"/>
      <c r="E88" s="385"/>
      <c r="F88" s="385"/>
      <c r="I88" s="490"/>
    </row>
    <row r="89" spans="1:9" ht="15" customHeight="1">
      <c r="A89" s="484"/>
      <c r="B89" s="485" t="s">
        <v>306</v>
      </c>
      <c r="D89" s="1303" t="s">
        <v>1742</v>
      </c>
      <c r="E89" s="1303"/>
      <c r="F89" s="1303"/>
      <c r="I89" s="490"/>
    </row>
    <row r="90" spans="1:9" ht="14.25">
      <c r="A90" s="484"/>
      <c r="B90" s="484"/>
      <c r="D90" s="1303"/>
      <c r="E90" s="1303"/>
      <c r="F90" s="1303"/>
      <c r="I90" s="490"/>
    </row>
    <row r="91" spans="1:9" ht="14.25">
      <c r="A91" s="484"/>
      <c r="B91" s="484"/>
      <c r="D91" s="445"/>
      <c r="E91" s="445"/>
      <c r="F91" s="445"/>
      <c r="I91" s="490"/>
    </row>
    <row r="92" spans="1:9" ht="14.25">
      <c r="A92" s="484"/>
      <c r="B92" s="485" t="s">
        <v>306</v>
      </c>
      <c r="D92" s="1303" t="s">
        <v>1745</v>
      </c>
      <c r="E92" s="1303"/>
      <c r="F92" s="1303"/>
      <c r="I92" s="490"/>
    </row>
    <row r="93" spans="1:9" ht="14.25">
      <c r="A93" s="484"/>
      <c r="B93" s="484"/>
      <c r="D93" s="1303"/>
      <c r="E93" s="1303"/>
      <c r="F93" s="1303"/>
      <c r="I93" s="490"/>
    </row>
    <row r="94" spans="1:9" ht="14.25">
      <c r="A94" s="484"/>
      <c r="B94" s="484"/>
      <c r="D94" s="1303"/>
      <c r="E94" s="1303"/>
      <c r="F94" s="1303"/>
      <c r="I94" s="490"/>
    </row>
    <row r="95" spans="1:9" ht="14.25">
      <c r="A95" s="484"/>
      <c r="B95" s="484"/>
      <c r="D95" s="445"/>
      <c r="E95" s="445"/>
      <c r="F95" s="445"/>
      <c r="I95" s="490"/>
    </row>
    <row r="96" spans="1:9" ht="14.25">
      <c r="A96" s="484"/>
      <c r="B96" s="485" t="s">
        <v>306</v>
      </c>
      <c r="D96" s="1303" t="s">
        <v>1744</v>
      </c>
      <c r="E96" s="1303"/>
      <c r="F96" s="1303"/>
      <c r="I96" s="490"/>
    </row>
    <row r="97" spans="1:9" s="987" customFormat="1" ht="14.25">
      <c r="A97" s="985"/>
      <c r="B97" s="985"/>
      <c r="C97" s="986"/>
      <c r="D97" s="1303"/>
      <c r="E97" s="1303"/>
      <c r="F97" s="1303"/>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306</v>
      </c>
      <c r="D100" s="1303" t="s">
        <v>1743</v>
      </c>
      <c r="E100" s="1303"/>
      <c r="F100" s="1303"/>
      <c r="I100" s="490"/>
    </row>
    <row r="101" spans="1:9" ht="14.25">
      <c r="A101" s="484"/>
      <c r="B101" s="484"/>
      <c r="D101" s="1303"/>
      <c r="E101" s="1303"/>
      <c r="F101" s="1303"/>
      <c r="I101" s="490"/>
    </row>
    <row r="102" spans="1:9" ht="14.25">
      <c r="A102" s="484"/>
      <c r="B102" s="484"/>
      <c r="D102" s="445"/>
      <c r="E102" s="445"/>
      <c r="F102" s="445"/>
      <c r="I102" s="490"/>
    </row>
    <row r="103" spans="1:9" ht="14.45" customHeight="1">
      <c r="A103" s="484"/>
      <c r="B103" s="485" t="s">
        <v>306</v>
      </c>
      <c r="D103" s="1303" t="s">
        <v>1194</v>
      </c>
      <c r="E103" s="1303"/>
      <c r="F103" s="1303"/>
      <c r="I103" s="490"/>
    </row>
    <row r="104" spans="1:9" ht="14.25">
      <c r="A104" s="484"/>
      <c r="B104" s="484"/>
      <c r="D104" s="1303"/>
      <c r="E104" s="1303"/>
      <c r="F104" s="1303"/>
      <c r="I104" s="490"/>
    </row>
    <row r="105" spans="1:9" ht="14.25">
      <c r="A105" s="484"/>
      <c r="B105" s="484"/>
      <c r="D105" s="1303"/>
      <c r="E105" s="1303"/>
      <c r="F105" s="1303"/>
      <c r="I105" s="490"/>
    </row>
    <row r="106" spans="1:9" ht="14.25">
      <c r="A106" s="484"/>
      <c r="B106" s="484"/>
      <c r="D106" s="1303"/>
      <c r="E106" s="1303"/>
      <c r="F106" s="1303"/>
      <c r="I106" s="490"/>
    </row>
    <row r="107" spans="1:9" ht="14.25">
      <c r="A107" s="484"/>
      <c r="B107" s="484"/>
      <c r="D107" s="1303"/>
      <c r="E107" s="1303"/>
      <c r="F107" s="1303"/>
      <c r="I107" s="490"/>
    </row>
    <row r="108" spans="1:9" ht="14.25">
      <c r="A108" s="484"/>
      <c r="B108" s="484"/>
      <c r="D108" s="1303"/>
      <c r="E108" s="1303"/>
      <c r="F108" s="1303"/>
      <c r="I108" s="490"/>
    </row>
    <row r="109" spans="1:9" ht="14.25">
      <c r="A109" s="484"/>
      <c r="B109" s="484"/>
      <c r="D109" s="1303"/>
      <c r="E109" s="1303"/>
      <c r="F109" s="1303"/>
      <c r="I109" s="490"/>
    </row>
    <row r="110" spans="1:9" ht="14.25">
      <c r="A110" s="484"/>
      <c r="B110" s="484"/>
      <c r="D110" s="1303"/>
      <c r="E110" s="1303"/>
      <c r="F110" s="1303"/>
      <c r="I110" s="490"/>
    </row>
    <row r="111" spans="1:9" ht="14.25">
      <c r="A111" s="484"/>
      <c r="B111" s="484"/>
      <c r="D111" s="1303"/>
      <c r="E111" s="1303"/>
      <c r="F111" s="1303"/>
      <c r="I111" s="490"/>
    </row>
    <row r="112" spans="1:9" ht="14.25">
      <c r="A112" s="484"/>
      <c r="B112" s="484"/>
      <c r="D112" s="1303"/>
      <c r="E112" s="1303"/>
      <c r="F112" s="1303"/>
      <c r="I112" s="490"/>
    </row>
    <row r="113" spans="1:9" ht="14.25">
      <c r="A113" s="484"/>
      <c r="B113" s="484"/>
      <c r="D113" s="1303"/>
      <c r="E113" s="1303"/>
      <c r="F113" s="1303"/>
      <c r="I113" s="490"/>
    </row>
    <row r="114" spans="1:9" ht="14.25">
      <c r="A114" s="484"/>
      <c r="B114" s="484"/>
      <c r="D114" s="1303"/>
      <c r="E114" s="1303"/>
      <c r="F114" s="1303"/>
      <c r="I114" s="490"/>
    </row>
    <row r="115" spans="1:9" ht="14.25">
      <c r="A115" s="484"/>
      <c r="B115" s="484"/>
      <c r="D115" s="1303"/>
      <c r="E115" s="1303"/>
      <c r="F115" s="1303"/>
      <c r="I115" s="490"/>
    </row>
    <row r="116" spans="1:9" ht="14.25">
      <c r="A116" s="484"/>
      <c r="B116" s="484"/>
      <c r="D116" s="1303"/>
      <c r="E116" s="1303"/>
      <c r="F116" s="1303"/>
      <c r="I116" s="490"/>
    </row>
    <row r="117" spans="1:9" ht="14.25">
      <c r="A117" s="484"/>
      <c r="B117" s="484"/>
      <c r="D117" s="1303"/>
      <c r="E117" s="1303"/>
      <c r="F117" s="1303"/>
      <c r="I117" s="490"/>
    </row>
    <row r="118" spans="1:9" ht="14.25">
      <c r="A118" s="484"/>
      <c r="B118" s="484"/>
      <c r="D118" s="524"/>
      <c r="E118" s="524"/>
      <c r="F118" s="524"/>
      <c r="I118" s="490"/>
    </row>
    <row r="119" spans="1:9" ht="14.25" customHeight="1">
      <c r="A119" s="484"/>
      <c r="B119" s="485" t="s">
        <v>306</v>
      </c>
      <c r="D119" s="1325" t="s">
        <v>1103</v>
      </c>
      <c r="E119" s="1325"/>
      <c r="F119" s="1325"/>
      <c r="I119" s="490"/>
    </row>
    <row r="120" spans="1:9" ht="14.25">
      <c r="A120" s="484"/>
      <c r="B120" s="484"/>
      <c r="D120" s="1325"/>
      <c r="E120" s="1325"/>
      <c r="F120" s="1325"/>
      <c r="I120" s="490"/>
    </row>
    <row r="121" spans="1:9" ht="14.25">
      <c r="A121" s="484"/>
      <c r="B121" s="484"/>
      <c r="D121" s="1325"/>
      <c r="E121" s="1325"/>
      <c r="F121" s="1325"/>
      <c r="I121" s="490"/>
    </row>
    <row r="122" spans="1:9" ht="14.25">
      <c r="A122" s="484"/>
      <c r="B122" s="484"/>
      <c r="D122" s="1325"/>
      <c r="E122" s="1325"/>
      <c r="F122" s="1325"/>
      <c r="I122" s="490"/>
    </row>
    <row r="123" spans="1:9" ht="14.25">
      <c r="A123" s="484"/>
      <c r="B123" s="484"/>
      <c r="D123" s="1325"/>
      <c r="E123" s="1325"/>
      <c r="F123" s="1325"/>
      <c r="I123" s="490"/>
    </row>
    <row r="124" spans="1:9" ht="14.25">
      <c r="A124" s="484"/>
      <c r="B124" s="484"/>
      <c r="D124" s="1325"/>
      <c r="E124" s="1325"/>
      <c r="F124" s="1325"/>
      <c r="I124" s="490"/>
    </row>
    <row r="125" spans="1:9" ht="14.25">
      <c r="A125" s="484"/>
      <c r="B125" s="484"/>
      <c r="D125" s="1325"/>
      <c r="E125" s="1325"/>
      <c r="F125" s="1325"/>
      <c r="I125" s="490"/>
    </row>
    <row r="126" spans="1:9" ht="14.25">
      <c r="A126" s="484"/>
      <c r="B126" s="484"/>
      <c r="D126" s="1325"/>
      <c r="E126" s="1325"/>
      <c r="F126" s="1325"/>
      <c r="I126" s="490"/>
    </row>
    <row r="127" spans="1:9">
      <c r="C127" s="402"/>
      <c r="D127" s="525"/>
      <c r="E127" s="525"/>
      <c r="F127" s="525"/>
      <c r="I127" s="490"/>
    </row>
    <row r="128" spans="1:9" ht="14.25">
      <c r="A128" s="484"/>
      <c r="B128" s="485" t="s">
        <v>306</v>
      </c>
      <c r="C128" s="402"/>
      <c r="D128" s="1325" t="s">
        <v>2050</v>
      </c>
      <c r="E128" s="1325"/>
      <c r="F128" s="1325"/>
      <c r="I128" s="490"/>
    </row>
    <row r="129" spans="1:9" ht="14.25">
      <c r="A129" s="484"/>
      <c r="B129" s="484"/>
      <c r="C129" s="402"/>
      <c r="D129" s="1325"/>
      <c r="E129" s="1325"/>
      <c r="F129" s="1325"/>
      <c r="I129" s="490"/>
    </row>
    <row r="130" spans="1:9">
      <c r="I130" s="490"/>
    </row>
    <row r="131" spans="1:9" ht="14.25">
      <c r="A131" s="484"/>
      <c r="B131" s="485" t="s">
        <v>306</v>
      </c>
      <c r="D131" s="1303" t="s">
        <v>1104</v>
      </c>
      <c r="E131" s="1303"/>
      <c r="F131" s="1303"/>
      <c r="I131" s="490"/>
    </row>
    <row r="132" spans="1:9">
      <c r="D132" s="1303"/>
      <c r="E132" s="1303"/>
      <c r="F132" s="1303"/>
      <c r="I132" s="490"/>
    </row>
    <row r="133" spans="1:9">
      <c r="D133" s="1303"/>
      <c r="E133" s="1303"/>
      <c r="F133" s="1303"/>
      <c r="I133" s="490"/>
    </row>
    <row r="134" spans="1:9">
      <c r="D134" s="1303"/>
      <c r="E134" s="1303"/>
      <c r="F134" s="1303"/>
      <c r="I134" s="490"/>
    </row>
    <row r="135" spans="1:9">
      <c r="D135" s="1303"/>
      <c r="E135" s="1303"/>
      <c r="F135" s="1303"/>
      <c r="I135" s="490"/>
    </row>
    <row r="136" spans="1:9">
      <c r="I136" s="490"/>
    </row>
    <row r="137" spans="1:9" ht="14.25">
      <c r="A137" s="484"/>
      <c r="B137" s="485" t="s">
        <v>306</v>
      </c>
      <c r="D137" s="1303" t="s">
        <v>1105</v>
      </c>
      <c r="E137" s="1303"/>
      <c r="F137" s="1303"/>
      <c r="I137" s="490"/>
    </row>
    <row r="138" spans="1:9" s="417" customFormat="1" ht="13.7" customHeight="1">
      <c r="A138" s="488"/>
      <c r="B138" s="488"/>
      <c r="C138" s="488"/>
      <c r="D138" s="1303"/>
      <c r="E138" s="1303"/>
      <c r="F138" s="1303"/>
      <c r="I138" s="1155"/>
    </row>
    <row r="139" spans="1:9" ht="13.7" customHeight="1">
      <c r="D139" s="1303"/>
      <c r="E139" s="1303"/>
      <c r="F139" s="1303"/>
      <c r="I139" s="490"/>
    </row>
    <row r="140" spans="1:9" ht="13.7" customHeight="1">
      <c r="D140" s="1303"/>
      <c r="E140" s="1303"/>
      <c r="F140" s="1303"/>
      <c r="I140" s="490"/>
    </row>
    <row r="141" spans="1:9" ht="13.7" customHeight="1">
      <c r="D141" s="1303"/>
      <c r="E141" s="1303"/>
      <c r="F141" s="1303"/>
      <c r="I141" s="490"/>
    </row>
    <row r="142" spans="1:9" ht="13.7" customHeight="1">
      <c r="A142" s="489"/>
      <c r="B142" s="489"/>
      <c r="D142" s="1303"/>
      <c r="E142" s="1303"/>
      <c r="F142" s="1303"/>
      <c r="I142" s="490"/>
    </row>
    <row r="143" spans="1:9" ht="13.7" customHeight="1">
      <c r="D143" s="1303"/>
      <c r="E143" s="1303"/>
      <c r="F143" s="1303"/>
      <c r="I143" s="490"/>
    </row>
    <row r="144" spans="1:9" ht="13.7" customHeight="1">
      <c r="D144" s="1303"/>
      <c r="E144" s="1303"/>
      <c r="F144" s="1303"/>
      <c r="I144" s="490"/>
    </row>
    <row r="145" spans="2:9" ht="13.7" customHeight="1">
      <c r="D145" s="1303"/>
      <c r="E145" s="1303"/>
      <c r="F145" s="1303"/>
      <c r="I145" s="490"/>
    </row>
    <row r="146" spans="2:9" ht="13.7" customHeight="1">
      <c r="D146" s="1303"/>
      <c r="E146" s="1303"/>
      <c r="F146" s="1303"/>
      <c r="I146" s="490"/>
    </row>
    <row r="147" spans="2:9" ht="13.7" customHeight="1">
      <c r="D147" s="1303"/>
      <c r="E147" s="1303"/>
      <c r="F147" s="1303"/>
      <c r="I147" s="490"/>
    </row>
    <row r="148" spans="2:9" ht="13.7" customHeight="1">
      <c r="D148" s="1303"/>
      <c r="E148" s="1303"/>
      <c r="F148" s="1303"/>
      <c r="I148" s="490"/>
    </row>
    <row r="149" spans="2:9" ht="13.7" customHeight="1">
      <c r="D149" s="1303"/>
      <c r="E149" s="1303"/>
      <c r="F149" s="1303"/>
      <c r="I149" s="490"/>
    </row>
    <row r="150" spans="2:9" ht="13.7" customHeight="1">
      <c r="D150" s="476"/>
      <c r="E150" s="446"/>
      <c r="F150" s="446"/>
      <c r="I150" s="490"/>
    </row>
    <row r="151" spans="2:9" ht="13.7" customHeight="1">
      <c r="B151" s="485" t="s">
        <v>306</v>
      </c>
      <c r="D151" s="1303" t="s">
        <v>1177</v>
      </c>
      <c r="E151" s="1303"/>
      <c r="F151" s="1303"/>
      <c r="I151" s="490"/>
    </row>
    <row r="152" spans="2:9" ht="13.7" customHeight="1">
      <c r="D152" s="1303"/>
      <c r="E152" s="1303"/>
      <c r="F152" s="1303"/>
      <c r="I152" s="490"/>
    </row>
    <row r="153" spans="2:9" ht="13.7" customHeight="1">
      <c r="D153" s="1303"/>
      <c r="E153" s="1303"/>
      <c r="F153" s="1303"/>
      <c r="I153" s="490"/>
    </row>
    <row r="154" spans="2:9" ht="13.7" customHeight="1">
      <c r="D154" s="1303"/>
      <c r="E154" s="1303"/>
      <c r="F154" s="1303"/>
      <c r="I154" s="490"/>
    </row>
    <row r="155" spans="2:9" ht="13.7" customHeight="1">
      <c r="D155" s="1303"/>
      <c r="E155" s="1303"/>
      <c r="F155" s="1303"/>
      <c r="I155" s="490"/>
    </row>
    <row r="156" spans="2:9" ht="13.7" customHeight="1">
      <c r="D156" s="1303"/>
      <c r="E156" s="1303"/>
      <c r="F156" s="1303"/>
      <c r="I156" s="490"/>
    </row>
    <row r="157" spans="2:9" ht="13.7" customHeight="1">
      <c r="D157" s="1303"/>
      <c r="E157" s="1303"/>
      <c r="F157" s="1303"/>
      <c r="I157" s="490"/>
    </row>
    <row r="158" spans="2:9" ht="13.7" customHeight="1">
      <c r="D158" s="1303"/>
      <c r="E158" s="1303"/>
      <c r="F158" s="1303"/>
      <c r="I158" s="490"/>
    </row>
    <row r="159" spans="2:9" ht="13.7" customHeight="1">
      <c r="D159" s="1303"/>
      <c r="E159" s="1303"/>
      <c r="F159" s="1303"/>
      <c r="I159" s="490"/>
    </row>
    <row r="160" spans="2:9" ht="13.7" customHeight="1">
      <c r="D160" s="1303"/>
      <c r="E160" s="1303"/>
      <c r="F160" s="1303"/>
      <c r="I160" s="490"/>
    </row>
    <row r="161" spans="1:9" ht="13.7" customHeight="1">
      <c r="D161" s="1303"/>
      <c r="E161" s="1303"/>
      <c r="F161" s="1303"/>
      <c r="I161" s="490"/>
    </row>
    <row r="162" spans="1:9" ht="13.7" customHeight="1">
      <c r="D162" s="1303"/>
      <c r="E162" s="1303"/>
      <c r="F162" s="1303"/>
      <c r="I162" s="490"/>
    </row>
    <row r="163" spans="1:9" ht="13.7" customHeight="1">
      <c r="D163" s="1303"/>
      <c r="E163" s="1303"/>
      <c r="F163" s="1303"/>
      <c r="I163" s="490"/>
    </row>
    <row r="164" spans="1:9" ht="13.7" customHeight="1">
      <c r="D164" s="1303"/>
      <c r="E164" s="1303"/>
      <c r="F164" s="1303"/>
      <c r="I164" s="490"/>
    </row>
    <row r="165" spans="1:9" ht="13.7" customHeight="1">
      <c r="D165" s="1303"/>
      <c r="E165" s="1303"/>
      <c r="F165" s="1303"/>
      <c r="I165" s="490"/>
    </row>
    <row r="166" spans="1:9" ht="13.7" customHeight="1">
      <c r="D166" s="1303"/>
      <c r="E166" s="1303"/>
      <c r="F166" s="1303"/>
      <c r="I166" s="490"/>
    </row>
    <row r="167" spans="1:9" ht="13.7" customHeight="1">
      <c r="D167" s="1303"/>
      <c r="E167" s="1303"/>
      <c r="F167" s="1303"/>
      <c r="I167" s="490"/>
    </row>
    <row r="168" spans="1:9" ht="13.7" customHeight="1">
      <c r="D168" s="1303"/>
      <c r="E168" s="1303"/>
      <c r="F168" s="1303"/>
      <c r="I168" s="490"/>
    </row>
    <row r="169" spans="1:9" ht="13.7" customHeight="1">
      <c r="D169" s="1322" t="s">
        <v>2073</v>
      </c>
      <c r="E169" s="1322"/>
      <c r="F169" s="1322"/>
      <c r="G169" s="507"/>
      <c r="I169" s="490"/>
    </row>
    <row r="170" spans="1:9" ht="13.7" customHeight="1">
      <c r="D170" s="1320"/>
      <c r="E170" s="1320"/>
      <c r="F170" s="1320"/>
      <c r="G170" s="1320"/>
      <c r="I170" s="490"/>
    </row>
    <row r="171" spans="1:9" ht="14.45" customHeight="1">
      <c r="A171" s="489"/>
      <c r="B171" s="485" t="s">
        <v>306</v>
      </c>
      <c r="C171" s="476"/>
      <c r="D171" s="1274" t="s">
        <v>2213</v>
      </c>
      <c r="E171" s="1274"/>
      <c r="F171" s="1274"/>
      <c r="G171" s="476"/>
      <c r="I171" s="490"/>
    </row>
    <row r="172" spans="1:9" ht="14.45" customHeight="1">
      <c r="A172" s="489"/>
      <c r="B172" s="489"/>
      <c r="C172" s="476"/>
      <c r="D172" s="1274"/>
      <c r="E172" s="1274"/>
      <c r="F172" s="1274"/>
      <c r="G172" s="476"/>
      <c r="I172" s="490"/>
    </row>
    <row r="173" spans="1:9" ht="14.45" customHeight="1">
      <c r="A173" s="489"/>
      <c r="B173" s="489"/>
      <c r="C173" s="476"/>
      <c r="D173" s="1274"/>
      <c r="E173" s="1274"/>
      <c r="F173" s="1274"/>
      <c r="G173" s="476"/>
      <c r="I173" s="490"/>
    </row>
    <row r="174" spans="1:9" ht="14.45" customHeight="1">
      <c r="A174" s="489"/>
      <c r="B174" s="489"/>
      <c r="C174" s="476"/>
      <c r="D174" s="1274"/>
      <c r="E174" s="1274"/>
      <c r="F174" s="1274"/>
      <c r="G174" s="476"/>
      <c r="I174" s="490"/>
    </row>
    <row r="175" spans="1:9" ht="13.7" customHeight="1">
      <c r="A175" s="489"/>
      <c r="B175" s="489"/>
      <c r="C175" s="476"/>
      <c r="D175" s="1274"/>
      <c r="E175" s="1274"/>
      <c r="F175" s="1274"/>
      <c r="G175" s="476"/>
      <c r="I175" s="490"/>
    </row>
    <row r="176" spans="1:9" ht="13.7" customHeight="1">
      <c r="A176" s="489"/>
      <c r="B176" s="489"/>
      <c r="C176" s="476"/>
      <c r="D176" s="476"/>
      <c r="E176" s="476"/>
      <c r="F176" s="476"/>
      <c r="G176" s="476"/>
      <c r="I176" s="490"/>
    </row>
    <row r="177" spans="1:9" ht="13.7" customHeight="1">
      <c r="A177" s="489"/>
      <c r="B177" s="485" t="s">
        <v>306</v>
      </c>
      <c r="C177" s="476"/>
      <c r="D177" s="1274" t="s">
        <v>1106</v>
      </c>
      <c r="E177" s="1274"/>
      <c r="F177" s="1274"/>
      <c r="G177" s="476"/>
      <c r="I177" s="490"/>
    </row>
    <row r="178" spans="1:9" ht="13.7" customHeight="1">
      <c r="A178" s="489"/>
      <c r="B178" s="489"/>
      <c r="C178" s="476"/>
      <c r="D178" s="1274"/>
      <c r="E178" s="1274"/>
      <c r="F178" s="1274"/>
      <c r="G178" s="476"/>
      <c r="I178" s="490"/>
    </row>
    <row r="179" spans="1:9" ht="13.7" customHeight="1">
      <c r="A179" s="489"/>
      <c r="B179" s="489"/>
      <c r="C179" s="476"/>
      <c r="D179" s="1274"/>
      <c r="E179" s="1274"/>
      <c r="F179" s="1274"/>
      <c r="G179" s="476"/>
      <c r="I179" s="490"/>
    </row>
    <row r="180" spans="1:9" ht="13.7" customHeight="1">
      <c r="A180" s="489"/>
      <c r="B180" s="489"/>
      <c r="C180" s="476"/>
      <c r="D180" s="1274"/>
      <c r="E180" s="1274"/>
      <c r="F180" s="1274"/>
      <c r="G180" s="476"/>
      <c r="I180" s="490"/>
    </row>
    <row r="181" spans="1:9" ht="13.7" customHeight="1">
      <c r="D181" s="446"/>
      <c r="E181" s="446"/>
      <c r="F181" s="446"/>
      <c r="I181" s="490"/>
    </row>
    <row r="182" spans="1:9" ht="13.7" customHeight="1">
      <c r="B182" s="485" t="s">
        <v>306</v>
      </c>
      <c r="D182" s="1315" t="s">
        <v>2051</v>
      </c>
      <c r="E182" s="1315"/>
      <c r="F182" s="1315"/>
      <c r="I182" s="490"/>
    </row>
    <row r="183" spans="1:9" ht="13.7" customHeight="1">
      <c r="D183" s="1315"/>
      <c r="E183" s="1315"/>
      <c r="F183" s="1315"/>
      <c r="I183" s="490"/>
    </row>
    <row r="184" spans="1:9" ht="13.7" customHeight="1">
      <c r="D184" s="1315"/>
      <c r="E184" s="1315"/>
      <c r="F184" s="1315"/>
      <c r="I184" s="490"/>
    </row>
    <row r="185" spans="1:9" ht="13.7" customHeight="1">
      <c r="A185" s="490"/>
      <c r="B185" s="490"/>
      <c r="E185" s="446"/>
      <c r="F185" s="446"/>
      <c r="I185" s="490"/>
    </row>
    <row r="186" spans="1:9">
      <c r="A186" s="1310" t="s">
        <v>2052</v>
      </c>
      <c r="B186" s="1310"/>
      <c r="C186" s="1310"/>
      <c r="D186" s="1310"/>
      <c r="E186" s="1310"/>
      <c r="F186" s="1310"/>
      <c r="G186" s="1310"/>
      <c r="H186" s="1028"/>
      <c r="I186" s="1153"/>
    </row>
    <row r="187" spans="1:9" ht="12" customHeight="1">
      <c r="D187" s="446"/>
      <c r="E187" s="446"/>
      <c r="F187" s="446"/>
      <c r="I187" s="490"/>
    </row>
    <row r="188" spans="1:9">
      <c r="B188" s="1305" t="s">
        <v>446</v>
      </c>
      <c r="C188" s="1305"/>
      <c r="D188" s="1305"/>
      <c r="E188" s="1305"/>
      <c r="F188" s="1305"/>
      <c r="I188" s="490"/>
    </row>
    <row r="189" spans="1:9">
      <c r="B189" s="392" t="s">
        <v>1875</v>
      </c>
      <c r="C189" s="392"/>
      <c r="D189" s="392"/>
      <c r="E189" s="392"/>
      <c r="F189" s="392"/>
      <c r="I189" s="490"/>
    </row>
    <row r="190" spans="1:9" ht="12" customHeight="1">
      <c r="A190" s="482"/>
      <c r="B190" s="482"/>
      <c r="C190" s="482"/>
      <c r="I190" s="490"/>
    </row>
    <row r="191" spans="1:9">
      <c r="A191" s="1310" t="s">
        <v>1045</v>
      </c>
      <c r="B191" s="1310"/>
      <c r="C191" s="1310"/>
      <c r="D191" s="1310"/>
      <c r="E191" s="1310"/>
      <c r="F191" s="1310"/>
      <c r="G191" s="1310"/>
      <c r="H191" s="1028"/>
      <c r="I191" s="1153"/>
    </row>
    <row r="192" spans="1:9" ht="12" customHeight="1">
      <c r="A192" s="404"/>
      <c r="B192" s="404"/>
      <c r="E192" s="404"/>
      <c r="I192" s="490"/>
    </row>
    <row r="193" spans="1:9" ht="13.7" customHeight="1">
      <c r="A193" s="404"/>
      <c r="B193" s="404"/>
      <c r="D193" s="1319" t="s">
        <v>1746</v>
      </c>
      <c r="E193" s="1319"/>
      <c r="F193" s="1319"/>
      <c r="I193" s="490"/>
    </row>
    <row r="194" spans="1:9">
      <c r="A194" s="404"/>
      <c r="B194" s="404"/>
      <c r="D194" s="1319"/>
      <c r="E194" s="1319"/>
      <c r="F194" s="1319"/>
      <c r="I194" s="490"/>
    </row>
    <row r="195" spans="1:9">
      <c r="A195" s="404"/>
      <c r="B195" s="404"/>
      <c r="D195" s="1305" t="s">
        <v>1195</v>
      </c>
      <c r="E195" s="1305"/>
      <c r="F195" s="1305"/>
      <c r="I195" s="490"/>
    </row>
    <row r="196" spans="1:9">
      <c r="A196" s="404"/>
      <c r="B196" s="404"/>
      <c r="D196" s="392"/>
      <c r="E196" s="392"/>
      <c r="F196" s="392"/>
      <c r="I196" s="490"/>
    </row>
    <row r="197" spans="1:9">
      <c r="A197" s="404"/>
      <c r="B197" s="485" t="s">
        <v>306</v>
      </c>
      <c r="D197" s="1290" t="s">
        <v>1747</v>
      </c>
      <c r="E197" s="1290"/>
      <c r="F197" s="1290"/>
      <c r="I197" s="490"/>
    </row>
    <row r="198" spans="1:9">
      <c r="A198" s="404"/>
      <c r="B198" s="404"/>
      <c r="D198" s="1289" t="s">
        <v>1902</v>
      </c>
      <c r="E198" s="1289"/>
      <c r="F198" s="1289"/>
      <c r="I198" s="490"/>
    </row>
    <row r="199" spans="1:9">
      <c r="A199" s="404"/>
      <c r="B199" s="404"/>
      <c r="D199" s="96" t="s">
        <v>1748</v>
      </c>
      <c r="E199" s="1327" t="s">
        <v>1925</v>
      </c>
      <c r="F199" s="1327"/>
      <c r="I199" s="490"/>
    </row>
    <row r="200" spans="1:9">
      <c r="A200" s="404"/>
      <c r="B200" s="404"/>
      <c r="D200" s="3"/>
      <c r="E200" s="3"/>
      <c r="F200" s="3"/>
      <c r="I200" s="490"/>
    </row>
    <row r="201" spans="1:9">
      <c r="A201" s="404"/>
      <c r="B201" s="485" t="s">
        <v>306</v>
      </c>
      <c r="D201" s="1289" t="s">
        <v>1749</v>
      </c>
      <c r="E201" s="1289"/>
      <c r="F201" s="1289"/>
      <c r="I201" s="490"/>
    </row>
    <row r="202" spans="1:9">
      <c r="A202" s="404"/>
      <c r="B202" s="404"/>
      <c r="D202" s="1290" t="s">
        <v>1902</v>
      </c>
      <c r="E202" s="1290"/>
      <c r="F202" s="1290"/>
      <c r="I202" s="490"/>
    </row>
    <row r="203" spans="1:9">
      <c r="A203" s="404"/>
      <c r="B203" s="404"/>
      <c r="D203" s="57" t="s">
        <v>1750</v>
      </c>
      <c r="E203" s="1327" t="s">
        <v>1926</v>
      </c>
      <c r="F203" s="1327"/>
      <c r="I203" s="490"/>
    </row>
    <row r="204" spans="1:9">
      <c r="A204" s="404"/>
      <c r="B204" s="404"/>
      <c r="D204" s="3"/>
      <c r="E204" s="3"/>
      <c r="F204" s="3"/>
      <c r="I204" s="490"/>
    </row>
    <row r="205" spans="1:9">
      <c r="A205" s="404"/>
      <c r="B205" s="485" t="s">
        <v>306</v>
      </c>
      <c r="D205" s="1289" t="s">
        <v>1751</v>
      </c>
      <c r="E205" s="1289"/>
      <c r="F205" s="1289"/>
      <c r="I205" s="490"/>
    </row>
    <row r="206" spans="1:9">
      <c r="A206" s="404"/>
      <c r="B206" s="404"/>
      <c r="D206" s="1290" t="s">
        <v>1902</v>
      </c>
      <c r="E206" s="1290"/>
      <c r="F206" s="1290"/>
      <c r="I206" s="490"/>
    </row>
    <row r="207" spans="1:9">
      <c r="A207" s="404"/>
      <c r="B207" s="404"/>
      <c r="D207" s="57" t="s">
        <v>1748</v>
      </c>
      <c r="E207" s="1327" t="s">
        <v>1927</v>
      </c>
      <c r="F207" s="1327"/>
      <c r="I207" s="490"/>
    </row>
    <row r="208" spans="1:9">
      <c r="A208" s="404"/>
      <c r="B208" s="404"/>
      <c r="D208" s="392"/>
      <c r="E208" s="392"/>
      <c r="F208" s="392"/>
      <c r="I208" s="490"/>
    </row>
    <row r="209" spans="1:9" ht="14.25" customHeight="1">
      <c r="A209" s="484"/>
      <c r="B209" s="485" t="s">
        <v>306</v>
      </c>
      <c r="D209" s="386" t="s">
        <v>1895</v>
      </c>
      <c r="E209" s="385"/>
      <c r="F209" s="385"/>
      <c r="I209" s="490"/>
    </row>
    <row r="210" spans="1:9" ht="14.25">
      <c r="A210" s="484"/>
      <c r="B210" s="484"/>
      <c r="D210" s="1290" t="s">
        <v>1902</v>
      </c>
      <c r="E210" s="1290"/>
      <c r="F210" s="1290"/>
      <c r="I210" s="490"/>
    </row>
    <row r="211" spans="1:9">
      <c r="D211" s="385"/>
      <c r="E211" s="1327" t="s">
        <v>1928</v>
      </c>
      <c r="F211" s="1327"/>
      <c r="I211" s="490"/>
    </row>
    <row r="212" spans="1:9">
      <c r="D212" s="447"/>
      <c r="I212" s="490"/>
    </row>
    <row r="213" spans="1:9">
      <c r="B213" s="485" t="s">
        <v>306</v>
      </c>
      <c r="D213" s="1289" t="s">
        <v>1752</v>
      </c>
      <c r="E213" s="1289"/>
      <c r="F213" s="1289"/>
      <c r="I213" s="490"/>
    </row>
    <row r="214" spans="1:9">
      <c r="D214" s="1290" t="s">
        <v>1902</v>
      </c>
      <c r="E214" s="1290"/>
      <c r="F214" s="1290"/>
      <c r="I214" s="490"/>
    </row>
    <row r="215" spans="1:9">
      <c r="D215" s="57" t="s">
        <v>1748</v>
      </c>
      <c r="E215" s="1327" t="s">
        <v>1929</v>
      </c>
      <c r="F215" s="1327"/>
      <c r="I215" s="490"/>
    </row>
    <row r="216" spans="1:9">
      <c r="D216" s="451"/>
      <c r="E216" s="451"/>
      <c r="F216" s="451"/>
      <c r="I216" s="490"/>
    </row>
    <row r="217" spans="1:9" ht="14.25">
      <c r="A217" s="484"/>
      <c r="B217" s="485" t="s">
        <v>306</v>
      </c>
      <c r="D217" s="1303" t="s">
        <v>1216</v>
      </c>
      <c r="E217" s="1303"/>
      <c r="F217" s="1303"/>
      <c r="I217" s="490"/>
    </row>
    <row r="218" spans="1:9" ht="14.45" customHeight="1">
      <c r="A218" s="484"/>
      <c r="B218" s="402"/>
      <c r="D218" s="1303"/>
      <c r="E218" s="1303"/>
      <c r="F218" s="1303"/>
      <c r="I218" s="490"/>
    </row>
    <row r="219" spans="1:9" ht="14.25">
      <c r="A219" s="484"/>
      <c r="D219" s="1303"/>
      <c r="E219" s="1303"/>
      <c r="F219" s="1303"/>
      <c r="I219" s="490"/>
    </row>
    <row r="220" spans="1:9" ht="14.25">
      <c r="A220" s="484"/>
      <c r="D220" s="1303"/>
      <c r="E220" s="1303"/>
      <c r="F220" s="1303"/>
      <c r="I220" s="490"/>
    </row>
    <row r="221" spans="1:9">
      <c r="D221" s="451"/>
      <c r="E221" s="451"/>
      <c r="F221" s="451"/>
      <c r="I221" s="490"/>
    </row>
    <row r="222" spans="1:9">
      <c r="A222" s="1310" t="s">
        <v>1046</v>
      </c>
      <c r="B222" s="1310"/>
      <c r="C222" s="1310"/>
      <c r="D222" s="1310"/>
      <c r="E222" s="1310"/>
      <c r="F222" s="1310"/>
      <c r="G222" s="1310"/>
      <c r="H222" s="1028"/>
      <c r="I222" s="1153"/>
    </row>
    <row r="223" spans="1:9" ht="12" customHeight="1">
      <c r="D223" s="446"/>
      <c r="E223" s="446"/>
      <c r="F223" s="446"/>
      <c r="I223" s="490"/>
    </row>
    <row r="224" spans="1:9">
      <c r="C224" s="486"/>
      <c r="D224" s="1311" t="s">
        <v>207</v>
      </c>
      <c r="E224" s="1311"/>
      <c r="F224" s="1311"/>
      <c r="I224" s="490"/>
    </row>
    <row r="225" spans="1:9">
      <c r="A225" s="482"/>
      <c r="B225" s="482"/>
      <c r="C225" s="482"/>
      <c r="D225" s="1301" t="s">
        <v>1120</v>
      </c>
      <c r="E225" s="1301"/>
      <c r="F225" s="1301"/>
      <c r="I225" s="490"/>
    </row>
    <row r="226" spans="1:9" ht="12" customHeight="1">
      <c r="A226" s="490"/>
      <c r="B226" s="490"/>
      <c r="C226" s="490"/>
      <c r="I226" s="490"/>
    </row>
    <row r="227" spans="1:9" ht="13.7" customHeight="1">
      <c r="A227" s="490"/>
      <c r="C227" s="490"/>
      <c r="D227" s="1311" t="s">
        <v>546</v>
      </c>
      <c r="E227" s="1311"/>
      <c r="F227" s="1311"/>
      <c r="I227" s="490"/>
    </row>
    <row r="228" spans="1:9" ht="14.25">
      <c r="A228" s="484"/>
      <c r="B228" s="485" t="s">
        <v>306</v>
      </c>
      <c r="D228" s="1303" t="s">
        <v>1753</v>
      </c>
      <c r="E228" s="1303"/>
      <c r="F228" s="1303"/>
      <c r="I228" s="490"/>
    </row>
    <row r="229" spans="1:9" ht="14.25" customHeight="1">
      <c r="A229" s="484"/>
      <c r="B229" s="484"/>
      <c r="D229" s="1303"/>
      <c r="E229" s="1303"/>
      <c r="F229" s="1303"/>
      <c r="I229" s="490"/>
    </row>
    <row r="230" spans="1:9" ht="14.25" customHeight="1">
      <c r="A230" s="484"/>
      <c r="B230" s="484"/>
      <c r="D230" s="1303"/>
      <c r="E230" s="1303"/>
      <c r="F230" s="1303"/>
      <c r="I230" s="490"/>
    </row>
    <row r="231" spans="1:9" ht="14.25">
      <c r="A231" s="484"/>
      <c r="B231" s="484"/>
      <c r="D231" s="1303"/>
      <c r="E231" s="1303"/>
      <c r="F231" s="1303"/>
      <c r="I231" s="490"/>
    </row>
    <row r="232" spans="1:9" ht="14.25">
      <c r="A232" s="484"/>
      <c r="B232" s="484"/>
      <c r="D232" s="445"/>
      <c r="E232" s="445"/>
      <c r="F232" s="445"/>
      <c r="I232" s="490"/>
    </row>
    <row r="233" spans="1:9" ht="14.25">
      <c r="A233" s="484"/>
      <c r="B233" s="485" t="s">
        <v>306</v>
      </c>
      <c r="D233" s="1303" t="s">
        <v>1754</v>
      </c>
      <c r="E233" s="1303"/>
      <c r="F233" s="1303"/>
      <c r="I233" s="490"/>
    </row>
    <row r="234" spans="1:9" ht="14.25">
      <c r="A234" s="484"/>
      <c r="B234" s="484"/>
      <c r="D234" s="1303"/>
      <c r="E234" s="1303"/>
      <c r="F234" s="1303"/>
      <c r="I234" s="490"/>
    </row>
    <row r="235" spans="1:9" ht="14.25">
      <c r="A235" s="484"/>
      <c r="B235" s="484"/>
      <c r="D235" s="1303"/>
      <c r="E235" s="1303"/>
      <c r="F235" s="1303"/>
      <c r="I235" s="490"/>
    </row>
    <row r="236" spans="1:9" ht="14.25">
      <c r="A236" s="484"/>
      <c r="B236" s="484"/>
      <c r="D236" s="1303"/>
      <c r="E236" s="1303"/>
      <c r="F236" s="1303"/>
      <c r="I236" s="490"/>
    </row>
    <row r="237" spans="1:9" ht="14.25" customHeight="1">
      <c r="A237" s="484"/>
      <c r="B237" s="484"/>
      <c r="D237" s="1303"/>
      <c r="E237" s="1303"/>
      <c r="F237" s="1303"/>
      <c r="I237" s="490"/>
    </row>
    <row r="238" spans="1:9" ht="14.25" customHeight="1">
      <c r="A238" s="484"/>
      <c r="B238" s="484"/>
      <c r="D238" s="445"/>
      <c r="E238" s="445"/>
      <c r="F238" s="445"/>
      <c r="I238" s="490"/>
    </row>
    <row r="239" spans="1:9" ht="14.25">
      <c r="A239" s="484"/>
      <c r="B239" s="484"/>
      <c r="D239" s="1303" t="s">
        <v>1118</v>
      </c>
      <c r="E239" s="1303"/>
      <c r="F239" s="1303"/>
      <c r="I239" s="490"/>
    </row>
    <row r="240" spans="1:9" ht="14.25">
      <c r="A240" s="484"/>
      <c r="B240" s="484"/>
      <c r="D240" s="1303"/>
      <c r="E240" s="1303"/>
      <c r="F240" s="1303"/>
      <c r="I240" s="490"/>
    </row>
    <row r="241" spans="1:9" ht="14.25">
      <c r="A241" s="484"/>
      <c r="B241" s="484"/>
      <c r="D241" s="1303"/>
      <c r="E241" s="1303"/>
      <c r="F241" s="1303"/>
      <c r="I241" s="490"/>
    </row>
    <row r="242" spans="1:9" ht="14.25">
      <c r="A242" s="484"/>
      <c r="B242" s="484"/>
      <c r="D242" s="1303"/>
      <c r="E242" s="1303"/>
      <c r="F242" s="1303"/>
      <c r="I242" s="490"/>
    </row>
    <row r="243" spans="1:9" ht="14.25">
      <c r="A243" s="484"/>
      <c r="B243" s="484"/>
      <c r="D243" s="1303"/>
      <c r="E243" s="1303"/>
      <c r="F243" s="1303"/>
      <c r="I243" s="490"/>
    </row>
    <row r="244" spans="1:9" ht="14.25">
      <c r="A244" s="484"/>
      <c r="B244" s="484"/>
      <c r="D244" s="446"/>
      <c r="E244" s="446"/>
      <c r="F244" s="446"/>
      <c r="I244" s="490"/>
    </row>
    <row r="245" spans="1:9" ht="14.25">
      <c r="A245" s="484"/>
      <c r="B245" s="485" t="s">
        <v>306</v>
      </c>
      <c r="D245" s="1303" t="s">
        <v>2053</v>
      </c>
      <c r="E245" s="1303"/>
      <c r="F245" s="1303"/>
      <c r="I245" s="490"/>
    </row>
    <row r="246" spans="1:9" ht="14.25">
      <c r="A246" s="484"/>
      <c r="B246" s="484"/>
      <c r="D246" s="1303"/>
      <c r="E246" s="1303"/>
      <c r="F246" s="1303"/>
      <c r="I246" s="490"/>
    </row>
    <row r="247" spans="1:9" ht="14.25">
      <c r="A247" s="484"/>
      <c r="B247" s="484"/>
      <c r="D247" s="1303"/>
      <c r="E247" s="1303"/>
      <c r="F247" s="1303"/>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306</v>
      </c>
      <c r="D250" s="1303" t="s">
        <v>2054</v>
      </c>
      <c r="E250" s="1303"/>
      <c r="F250" s="1303"/>
      <c r="I250" s="490"/>
    </row>
    <row r="251" spans="1:9" ht="14.25">
      <c r="A251" s="484"/>
      <c r="B251" s="484"/>
      <c r="D251" s="1303"/>
      <c r="E251" s="1303"/>
      <c r="F251" s="1303"/>
      <c r="I251" s="490"/>
    </row>
    <row r="252" spans="1:9" ht="14.25">
      <c r="A252" s="484"/>
      <c r="B252" s="484"/>
      <c r="D252" s="1303"/>
      <c r="E252" s="1303"/>
      <c r="F252" s="1303"/>
      <c r="I252" s="490"/>
    </row>
    <row r="253" spans="1:9" ht="14.25">
      <c r="A253" s="484"/>
      <c r="B253" s="484"/>
      <c r="D253" s="1303"/>
      <c r="E253" s="1303"/>
      <c r="F253" s="1303"/>
      <c r="I253" s="490"/>
    </row>
    <row r="254" spans="1:9" ht="14.25">
      <c r="A254" s="484"/>
      <c r="B254" s="484"/>
      <c r="D254" s="1303"/>
      <c r="E254" s="1303"/>
      <c r="F254" s="1303"/>
      <c r="I254" s="490"/>
    </row>
    <row r="255" spans="1:9" ht="14.25">
      <c r="A255" s="484"/>
      <c r="B255" s="484"/>
      <c r="D255" s="445"/>
      <c r="E255" s="445"/>
      <c r="F255" s="445"/>
      <c r="I255" s="490"/>
    </row>
    <row r="256" spans="1:9" ht="14.25">
      <c r="A256" s="484"/>
      <c r="B256" s="485" t="s">
        <v>306</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306</v>
      </c>
      <c r="D259" s="1303" t="s">
        <v>1119</v>
      </c>
      <c r="E259" s="1303"/>
      <c r="F259" s="1303"/>
      <c r="I259" s="490"/>
    </row>
    <row r="260" spans="1:9" ht="14.25">
      <c r="A260" s="484"/>
      <c r="B260" s="484"/>
      <c r="D260" s="1303"/>
      <c r="E260" s="1303"/>
      <c r="F260" s="1303"/>
      <c r="I260" s="490"/>
    </row>
    <row r="261" spans="1:9">
      <c r="D261" s="491"/>
      <c r="I261" s="490"/>
    </row>
    <row r="262" spans="1:9">
      <c r="A262" s="1310" t="s">
        <v>1047</v>
      </c>
      <c r="B262" s="1310"/>
      <c r="C262" s="1310"/>
      <c r="D262" s="1310"/>
      <c r="E262" s="1310"/>
      <c r="F262" s="1310"/>
      <c r="G262" s="1310"/>
      <c r="H262" s="1028"/>
      <c r="I262" s="1153"/>
    </row>
    <row r="263" spans="1:9">
      <c r="D263" s="491"/>
      <c r="I263" s="490"/>
    </row>
    <row r="264" spans="1:9">
      <c r="C264" s="486"/>
      <c r="D264" s="1311" t="s">
        <v>1121</v>
      </c>
      <c r="E264" s="1311"/>
      <c r="F264" s="1311"/>
      <c r="I264" s="490"/>
    </row>
    <row r="265" spans="1:9">
      <c r="A265" s="482"/>
      <c r="B265" s="482"/>
      <c r="C265" s="482"/>
      <c r="D265" s="446"/>
      <c r="E265" s="446"/>
      <c r="F265" s="446"/>
      <c r="I265" s="490"/>
    </row>
    <row r="266" spans="1:9">
      <c r="A266" s="483"/>
      <c r="B266" s="483"/>
      <c r="C266" s="483"/>
      <c r="D266" s="1311" t="s">
        <v>268</v>
      </c>
      <c r="E266" s="1311"/>
      <c r="F266" s="1311"/>
      <c r="I266" s="490"/>
    </row>
    <row r="267" spans="1:9" ht="14.45" customHeight="1">
      <c r="A267" s="484"/>
      <c r="B267" s="485" t="s">
        <v>306</v>
      </c>
      <c r="D267" s="1303" t="s">
        <v>1196</v>
      </c>
      <c r="E267" s="1303"/>
      <c r="F267" s="1303"/>
      <c r="I267" s="490"/>
    </row>
    <row r="268" spans="1:9">
      <c r="D268" s="1303"/>
      <c r="E268" s="1303"/>
      <c r="F268" s="1303"/>
      <c r="I268" s="490"/>
    </row>
    <row r="269" spans="1:9">
      <c r="E269" s="1036" t="s">
        <v>1898</v>
      </c>
      <c r="I269" s="490"/>
    </row>
    <row r="270" spans="1:9">
      <c r="D270" s="446"/>
      <c r="E270" s="446"/>
      <c r="F270" s="446"/>
      <c r="I270" s="490"/>
    </row>
    <row r="271" spans="1:9" ht="14.45" customHeight="1">
      <c r="A271" s="484"/>
      <c r="B271" s="485" t="s">
        <v>306</v>
      </c>
      <c r="D271" s="1303" t="s">
        <v>2056</v>
      </c>
      <c r="E271" s="1303"/>
      <c r="F271" s="1303"/>
      <c r="I271" s="490"/>
    </row>
    <row r="272" spans="1:9">
      <c r="D272" s="1303"/>
      <c r="E272" s="1303"/>
      <c r="F272" s="1303"/>
      <c r="I272" s="490"/>
    </row>
    <row r="273" spans="1:9">
      <c r="D273" s="1303"/>
      <c r="E273" s="1303"/>
      <c r="F273" s="1303"/>
      <c r="I273" s="490"/>
    </row>
    <row r="274" spans="1:9">
      <c r="D274" s="1303"/>
      <c r="E274" s="1303"/>
      <c r="F274" s="1303"/>
      <c r="I274" s="490"/>
    </row>
    <row r="275" spans="1:9">
      <c r="D275" s="1303"/>
      <c r="E275" s="1303"/>
      <c r="F275" s="1303"/>
      <c r="I275" s="490"/>
    </row>
    <row r="276" spans="1:9">
      <c r="D276" s="1303"/>
      <c r="E276" s="1303"/>
      <c r="F276" s="1303"/>
      <c r="I276" s="490"/>
    </row>
    <row r="277" spans="1:9">
      <c r="D277" s="446"/>
      <c r="E277" s="446"/>
      <c r="F277" s="446"/>
      <c r="I277" s="490"/>
    </row>
    <row r="278" spans="1:9" ht="14.25">
      <c r="A278" s="484"/>
      <c r="B278" s="485" t="s">
        <v>306</v>
      </c>
      <c r="D278" s="1303" t="s">
        <v>1122</v>
      </c>
      <c r="E278" s="1303"/>
      <c r="F278" s="1303"/>
      <c r="I278" s="490"/>
    </row>
    <row r="279" spans="1:9">
      <c r="D279" s="1303"/>
      <c r="E279" s="1303"/>
      <c r="F279" s="1303"/>
      <c r="I279" s="490"/>
    </row>
    <row r="280" spans="1:9">
      <c r="D280" s="1303"/>
      <c r="E280" s="1303"/>
      <c r="F280" s="1303"/>
      <c r="I280" s="490"/>
    </row>
    <row r="281" spans="1:9">
      <c r="D281" s="492"/>
      <c r="E281" s="446"/>
      <c r="F281" s="446"/>
      <c r="I281" s="490"/>
    </row>
    <row r="282" spans="1:9">
      <c r="A282" s="1310" t="s">
        <v>1048</v>
      </c>
      <c r="B282" s="1310"/>
      <c r="C282" s="1310"/>
      <c r="D282" s="1310"/>
      <c r="E282" s="1310"/>
      <c r="F282" s="1310"/>
      <c r="G282" s="1310"/>
      <c r="H282" s="1028"/>
      <c r="I282" s="1153"/>
    </row>
    <row r="283" spans="1:9">
      <c r="D283" s="492"/>
      <c r="E283" s="446"/>
      <c r="F283" s="446"/>
      <c r="I283" s="490"/>
    </row>
    <row r="284" spans="1:9">
      <c r="C284" s="482"/>
      <c r="D284" s="1319" t="s">
        <v>1123</v>
      </c>
      <c r="E284" s="1319"/>
      <c r="F284" s="1319"/>
      <c r="I284" s="490"/>
    </row>
    <row r="285" spans="1:9">
      <c r="C285" s="482"/>
      <c r="D285" s="1319"/>
      <c r="E285" s="1319"/>
      <c r="F285" s="1319"/>
      <c r="I285" s="490"/>
    </row>
    <row r="286" spans="1:9">
      <c r="A286" s="483"/>
      <c r="B286" s="483"/>
      <c r="C286" s="483"/>
      <c r="D286" s="404"/>
      <c r="I286" s="490"/>
    </row>
    <row r="287" spans="1:9">
      <c r="C287" s="483"/>
      <c r="D287" s="1311" t="s">
        <v>208</v>
      </c>
      <c r="E287" s="1311"/>
      <c r="F287" s="1311"/>
      <c r="I287" s="490"/>
    </row>
    <row r="288" spans="1:9" ht="15.75" customHeight="1">
      <c r="A288" s="484"/>
      <c r="B288" s="484"/>
      <c r="D288" s="1328" t="s">
        <v>1124</v>
      </c>
      <c r="E288" s="1328"/>
      <c r="F288" s="1328"/>
      <c r="I288" s="490"/>
    </row>
    <row r="289" spans="1:9">
      <c r="E289" s="446"/>
      <c r="F289" s="446"/>
      <c r="I289" s="490"/>
    </row>
    <row r="290" spans="1:9" ht="14.25">
      <c r="A290" s="484"/>
      <c r="B290" s="485" t="s">
        <v>306</v>
      </c>
      <c r="D290" s="1303" t="s">
        <v>1125</v>
      </c>
      <c r="E290" s="1303"/>
      <c r="F290" s="1303"/>
      <c r="I290" s="490"/>
    </row>
    <row r="291" spans="1:9" ht="14.25">
      <c r="A291" s="484"/>
      <c r="B291" s="484"/>
      <c r="D291" s="1303"/>
      <c r="E291" s="1303"/>
      <c r="F291" s="1303"/>
      <c r="I291" s="490"/>
    </row>
    <row r="292" spans="1:9">
      <c r="D292" s="446"/>
      <c r="E292" s="446"/>
      <c r="F292" s="446"/>
      <c r="I292" s="490"/>
    </row>
    <row r="293" spans="1:9" ht="14.25">
      <c r="A293" s="484"/>
      <c r="B293" s="485" t="s">
        <v>306</v>
      </c>
      <c r="D293" s="1303" t="s">
        <v>1126</v>
      </c>
      <c r="E293" s="1303"/>
      <c r="F293" s="1303"/>
      <c r="I293" s="490"/>
    </row>
    <row r="294" spans="1:9" ht="14.25">
      <c r="A294" s="484"/>
      <c r="B294" s="484"/>
      <c r="D294" s="1303"/>
      <c r="E294" s="1303"/>
      <c r="F294" s="1303"/>
      <c r="I294" s="490"/>
    </row>
    <row r="295" spans="1:9" ht="14.25">
      <c r="A295" s="484"/>
      <c r="B295" s="484"/>
      <c r="D295" s="1303"/>
      <c r="E295" s="1303"/>
      <c r="F295" s="1303"/>
      <c r="I295" s="490"/>
    </row>
    <row r="296" spans="1:9">
      <c r="D296" s="446"/>
      <c r="E296" s="446"/>
      <c r="F296" s="446"/>
      <c r="I296" s="490"/>
    </row>
    <row r="297" spans="1:9" ht="14.25">
      <c r="A297" s="484"/>
      <c r="B297" s="485" t="s">
        <v>306</v>
      </c>
      <c r="D297" s="1303" t="s">
        <v>1127</v>
      </c>
      <c r="E297" s="1303"/>
      <c r="F297" s="1303"/>
      <c r="I297" s="490"/>
    </row>
    <row r="298" spans="1:9" ht="14.25">
      <c r="A298" s="484"/>
      <c r="B298" s="484"/>
      <c r="D298" s="1303"/>
      <c r="E298" s="1303"/>
      <c r="F298" s="1303"/>
      <c r="I298" s="490"/>
    </row>
    <row r="299" spans="1:9">
      <c r="A299" s="490"/>
      <c r="B299" s="490"/>
      <c r="E299" s="446"/>
      <c r="F299" s="446"/>
      <c r="I299" s="490"/>
    </row>
    <row r="300" spans="1:9">
      <c r="A300" s="1310" t="s">
        <v>1049</v>
      </c>
      <c r="B300" s="1310"/>
      <c r="C300" s="1310"/>
      <c r="D300" s="1310"/>
      <c r="E300" s="1310"/>
      <c r="F300" s="1310"/>
      <c r="G300" s="1310"/>
      <c r="H300" s="1028"/>
      <c r="I300" s="1153"/>
    </row>
    <row r="301" spans="1:9">
      <c r="A301" s="490"/>
      <c r="B301" s="490"/>
      <c r="D301" s="446"/>
      <c r="E301" s="446"/>
      <c r="F301" s="446"/>
      <c r="I301" s="490"/>
    </row>
    <row r="302" spans="1:9">
      <c r="C302" s="490"/>
      <c r="D302" s="1311" t="s">
        <v>682</v>
      </c>
      <c r="E302" s="1311"/>
      <c r="F302" s="1311"/>
      <c r="I302" s="490"/>
    </row>
    <row r="303" spans="1:9">
      <c r="C303" s="490"/>
      <c r="D303" s="1301" t="s">
        <v>1128</v>
      </c>
      <c r="E303" s="1301"/>
      <c r="F303" s="1301"/>
      <c r="I303" s="490"/>
    </row>
    <row r="304" spans="1:9">
      <c r="C304" s="490"/>
      <c r="D304" s="493"/>
      <c r="I304" s="490"/>
    </row>
    <row r="305" spans="1:9">
      <c r="B305" s="485" t="s">
        <v>306</v>
      </c>
      <c r="D305" s="1301" t="s">
        <v>1129</v>
      </c>
      <c r="E305" s="1301"/>
      <c r="F305" s="1301"/>
      <c r="I305" s="490"/>
    </row>
    <row r="306" spans="1:9" ht="14.25">
      <c r="A306" s="484"/>
      <c r="B306" s="484"/>
      <c r="D306" s="494"/>
      <c r="E306" s="495"/>
      <c r="F306" s="495"/>
      <c r="I306" s="490"/>
    </row>
    <row r="307" spans="1:9" ht="13.7" customHeight="1">
      <c r="B307" s="485" t="s">
        <v>306</v>
      </c>
      <c r="D307" s="1312" t="s">
        <v>1219</v>
      </c>
      <c r="E307" s="1312"/>
      <c r="F307" s="1312"/>
      <c r="I307" s="490"/>
    </row>
    <row r="308" spans="1:9" ht="14.25">
      <c r="A308" s="484"/>
      <c r="B308" s="484"/>
      <c r="D308" s="1312"/>
      <c r="E308" s="1312"/>
      <c r="F308" s="1312"/>
      <c r="I308" s="490"/>
    </row>
    <row r="309" spans="1:9" ht="14.25">
      <c r="A309" s="484"/>
      <c r="B309" s="484"/>
      <c r="D309" s="1312"/>
      <c r="E309" s="1312"/>
      <c r="F309" s="1312"/>
      <c r="I309" s="490"/>
    </row>
    <row r="310" spans="1:9" ht="14.25">
      <c r="A310" s="484"/>
      <c r="B310" s="484"/>
      <c r="D310" s="1312"/>
      <c r="E310" s="1312"/>
      <c r="F310" s="1312"/>
      <c r="I310" s="490"/>
    </row>
    <row r="311" spans="1:9" ht="14.25">
      <c r="A311" s="484"/>
      <c r="B311" s="484"/>
      <c r="D311" s="1312"/>
      <c r="E311" s="1312"/>
      <c r="F311" s="1312"/>
      <c r="I311" s="490"/>
    </row>
    <row r="312" spans="1:9" ht="14.25">
      <c r="A312" s="484"/>
      <c r="B312" s="484"/>
      <c r="D312" s="494"/>
      <c r="E312" s="495"/>
      <c r="F312" s="495"/>
      <c r="I312" s="490"/>
    </row>
    <row r="313" spans="1:9" ht="13.7" customHeight="1">
      <c r="B313" s="485" t="s">
        <v>306</v>
      </c>
      <c r="D313" s="1312" t="s">
        <v>1130</v>
      </c>
      <c r="E313" s="1312"/>
      <c r="F313" s="1312"/>
      <c r="I313" s="490"/>
    </row>
    <row r="314" spans="1:9">
      <c r="D314" s="1312"/>
      <c r="E314" s="1312"/>
      <c r="F314" s="1312"/>
      <c r="I314" s="490"/>
    </row>
    <row r="315" spans="1:9" ht="14.25">
      <c r="A315" s="484"/>
      <c r="B315" s="484"/>
      <c r="D315" s="494"/>
      <c r="E315" s="495"/>
      <c r="F315" s="495"/>
      <c r="I315" s="490"/>
    </row>
    <row r="316" spans="1:9">
      <c r="B316" s="485" t="s">
        <v>306</v>
      </c>
      <c r="D316" s="1301" t="s">
        <v>1131</v>
      </c>
      <c r="E316" s="1301"/>
      <c r="F316" s="1301"/>
      <c r="I316" s="490"/>
    </row>
    <row r="317" spans="1:9">
      <c r="E317" s="446"/>
      <c r="F317" s="446"/>
      <c r="I317" s="490"/>
    </row>
    <row r="318" spans="1:9" ht="14.25">
      <c r="A318" s="484"/>
      <c r="B318" s="485" t="s">
        <v>306</v>
      </c>
      <c r="D318" s="1303" t="s">
        <v>2246</v>
      </c>
      <c r="E318" s="1303"/>
      <c r="F318" s="1303"/>
      <c r="I318" s="490"/>
    </row>
    <row r="319" spans="1:9" ht="14.25">
      <c r="A319" s="484"/>
      <c r="B319" s="484"/>
      <c r="D319" s="1303"/>
      <c r="E319" s="1303"/>
      <c r="F319" s="1303"/>
      <c r="I319" s="490"/>
    </row>
    <row r="320" spans="1:9" ht="14.25">
      <c r="A320" s="484"/>
      <c r="B320" s="484"/>
      <c r="D320" s="1303"/>
      <c r="E320" s="1303"/>
      <c r="F320" s="1303"/>
      <c r="I320" s="490"/>
    </row>
    <row r="321" spans="1:9" ht="14.25">
      <c r="A321" s="484"/>
      <c r="B321" s="484"/>
      <c r="D321" s="1303"/>
      <c r="E321" s="1303"/>
      <c r="F321" s="1303"/>
      <c r="I321" s="490"/>
    </row>
    <row r="322" spans="1:9" ht="14.25">
      <c r="A322" s="484"/>
      <c r="B322" s="484"/>
      <c r="D322" s="1303"/>
      <c r="E322" s="1303"/>
      <c r="F322" s="1303"/>
      <c r="I322" s="490"/>
    </row>
    <row r="323" spans="1:9" ht="14.25">
      <c r="A323" s="484"/>
      <c r="B323" s="484"/>
      <c r="D323" s="1303"/>
      <c r="E323" s="1303"/>
      <c r="F323" s="1303"/>
      <c r="I323" s="490"/>
    </row>
    <row r="324" spans="1:9" ht="14.25">
      <c r="A324" s="484"/>
      <c r="B324" s="484"/>
      <c r="D324" s="1303"/>
      <c r="E324" s="1303"/>
      <c r="F324" s="1303"/>
      <c r="I324" s="490"/>
    </row>
    <row r="325" spans="1:9" ht="14.25">
      <c r="A325" s="484"/>
      <c r="B325" s="484"/>
      <c r="D325" s="1303"/>
      <c r="E325" s="1303"/>
      <c r="F325" s="1303"/>
      <c r="I325" s="490"/>
    </row>
    <row r="326" spans="1:9" ht="14.25">
      <c r="A326" s="484"/>
      <c r="B326" s="484"/>
      <c r="D326" s="1303"/>
      <c r="E326" s="1303"/>
      <c r="F326" s="1303"/>
      <c r="I326" s="490"/>
    </row>
    <row r="327" spans="1:9" ht="14.25">
      <c r="A327" s="484"/>
      <c r="B327" s="484"/>
      <c r="D327" s="1303"/>
      <c r="E327" s="1303"/>
      <c r="F327" s="1303"/>
      <c r="I327" s="490"/>
    </row>
    <row r="328" spans="1:9" ht="14.25">
      <c r="A328" s="484"/>
      <c r="B328" s="484"/>
      <c r="D328" s="1303"/>
      <c r="E328" s="1303"/>
      <c r="F328" s="1303"/>
      <c r="I328" s="490"/>
    </row>
    <row r="329" spans="1:9" ht="14.25">
      <c r="A329" s="484"/>
      <c r="B329" s="484"/>
      <c r="D329" s="1303"/>
      <c r="E329" s="1303"/>
      <c r="F329" s="1303"/>
      <c r="I329" s="490"/>
    </row>
    <row r="330" spans="1:9" ht="14.25">
      <c r="A330" s="484"/>
      <c r="B330" s="484"/>
      <c r="D330" s="1303"/>
      <c r="E330" s="1303"/>
      <c r="F330" s="1303"/>
      <c r="I330" s="490"/>
    </row>
    <row r="331" spans="1:9" ht="14.25">
      <c r="A331" s="484"/>
      <c r="B331" s="484"/>
      <c r="D331" s="1303"/>
      <c r="E331" s="1303"/>
      <c r="F331" s="1303"/>
      <c r="I331" s="490"/>
    </row>
    <row r="332" spans="1:9" ht="14.25">
      <c r="A332" s="484"/>
      <c r="B332" s="484"/>
      <c r="D332" s="1303"/>
      <c r="E332" s="1303"/>
      <c r="F332" s="1303"/>
      <c r="I332" s="490"/>
    </row>
    <row r="333" spans="1:9">
      <c r="D333" s="446"/>
      <c r="E333" s="446"/>
      <c r="F333" s="446"/>
      <c r="I333" s="490"/>
    </row>
    <row r="334" spans="1:9" ht="14.25">
      <c r="A334" s="484"/>
      <c r="B334" s="485" t="s">
        <v>306</v>
      </c>
      <c r="D334" s="1303" t="s">
        <v>1132</v>
      </c>
      <c r="E334" s="1303"/>
      <c r="F334" s="1303"/>
      <c r="I334" s="490"/>
    </row>
    <row r="335" spans="1:9">
      <c r="D335" s="1303"/>
      <c r="E335" s="1303"/>
      <c r="F335" s="1303"/>
      <c r="I335" s="490"/>
    </row>
    <row r="336" spans="1:9">
      <c r="D336" s="1303"/>
      <c r="E336" s="1303"/>
      <c r="F336" s="1303"/>
      <c r="I336" s="490"/>
    </row>
    <row r="337" spans="1:9">
      <c r="D337" s="1303"/>
      <c r="E337" s="1303"/>
      <c r="F337" s="1303"/>
      <c r="I337" s="490"/>
    </row>
    <row r="338" spans="1:9">
      <c r="D338" s="1303"/>
      <c r="E338" s="1303"/>
      <c r="F338" s="1303"/>
      <c r="I338" s="490"/>
    </row>
    <row r="339" spans="1:9">
      <c r="D339" s="1303"/>
      <c r="E339" s="1303"/>
      <c r="F339" s="1303"/>
      <c r="I339" s="490"/>
    </row>
    <row r="340" spans="1:9">
      <c r="D340" s="1303"/>
      <c r="E340" s="1303"/>
      <c r="F340" s="1303"/>
      <c r="I340" s="490"/>
    </row>
    <row r="341" spans="1:9">
      <c r="D341" s="1303"/>
      <c r="E341" s="1303"/>
      <c r="F341" s="1303"/>
      <c r="I341" s="490"/>
    </row>
    <row r="342" spans="1:9">
      <c r="D342" s="1303"/>
      <c r="E342" s="1303"/>
      <c r="F342" s="1303"/>
      <c r="I342" s="490"/>
    </row>
    <row r="343" spans="1:9">
      <c r="D343" s="446"/>
      <c r="E343" s="446"/>
      <c r="F343" s="446"/>
      <c r="I343" s="490"/>
    </row>
    <row r="344" spans="1:9" ht="14.25" customHeight="1">
      <c r="A344" s="484"/>
      <c r="B344" s="485" t="s">
        <v>306</v>
      </c>
      <c r="D344" s="1303" t="s">
        <v>1903</v>
      </c>
      <c r="E344" s="1303"/>
      <c r="F344" s="1303"/>
      <c r="I344" s="490"/>
    </row>
    <row r="345" spans="1:9">
      <c r="D345" s="1303"/>
      <c r="E345" s="1303"/>
      <c r="F345" s="1303"/>
      <c r="I345" s="490"/>
    </row>
    <row r="346" spans="1:9">
      <c r="D346" s="1303"/>
      <c r="E346" s="1303"/>
      <c r="F346" s="1303"/>
      <c r="I346" s="490"/>
    </row>
    <row r="347" spans="1:9">
      <c r="D347" s="1303"/>
      <c r="E347" s="1303"/>
      <c r="F347" s="130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31" t="s">
        <v>979</v>
      </c>
      <c r="E351" s="1331"/>
      <c r="F351" s="1331"/>
      <c r="G351" s="1027"/>
      <c r="H351" s="1027"/>
      <c r="I351" s="1156"/>
    </row>
    <row r="352" spans="1:9" ht="13.5" thickTop="1">
      <c r="D352" s="1330" t="s">
        <v>2247</v>
      </c>
      <c r="E352" s="1330"/>
      <c r="F352" s="1330"/>
      <c r="I352" s="490"/>
    </row>
    <row r="353" spans="1:9">
      <c r="D353" s="446"/>
      <c r="E353" s="446"/>
      <c r="F353" s="446"/>
      <c r="I353" s="490"/>
    </row>
    <row r="354" spans="1:9">
      <c r="A354" s="476"/>
      <c r="B354" s="476"/>
      <c r="C354" s="476"/>
      <c r="D354" s="447"/>
      <c r="E354" s="447"/>
      <c r="F354" s="446"/>
      <c r="I354" s="490"/>
    </row>
    <row r="355" spans="1:9" ht="14.25">
      <c r="A355" s="484"/>
      <c r="B355" s="485" t="s">
        <v>306</v>
      </c>
      <c r="C355" s="487"/>
      <c r="D355" s="1301" t="s">
        <v>1901</v>
      </c>
      <c r="E355" s="1301"/>
      <c r="F355" s="1301"/>
      <c r="I355" s="490"/>
    </row>
    <row r="356" spans="1:9" ht="12.75" customHeight="1">
      <c r="D356" s="1037"/>
      <c r="E356" s="96" t="s">
        <v>1900</v>
      </c>
      <c r="F356" s="1037"/>
      <c r="I356" s="490"/>
    </row>
    <row r="357" spans="1:9">
      <c r="D357" s="1303" t="s">
        <v>1239</v>
      </c>
      <c r="E357" s="1303"/>
      <c r="F357" s="1303"/>
      <c r="I357" s="490"/>
    </row>
    <row r="358" spans="1:9">
      <c r="D358" s="1303"/>
      <c r="E358" s="1303"/>
      <c r="F358" s="1303"/>
      <c r="I358" s="490"/>
    </row>
    <row r="359" spans="1:9">
      <c r="D359" s="1303"/>
      <c r="E359" s="1303"/>
      <c r="F359" s="1303"/>
      <c r="I359" s="490"/>
    </row>
    <row r="360" spans="1:9" ht="14.25">
      <c r="A360" s="484"/>
      <c r="B360" s="485" t="s">
        <v>306</v>
      </c>
      <c r="C360" s="476"/>
      <c r="D360" s="1320" t="s">
        <v>2057</v>
      </c>
      <c r="E360" s="1320"/>
      <c r="F360" s="1320"/>
      <c r="I360" s="480"/>
    </row>
    <row r="361" spans="1:9">
      <c r="A361" s="476"/>
      <c r="B361" s="476"/>
      <c r="C361" s="476"/>
      <c r="D361" s="447"/>
      <c r="E361" s="447"/>
      <c r="F361" s="446"/>
      <c r="I361" s="490"/>
    </row>
    <row r="362" spans="1:9">
      <c r="A362" s="476"/>
      <c r="B362" s="485" t="s">
        <v>306</v>
      </c>
      <c r="C362" s="476"/>
      <c r="D362" s="1274" t="s">
        <v>2058</v>
      </c>
      <c r="E362" s="1274"/>
      <c r="F362" s="1274"/>
      <c r="I362" s="490"/>
    </row>
    <row r="363" spans="1:9">
      <c r="A363" s="476"/>
      <c r="B363" s="476"/>
      <c r="C363" s="476"/>
      <c r="D363" s="1274"/>
      <c r="E363" s="1274"/>
      <c r="F363" s="1274"/>
      <c r="I363" s="490"/>
    </row>
    <row r="364" spans="1:9">
      <c r="A364" s="476"/>
      <c r="B364" s="476"/>
      <c r="C364" s="476"/>
      <c r="D364" s="1274"/>
      <c r="E364" s="1274"/>
      <c r="F364" s="1274"/>
      <c r="I364" s="490"/>
    </row>
    <row r="365" spans="1:9">
      <c r="A365" s="476"/>
      <c r="B365" s="476"/>
      <c r="C365" s="476"/>
      <c r="D365" s="1274"/>
      <c r="E365" s="1274"/>
      <c r="F365" s="1274"/>
      <c r="I365" s="490"/>
    </row>
    <row r="366" spans="1:9">
      <c r="A366" s="476"/>
      <c r="B366" s="476"/>
      <c r="C366" s="476"/>
      <c r="D366" s="1274"/>
      <c r="E366" s="1274"/>
      <c r="F366" s="1274"/>
      <c r="I366" s="490"/>
    </row>
    <row r="367" spans="1:9">
      <c r="A367" s="476"/>
      <c r="B367" s="476"/>
      <c r="C367" s="476"/>
      <c r="D367" s="1274"/>
      <c r="E367" s="1274"/>
      <c r="F367" s="1274"/>
      <c r="I367" s="490"/>
    </row>
    <row r="368" spans="1:9">
      <c r="A368" s="476"/>
      <c r="B368" s="476"/>
      <c r="C368" s="476"/>
      <c r="D368" s="1274"/>
      <c r="E368" s="1274"/>
      <c r="F368" s="1274"/>
      <c r="I368" s="490"/>
    </row>
    <row r="369" spans="1:9">
      <c r="A369" s="476"/>
      <c r="B369" s="476"/>
      <c r="C369" s="476"/>
      <c r="D369" s="1274"/>
      <c r="E369" s="1274"/>
      <c r="F369" s="1274"/>
      <c r="I369" s="490"/>
    </row>
    <row r="370" spans="1:9">
      <c r="A370" s="476"/>
      <c r="B370" s="476"/>
      <c r="C370" s="476"/>
      <c r="D370" s="1274"/>
      <c r="E370" s="1274"/>
      <c r="F370" s="1274"/>
      <c r="I370" s="490"/>
    </row>
    <row r="371" spans="1:9">
      <c r="A371" s="476"/>
      <c r="B371" s="476"/>
      <c r="C371" s="476"/>
      <c r="D371" s="1274"/>
      <c r="E371" s="1274"/>
      <c r="F371" s="1274"/>
      <c r="I371" s="490"/>
    </row>
    <row r="372" spans="1:9">
      <c r="A372" s="476"/>
      <c r="B372" s="476"/>
      <c r="C372" s="476"/>
      <c r="D372" s="1274"/>
      <c r="E372" s="1274"/>
      <c r="F372" s="1274"/>
      <c r="I372" s="490"/>
    </row>
    <row r="373" spans="1:9">
      <c r="A373" s="476"/>
      <c r="B373" s="476"/>
      <c r="C373" s="476"/>
      <c r="D373" s="1274"/>
      <c r="E373" s="1274"/>
      <c r="F373" s="1274"/>
      <c r="I373" s="490"/>
    </row>
    <row r="374" spans="1:9">
      <c r="A374" s="476"/>
      <c r="B374" s="476"/>
      <c r="C374" s="476"/>
      <c r="D374" s="451"/>
      <c r="E374" s="451"/>
      <c r="F374" s="451"/>
      <c r="I374" s="490"/>
    </row>
    <row r="375" spans="1:9" ht="12.4" customHeight="1">
      <c r="A375" s="476"/>
      <c r="B375" s="485" t="s">
        <v>306</v>
      </c>
      <c r="C375" s="476"/>
      <c r="D375" s="1282" t="s">
        <v>1221</v>
      </c>
      <c r="E375" s="1282"/>
      <c r="F375" s="1282"/>
      <c r="I375" s="490"/>
    </row>
    <row r="376" spans="1:9">
      <c r="A376" s="476"/>
      <c r="B376" s="476"/>
      <c r="C376" s="476"/>
      <c r="D376" s="1282"/>
      <c r="E376" s="1282"/>
      <c r="F376" s="1282"/>
      <c r="I376" s="490"/>
    </row>
    <row r="377" spans="1:9">
      <c r="A377" s="476"/>
      <c r="B377" s="476"/>
      <c r="C377" s="476"/>
      <c r="D377" s="1282"/>
      <c r="E377" s="1282"/>
      <c r="F377" s="1282"/>
      <c r="I377" s="490"/>
    </row>
    <row r="378" spans="1:9">
      <c r="A378" s="476"/>
      <c r="B378" s="476"/>
      <c r="C378" s="476"/>
      <c r="D378" s="1282"/>
      <c r="E378" s="1282"/>
      <c r="F378" s="1282"/>
      <c r="I378" s="490"/>
    </row>
    <row r="379" spans="1:9">
      <c r="A379" s="476"/>
      <c r="B379" s="476"/>
      <c r="C379" s="476"/>
      <c r="D379" s="524"/>
      <c r="E379" s="524"/>
      <c r="F379" s="524"/>
      <c r="I379" s="490"/>
    </row>
    <row r="380" spans="1:9">
      <c r="A380" s="476"/>
      <c r="B380" s="485" t="s">
        <v>306</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306</v>
      </c>
      <c r="C387" s="476"/>
      <c r="D387" s="1274" t="s">
        <v>1133</v>
      </c>
      <c r="E387" s="1274"/>
      <c r="F387" s="1274"/>
      <c r="I387" s="490"/>
    </row>
    <row r="388" spans="1:9">
      <c r="A388" s="476"/>
      <c r="B388" s="476"/>
      <c r="C388" s="476"/>
      <c r="D388" s="1274"/>
      <c r="E388" s="1274"/>
      <c r="F388" s="1274"/>
      <c r="I388" s="490"/>
    </row>
    <row r="389" spans="1:9">
      <c r="A389" s="476"/>
      <c r="B389" s="476"/>
      <c r="C389" s="476"/>
      <c r="D389" s="1274"/>
      <c r="E389" s="1274"/>
      <c r="F389" s="1274"/>
      <c r="I389" s="490"/>
    </row>
    <row r="390" spans="1:9">
      <c r="A390" s="476"/>
      <c r="B390" s="476"/>
      <c r="C390" s="476"/>
      <c r="D390" s="1274"/>
      <c r="E390" s="1274"/>
      <c r="F390" s="1274"/>
      <c r="I390" s="490"/>
    </row>
    <row r="391" spans="1:9">
      <c r="A391" s="476"/>
      <c r="B391" s="476"/>
      <c r="C391" s="476"/>
      <c r="D391" s="447"/>
      <c r="E391" s="447"/>
      <c r="F391" s="446"/>
      <c r="I391" s="490"/>
    </row>
    <row r="392" spans="1:9">
      <c r="A392" s="476"/>
      <c r="B392" s="476"/>
      <c r="C392" s="476"/>
      <c r="D392" s="1274" t="s">
        <v>1134</v>
      </c>
      <c r="E392" s="1274"/>
      <c r="F392" s="1274"/>
      <c r="I392" s="490"/>
    </row>
    <row r="393" spans="1:9">
      <c r="A393" s="476"/>
      <c r="B393" s="476"/>
      <c r="C393" s="476"/>
      <c r="D393" s="1274"/>
      <c r="E393" s="1274"/>
      <c r="F393" s="1274"/>
      <c r="I393" s="490"/>
    </row>
    <row r="394" spans="1:9">
      <c r="A394" s="476"/>
      <c r="B394" s="476"/>
      <c r="C394" s="476"/>
      <c r="D394" s="1274"/>
      <c r="E394" s="1274"/>
      <c r="F394" s="1274"/>
      <c r="I394" s="490"/>
    </row>
    <row r="395" spans="1:9">
      <c r="A395" s="476"/>
      <c r="B395" s="476"/>
      <c r="C395" s="476"/>
      <c r="D395" s="1274"/>
      <c r="E395" s="1274"/>
      <c r="F395" s="1274"/>
      <c r="I395" s="490"/>
    </row>
    <row r="396" spans="1:9" ht="18" customHeight="1">
      <c r="A396" s="476"/>
      <c r="B396" s="476"/>
      <c r="C396" s="476"/>
      <c r="D396" s="1274"/>
      <c r="E396" s="1274"/>
      <c r="F396" s="1274"/>
      <c r="I396" s="490"/>
    </row>
    <row r="397" spans="1:9">
      <c r="A397" s="476"/>
      <c r="B397" s="476"/>
      <c r="C397" s="476"/>
      <c r="D397" s="1274"/>
      <c r="E397" s="1274"/>
      <c r="F397" s="1274"/>
      <c r="I397" s="490"/>
    </row>
    <row r="398" spans="1:9">
      <c r="A398" s="476"/>
      <c r="B398" s="476"/>
      <c r="C398" s="476"/>
      <c r="D398" s="1274"/>
      <c r="E398" s="1274"/>
      <c r="F398" s="1274"/>
      <c r="I398" s="490"/>
    </row>
    <row r="399" spans="1:9">
      <c r="A399" s="476"/>
      <c r="B399" s="476"/>
      <c r="C399" s="476"/>
      <c r="D399" s="1274"/>
      <c r="E399" s="1274"/>
      <c r="F399" s="1274"/>
      <c r="I399" s="490"/>
    </row>
    <row r="400" spans="1:9" ht="8.25" customHeight="1">
      <c r="A400" s="476"/>
      <c r="B400" s="476"/>
      <c r="C400" s="476"/>
      <c r="D400" s="1274"/>
      <c r="E400" s="1274"/>
      <c r="F400" s="1274"/>
      <c r="I400" s="490"/>
    </row>
    <row r="401" spans="1:9" ht="13.7" customHeight="1">
      <c r="A401" s="476"/>
      <c r="B401" s="476"/>
      <c r="C401" s="476"/>
      <c r="D401" s="1274" t="s">
        <v>1135</v>
      </c>
      <c r="E401" s="1274"/>
      <c r="F401" s="1274"/>
      <c r="I401" s="490"/>
    </row>
    <row r="402" spans="1:9">
      <c r="A402" s="476"/>
      <c r="B402" s="476"/>
      <c r="C402" s="476"/>
      <c r="D402" s="1274"/>
      <c r="E402" s="1274"/>
      <c r="F402" s="1274"/>
      <c r="I402" s="490"/>
    </row>
    <row r="403" spans="1:9">
      <c r="A403" s="476"/>
      <c r="B403" s="476"/>
      <c r="C403" s="476"/>
      <c r="D403" s="1274"/>
      <c r="E403" s="1274"/>
      <c r="F403" s="1274"/>
      <c r="I403" s="490"/>
    </row>
    <row r="404" spans="1:9">
      <c r="A404" s="476"/>
      <c r="B404" s="476"/>
      <c r="C404" s="476"/>
      <c r="D404" s="1274"/>
      <c r="E404" s="1274"/>
      <c r="F404" s="1274"/>
      <c r="I404" s="490"/>
    </row>
    <row r="405" spans="1:9">
      <c r="A405" s="476"/>
      <c r="B405" s="476"/>
      <c r="C405" s="476"/>
      <c r="D405" s="1274"/>
      <c r="E405" s="1274"/>
      <c r="F405" s="1274"/>
      <c r="I405" s="490"/>
    </row>
    <row r="406" spans="1:9">
      <c r="A406" s="476"/>
      <c r="B406" s="476"/>
      <c r="C406" s="476"/>
      <c r="D406" s="1274"/>
      <c r="E406" s="1274"/>
      <c r="F406" s="1274"/>
      <c r="I406" s="490"/>
    </row>
    <row r="407" spans="1:9">
      <c r="A407" s="476"/>
      <c r="B407" s="476"/>
      <c r="C407" s="476"/>
      <c r="D407" s="1274"/>
      <c r="E407" s="1274"/>
      <c r="F407" s="1274"/>
      <c r="I407" s="490"/>
    </row>
    <row r="408" spans="1:9">
      <c r="A408" s="476"/>
      <c r="B408" s="476"/>
      <c r="C408" s="476"/>
      <c r="D408" s="1274"/>
      <c r="E408" s="1274"/>
      <c r="F408" s="1274"/>
      <c r="I408" s="490"/>
    </row>
    <row r="409" spans="1:9">
      <c r="A409" s="476"/>
      <c r="B409" s="476"/>
      <c r="C409" s="476"/>
      <c r="D409" s="1274"/>
      <c r="E409" s="1274"/>
      <c r="F409" s="1274"/>
      <c r="I409" s="490"/>
    </row>
    <row r="410" spans="1:9">
      <c r="A410" s="476"/>
      <c r="B410" s="476"/>
      <c r="C410" s="476"/>
      <c r="D410" s="1274"/>
      <c r="E410" s="1274"/>
      <c r="F410" s="1274"/>
      <c r="I410" s="490"/>
    </row>
    <row r="411" spans="1:9">
      <c r="A411" s="476"/>
      <c r="B411" s="476"/>
      <c r="C411" s="476"/>
      <c r="D411" s="1274"/>
      <c r="E411" s="1274"/>
      <c r="F411" s="1274"/>
      <c r="I411" s="490"/>
    </row>
    <row r="412" spans="1:9">
      <c r="A412" s="476"/>
      <c r="B412" s="476"/>
      <c r="C412" s="476"/>
      <c r="D412" s="1274"/>
      <c r="E412" s="1274"/>
      <c r="F412" s="1274"/>
      <c r="I412" s="490"/>
    </row>
    <row r="413" spans="1:9">
      <c r="A413" s="476"/>
      <c r="B413" s="476"/>
      <c r="C413" s="496"/>
      <c r="D413" s="1274"/>
      <c r="E413" s="1274"/>
      <c r="F413" s="1274"/>
      <c r="I413" s="490"/>
    </row>
    <row r="414" spans="1:9">
      <c r="A414" s="476"/>
      <c r="B414" s="476"/>
      <c r="C414" s="496"/>
      <c r="D414" s="1274"/>
      <c r="E414" s="1274"/>
      <c r="F414" s="1274"/>
      <c r="I414" s="490"/>
    </row>
    <row r="415" spans="1:9">
      <c r="A415" s="476"/>
      <c r="B415" s="476"/>
      <c r="C415" s="476"/>
      <c r="D415" s="1274"/>
      <c r="E415" s="1274"/>
      <c r="F415" s="1274"/>
      <c r="I415" s="490"/>
    </row>
    <row r="416" spans="1:9">
      <c r="A416" s="476"/>
      <c r="B416" s="476"/>
      <c r="C416" s="496"/>
      <c r="D416" s="1274"/>
      <c r="E416" s="1274"/>
      <c r="F416" s="1274"/>
      <c r="I416" s="490"/>
    </row>
    <row r="417" spans="1:9">
      <c r="A417" s="476"/>
      <c r="B417" s="476"/>
      <c r="C417" s="496"/>
      <c r="D417" s="1274"/>
      <c r="E417" s="1274"/>
      <c r="F417" s="1274"/>
      <c r="I417" s="490"/>
    </row>
    <row r="418" spans="1:9">
      <c r="A418" s="476"/>
      <c r="B418" s="476"/>
      <c r="C418" s="496"/>
      <c r="D418" s="1274"/>
      <c r="E418" s="1274"/>
      <c r="F418" s="1274"/>
      <c r="I418" s="490"/>
    </row>
    <row r="419" spans="1:9">
      <c r="A419" s="476"/>
      <c r="B419" s="476"/>
      <c r="C419" s="476"/>
      <c r="D419" s="447"/>
      <c r="E419" s="447"/>
      <c r="F419" s="446"/>
      <c r="I419" s="490"/>
    </row>
    <row r="420" spans="1:9">
      <c r="A420" s="476"/>
      <c r="B420" s="485" t="s">
        <v>306</v>
      </c>
      <c r="C420" s="476"/>
      <c r="D420" s="1274" t="s">
        <v>1136</v>
      </c>
      <c r="E420" s="1274"/>
      <c r="F420" s="1274"/>
      <c r="I420" s="490"/>
    </row>
    <row r="421" spans="1:9">
      <c r="A421" s="476"/>
      <c r="B421" s="476"/>
      <c r="C421" s="476"/>
      <c r="D421" s="1274"/>
      <c r="E421" s="1274"/>
      <c r="F421" s="1274"/>
      <c r="I421" s="490"/>
    </row>
    <row r="422" spans="1:9">
      <c r="A422" s="476"/>
      <c r="B422" s="476"/>
      <c r="C422" s="476"/>
      <c r="D422" s="451"/>
      <c r="E422" s="451"/>
      <c r="F422" s="451"/>
      <c r="I422" s="490"/>
    </row>
    <row r="423" spans="1:9" ht="14.45" customHeight="1">
      <c r="A423" s="484"/>
      <c r="B423" s="485" t="s">
        <v>306</v>
      </c>
      <c r="D423" s="1274" t="s">
        <v>1882</v>
      </c>
      <c r="E423" s="1274"/>
      <c r="F423" s="1274"/>
      <c r="I423" s="490"/>
    </row>
    <row r="424" spans="1:9" ht="14.45" customHeight="1">
      <c r="A424" s="484"/>
      <c r="D424" s="1274"/>
      <c r="E424" s="1274"/>
      <c r="F424" s="1274"/>
      <c r="I424" s="490"/>
    </row>
    <row r="425" spans="1:9" ht="14.45" customHeight="1">
      <c r="A425" s="484"/>
      <c r="D425" s="1274"/>
      <c r="E425" s="1274"/>
      <c r="F425" s="1274"/>
      <c r="I425" s="490"/>
    </row>
    <row r="426" spans="1:9" ht="14.45" customHeight="1">
      <c r="A426" s="484"/>
      <c r="D426" s="1274"/>
      <c r="E426" s="1274"/>
      <c r="F426" s="1274"/>
      <c r="I426" s="490"/>
    </row>
    <row r="427" spans="1:9" ht="14.45" customHeight="1">
      <c r="A427" s="484"/>
      <c r="D427" s="1274"/>
      <c r="E427" s="1274"/>
      <c r="F427" s="1274"/>
      <c r="I427" s="490"/>
    </row>
    <row r="428" spans="1:9" ht="14.45" customHeight="1">
      <c r="A428" s="484"/>
      <c r="D428" s="385"/>
      <c r="E428" s="385"/>
      <c r="F428" s="385"/>
      <c r="I428" s="490"/>
    </row>
    <row r="429" spans="1:9" ht="13.7" customHeight="1">
      <c r="A429" s="484"/>
      <c r="B429" s="485" t="s">
        <v>306</v>
      </c>
      <c r="C429" s="476"/>
      <c r="D429" s="1274" t="s">
        <v>1240</v>
      </c>
      <c r="E429" s="1274"/>
      <c r="F429" s="1274"/>
      <c r="I429" s="490"/>
    </row>
    <row r="430" spans="1:9" ht="14.25">
      <c r="A430" s="497"/>
      <c r="B430" s="497"/>
      <c r="C430" s="476"/>
      <c r="D430" s="1274"/>
      <c r="E430" s="1274"/>
      <c r="F430" s="1274"/>
      <c r="I430" s="490"/>
    </row>
    <row r="431" spans="1:9" ht="14.25">
      <c r="A431" s="497"/>
      <c r="B431" s="497"/>
      <c r="C431" s="476"/>
      <c r="D431" s="1274"/>
      <c r="E431" s="1274"/>
      <c r="F431" s="1274"/>
      <c r="I431" s="490"/>
    </row>
    <row r="432" spans="1:9" ht="14.25">
      <c r="A432" s="497"/>
      <c r="B432" s="497"/>
      <c r="C432" s="476"/>
      <c r="D432" s="1274"/>
      <c r="E432" s="1274"/>
      <c r="F432" s="1274"/>
      <c r="I432" s="490"/>
    </row>
    <row r="433" spans="1:9" ht="15.75" customHeight="1">
      <c r="A433" s="497"/>
      <c r="B433" s="497"/>
      <c r="C433" s="476"/>
      <c r="D433" s="1332" t="s">
        <v>2074</v>
      </c>
      <c r="E433" s="1274"/>
      <c r="F433" s="1274"/>
      <c r="I433" s="490"/>
    </row>
    <row r="434" spans="1:9">
      <c r="D434" s="446"/>
      <c r="E434" s="446"/>
      <c r="F434" s="446"/>
      <c r="I434" s="490"/>
    </row>
    <row r="435" spans="1:9" ht="14.25">
      <c r="A435" s="484"/>
      <c r="B435" s="485" t="s">
        <v>306</v>
      </c>
      <c r="C435" s="487"/>
      <c r="D435" s="1303" t="s">
        <v>2059</v>
      </c>
      <c r="E435" s="1303"/>
      <c r="F435" s="1303"/>
      <c r="I435" s="490"/>
    </row>
    <row r="436" spans="1:9" ht="14.25">
      <c r="A436" s="484"/>
      <c r="B436" s="484"/>
      <c r="D436" s="1303"/>
      <c r="E436" s="1303"/>
      <c r="F436" s="1303"/>
      <c r="I436" s="490"/>
    </row>
    <row r="437" spans="1:9">
      <c r="D437" s="1303"/>
      <c r="E437" s="1303"/>
      <c r="F437" s="1303"/>
      <c r="I437" s="490"/>
    </row>
    <row r="438" spans="1:9">
      <c r="D438" s="1303"/>
      <c r="E438" s="1303"/>
      <c r="F438" s="1303"/>
      <c r="I438" s="490"/>
    </row>
    <row r="439" spans="1:9">
      <c r="D439" s="1303"/>
      <c r="E439" s="1303"/>
      <c r="F439" s="1303"/>
      <c r="I439" s="490"/>
    </row>
    <row r="440" spans="1:9">
      <c r="D440" s="1303"/>
      <c r="E440" s="1303"/>
      <c r="F440" s="1303"/>
      <c r="I440" s="490"/>
    </row>
    <row r="441" spans="1:9">
      <c r="D441" s="1303"/>
      <c r="E441" s="1303"/>
      <c r="F441" s="1303"/>
      <c r="I441" s="490"/>
    </row>
    <row r="442" spans="1:9">
      <c r="D442" s="1303"/>
      <c r="E442" s="1303"/>
      <c r="F442" s="1303"/>
      <c r="I442" s="490"/>
    </row>
    <row r="443" spans="1:9">
      <c r="D443" s="1303"/>
      <c r="E443" s="1303"/>
      <c r="F443" s="1303"/>
      <c r="I443" s="490"/>
    </row>
    <row r="444" spans="1:9">
      <c r="D444" s="1303"/>
      <c r="E444" s="1303"/>
      <c r="F444" s="1303"/>
      <c r="I444" s="490"/>
    </row>
    <row r="445" spans="1:9">
      <c r="D445" s="1303"/>
      <c r="E445" s="1303"/>
      <c r="F445" s="1303"/>
      <c r="I445" s="490"/>
    </row>
    <row r="446" spans="1:9">
      <c r="D446" s="1303"/>
      <c r="E446" s="1303"/>
      <c r="F446" s="1303"/>
      <c r="I446" s="490"/>
    </row>
    <row r="447" spans="1:9">
      <c r="D447" s="1303"/>
      <c r="E447" s="1303"/>
      <c r="F447" s="1303"/>
      <c r="I447" s="490"/>
    </row>
    <row r="448" spans="1:9">
      <c r="A448" s="402"/>
      <c r="B448" s="402"/>
      <c r="C448" s="402"/>
      <c r="D448" s="1303"/>
      <c r="E448" s="1303"/>
      <c r="F448" s="1303"/>
      <c r="I448" s="490"/>
    </row>
    <row r="449" spans="1:9">
      <c r="A449" s="402"/>
      <c r="B449" s="402"/>
      <c r="C449" s="402"/>
      <c r="D449" s="1303"/>
      <c r="E449" s="1303"/>
      <c r="F449" s="1303"/>
      <c r="I449" s="490"/>
    </row>
    <row r="450" spans="1:9">
      <c r="A450" s="402"/>
      <c r="B450" s="402"/>
      <c r="C450" s="402"/>
      <c r="D450" s="1303"/>
      <c r="E450" s="1303"/>
      <c r="F450" s="1303"/>
      <c r="I450" s="490"/>
    </row>
    <row r="451" spans="1:9">
      <c r="A451" s="402"/>
      <c r="B451" s="402"/>
      <c r="C451" s="402"/>
      <c r="D451" s="1303"/>
      <c r="E451" s="1303"/>
      <c r="F451" s="1303"/>
      <c r="I451" s="490"/>
    </row>
    <row r="452" spans="1:9">
      <c r="A452" s="402"/>
      <c r="B452" s="402"/>
      <c r="C452" s="402"/>
      <c r="D452" s="1303"/>
      <c r="E452" s="1303"/>
      <c r="F452" s="1303"/>
      <c r="I452" s="490"/>
    </row>
    <row r="453" spans="1:9">
      <c r="A453" s="402"/>
      <c r="B453" s="402"/>
      <c r="C453" s="402"/>
      <c r="D453" s="1303"/>
      <c r="E453" s="1303"/>
      <c r="F453" s="1303"/>
      <c r="I453" s="490"/>
    </row>
    <row r="454" spans="1:9">
      <c r="A454" s="402"/>
      <c r="B454" s="402"/>
      <c r="C454" s="402"/>
      <c r="D454" s="1303"/>
      <c r="E454" s="1303"/>
      <c r="F454" s="1303"/>
      <c r="I454" s="490"/>
    </row>
    <row r="455" spans="1:9">
      <c r="A455" s="402"/>
      <c r="B455" s="402"/>
      <c r="C455" s="402"/>
      <c r="D455" s="1303"/>
      <c r="E455" s="1303"/>
      <c r="F455" s="1303"/>
      <c r="I455" s="490"/>
    </row>
    <row r="456" spans="1:9">
      <c r="A456" s="402"/>
      <c r="B456" s="402"/>
      <c r="C456" s="402"/>
      <c r="D456" s="1303"/>
      <c r="E456" s="1303"/>
      <c r="F456" s="1303"/>
      <c r="I456" s="490"/>
    </row>
    <row r="457" spans="1:9">
      <c r="A457" s="402"/>
      <c r="B457" s="402"/>
      <c r="C457" s="402"/>
      <c r="D457" s="1303"/>
      <c r="E457" s="1303"/>
      <c r="F457" s="1303"/>
      <c r="I457" s="490"/>
    </row>
    <row r="458" spans="1:9">
      <c r="A458" s="402"/>
      <c r="B458" s="402"/>
      <c r="C458" s="402"/>
      <c r="D458" s="1303"/>
      <c r="E458" s="1303"/>
      <c r="F458" s="1303"/>
      <c r="I458" s="490"/>
    </row>
    <row r="459" spans="1:9">
      <c r="A459" s="402"/>
      <c r="B459" s="402"/>
      <c r="C459" s="402"/>
      <c r="D459" s="1303"/>
      <c r="E459" s="1303"/>
      <c r="F459" s="1303"/>
      <c r="I459" s="490"/>
    </row>
    <row r="460" spans="1:9">
      <c r="A460" s="402"/>
      <c r="B460" s="402"/>
      <c r="C460" s="402"/>
      <c r="D460" s="1303"/>
      <c r="E460" s="1303"/>
      <c r="F460" s="1303"/>
      <c r="I460" s="490"/>
    </row>
    <row r="461" spans="1:9">
      <c r="A461" s="402"/>
      <c r="B461" s="402"/>
      <c r="C461" s="402"/>
      <c r="D461" s="1303"/>
      <c r="E461" s="1303"/>
      <c r="F461" s="1303"/>
      <c r="I461" s="490"/>
    </row>
    <row r="462" spans="1:9">
      <c r="A462" s="402"/>
      <c r="B462" s="402"/>
      <c r="C462" s="402"/>
      <c r="D462" s="1303"/>
      <c r="E462" s="1303"/>
      <c r="F462" s="1303"/>
      <c r="I462" s="490"/>
    </row>
    <row r="463" spans="1:9">
      <c r="A463" s="402"/>
      <c r="B463" s="402"/>
      <c r="C463" s="402"/>
      <c r="D463" s="1303"/>
      <c r="E463" s="1303"/>
      <c r="F463" s="1303"/>
      <c r="I463" s="490"/>
    </row>
    <row r="464" spans="1:9">
      <c r="D464" s="1303"/>
      <c r="E464" s="1303"/>
      <c r="F464" s="1303"/>
      <c r="I464" s="490"/>
    </row>
    <row r="465" spans="1:9" ht="40.700000000000003" customHeight="1">
      <c r="D465" s="1303"/>
      <c r="E465" s="1303"/>
      <c r="F465" s="1303"/>
      <c r="I465" s="490"/>
    </row>
    <row r="466" spans="1:9">
      <c r="D466" s="446"/>
      <c r="E466" s="446"/>
      <c r="F466" s="446"/>
      <c r="I466" s="490"/>
    </row>
    <row r="467" spans="1:9" ht="14.25">
      <c r="A467" s="484"/>
      <c r="B467" s="485" t="s">
        <v>306</v>
      </c>
      <c r="C467" s="487"/>
      <c r="D467" s="1303" t="s">
        <v>1137</v>
      </c>
      <c r="E467" s="1303"/>
      <c r="F467" s="1303"/>
      <c r="I467" s="490"/>
    </row>
    <row r="468" spans="1:9">
      <c r="D468" s="1303"/>
      <c r="E468" s="1303"/>
      <c r="F468" s="1303"/>
      <c r="I468" s="490"/>
    </row>
    <row r="469" spans="1:9">
      <c r="D469" s="1303"/>
      <c r="E469" s="1303"/>
      <c r="F469" s="1303"/>
      <c r="I469" s="490"/>
    </row>
    <row r="470" spans="1:9">
      <c r="D470" s="445"/>
      <c r="E470" s="445"/>
      <c r="F470" s="445"/>
      <c r="I470" s="490"/>
    </row>
    <row r="471" spans="1:9" ht="14.25">
      <c r="B471" s="485" t="s">
        <v>306</v>
      </c>
      <c r="C471" s="484"/>
      <c r="D471" s="1303" t="s">
        <v>1197</v>
      </c>
      <c r="E471" s="1303"/>
      <c r="F471" s="1303"/>
      <c r="I471" s="490"/>
    </row>
    <row r="472" spans="1:9">
      <c r="D472" s="1303"/>
      <c r="E472" s="1303"/>
      <c r="F472" s="1303"/>
      <c r="I472" s="490"/>
    </row>
    <row r="473" spans="1:9">
      <c r="D473" s="446"/>
      <c r="E473" s="446"/>
      <c r="F473" s="446"/>
      <c r="I473" s="490"/>
    </row>
    <row r="474" spans="1:9" ht="14.25">
      <c r="B474" s="485" t="s">
        <v>306</v>
      </c>
      <c r="C474" s="484"/>
      <c r="D474" s="1303" t="s">
        <v>1138</v>
      </c>
      <c r="E474" s="1303"/>
      <c r="F474" s="1303"/>
      <c r="I474" s="490"/>
    </row>
    <row r="475" spans="1:9">
      <c r="D475" s="1303"/>
      <c r="E475" s="1303"/>
      <c r="F475" s="1303"/>
      <c r="I475" s="490"/>
    </row>
    <row r="476" spans="1:9">
      <c r="D476" s="1303"/>
      <c r="E476" s="1303"/>
      <c r="F476" s="1303"/>
      <c r="I476" s="490"/>
    </row>
    <row r="477" spans="1:9">
      <c r="D477" s="1303"/>
      <c r="E477" s="1303"/>
      <c r="F477" s="1303"/>
      <c r="I477" s="490"/>
    </row>
    <row r="478" spans="1:9">
      <c r="B478" s="485" t="s">
        <v>306</v>
      </c>
      <c r="D478" s="1303"/>
      <c r="E478" s="1303"/>
      <c r="F478" s="1303"/>
      <c r="I478" s="490"/>
    </row>
    <row r="479" spans="1:9">
      <c r="A479" s="402"/>
      <c r="B479" s="402"/>
      <c r="C479" s="402"/>
      <c r="D479" s="1303"/>
      <c r="E479" s="1303"/>
      <c r="F479" s="1303"/>
      <c r="I479" s="490"/>
    </row>
    <row r="480" spans="1:9">
      <c r="A480" s="402"/>
      <c r="C480" s="402"/>
      <c r="D480" s="1303"/>
      <c r="E480" s="1303"/>
      <c r="F480" s="1303"/>
      <c r="I480" s="490"/>
    </row>
    <row r="481" spans="1:9">
      <c r="A481" s="402"/>
      <c r="B481" s="485" t="s">
        <v>306</v>
      </c>
      <c r="C481" s="402"/>
      <c r="D481" s="1303"/>
      <c r="E481" s="1303"/>
      <c r="F481" s="1303"/>
      <c r="I481" s="490"/>
    </row>
    <row r="482" spans="1:9">
      <c r="A482" s="402"/>
      <c r="B482" s="402"/>
      <c r="C482" s="402"/>
      <c r="D482" s="1303"/>
      <c r="E482" s="1303"/>
      <c r="F482" s="1303"/>
      <c r="I482" s="490"/>
    </row>
    <row r="483" spans="1:9">
      <c r="A483" s="402"/>
      <c r="C483" s="402"/>
      <c r="D483" s="1303"/>
      <c r="E483" s="1303"/>
      <c r="F483" s="1303"/>
      <c r="I483" s="490"/>
    </row>
    <row r="484" spans="1:9">
      <c r="A484" s="402"/>
      <c r="C484" s="402"/>
      <c r="D484" s="1303"/>
      <c r="E484" s="1303"/>
      <c r="F484" s="1303"/>
      <c r="I484" s="490"/>
    </row>
    <row r="485" spans="1:9">
      <c r="A485" s="402"/>
      <c r="C485" s="402"/>
      <c r="D485" s="1303"/>
      <c r="E485" s="1303"/>
      <c r="F485" s="1303"/>
      <c r="I485" s="490"/>
    </row>
    <row r="486" spans="1:9">
      <c r="A486" s="402"/>
      <c r="B486" s="485" t="s">
        <v>306</v>
      </c>
      <c r="C486" s="402"/>
      <c r="D486" s="1303"/>
      <c r="E486" s="1303"/>
      <c r="F486" s="1303"/>
      <c r="I486" s="490"/>
    </row>
    <row r="487" spans="1:9">
      <c r="A487" s="402"/>
      <c r="C487" s="402"/>
      <c r="D487" s="1303"/>
      <c r="E487" s="1303"/>
      <c r="F487" s="1303"/>
      <c r="I487" s="490"/>
    </row>
    <row r="488" spans="1:9">
      <c r="A488" s="402"/>
      <c r="B488" s="485" t="s">
        <v>306</v>
      </c>
      <c r="C488" s="402"/>
      <c r="D488" s="1303" t="s">
        <v>1139</v>
      </c>
      <c r="E488" s="1303"/>
      <c r="F488" s="1303"/>
      <c r="I488" s="490"/>
    </row>
    <row r="489" spans="1:9">
      <c r="A489" s="402"/>
      <c r="B489" s="402"/>
      <c r="C489" s="402"/>
      <c r="D489" s="1303"/>
      <c r="E489" s="1303"/>
      <c r="F489" s="1303"/>
      <c r="I489" s="490"/>
    </row>
    <row r="490" spans="1:9">
      <c r="A490" s="402"/>
      <c r="B490" s="402"/>
      <c r="C490" s="402"/>
      <c r="D490" s="1303"/>
      <c r="E490" s="1303"/>
      <c r="F490" s="1303"/>
      <c r="I490" s="490"/>
    </row>
    <row r="491" spans="1:9">
      <c r="A491" s="402"/>
      <c r="B491" s="402"/>
      <c r="C491" s="402"/>
      <c r="D491" s="1303"/>
      <c r="E491" s="1303"/>
      <c r="F491" s="1303"/>
      <c r="I491" s="490"/>
    </row>
    <row r="492" spans="1:9">
      <c r="D492" s="1303"/>
      <c r="E492" s="1303"/>
      <c r="F492" s="1303"/>
      <c r="I492" s="490"/>
    </row>
    <row r="493" spans="1:9">
      <c r="D493" s="446"/>
      <c r="E493" s="446"/>
      <c r="F493" s="446"/>
      <c r="I493" s="490"/>
    </row>
    <row r="494" spans="1:9">
      <c r="B494" s="485" t="s">
        <v>306</v>
      </c>
      <c r="D494" s="1301" t="s">
        <v>1140</v>
      </c>
      <c r="E494" s="1301"/>
      <c r="F494" s="1301"/>
      <c r="I494" s="490"/>
    </row>
    <row r="495" spans="1:9">
      <c r="A495" s="446"/>
      <c r="B495" s="446"/>
      <c r="I495" s="490"/>
    </row>
    <row r="496" spans="1:9">
      <c r="A496" s="1310" t="s">
        <v>1050</v>
      </c>
      <c r="B496" s="1310"/>
      <c r="C496" s="1310"/>
      <c r="D496" s="1310"/>
      <c r="E496" s="1310"/>
      <c r="F496" s="1310"/>
      <c r="G496" s="1310"/>
      <c r="H496" s="1028"/>
      <c r="I496" s="1153"/>
    </row>
    <row r="497" spans="1:9">
      <c r="A497" s="446"/>
      <c r="B497" s="446"/>
      <c r="I497" s="490"/>
    </row>
    <row r="498" spans="1:9">
      <c r="D498" s="1329" t="s">
        <v>883</v>
      </c>
      <c r="E498" s="1329"/>
      <c r="F498" s="1329"/>
      <c r="I498" s="490"/>
    </row>
    <row r="499" spans="1:9" ht="14.25">
      <c r="A499" s="484"/>
      <c r="B499" s="484"/>
      <c r="D499" s="1320" t="s">
        <v>1141</v>
      </c>
      <c r="E499" s="1320"/>
      <c r="F499" s="1320"/>
      <c r="I499" s="490"/>
    </row>
    <row r="500" spans="1:9" ht="14.25">
      <c r="A500" s="484"/>
      <c r="B500" s="484"/>
      <c r="D500" s="447"/>
      <c r="I500" s="490"/>
    </row>
    <row r="501" spans="1:9" ht="14.25">
      <c r="A501" s="484"/>
      <c r="B501" s="485" t="s">
        <v>306</v>
      </c>
      <c r="D501" s="1274" t="s">
        <v>1142</v>
      </c>
      <c r="E501" s="1274"/>
      <c r="F501" s="1274"/>
      <c r="I501" s="490"/>
    </row>
    <row r="502" spans="1:9" ht="14.25">
      <c r="A502" s="484"/>
      <c r="B502" s="484"/>
      <c r="D502" s="1274"/>
      <c r="E502" s="1274"/>
      <c r="F502" s="1274"/>
      <c r="I502" s="490"/>
    </row>
    <row r="503" spans="1:9" ht="14.25">
      <c r="A503" s="484"/>
      <c r="B503" s="484"/>
      <c r="D503" s="446"/>
      <c r="I503" s="490"/>
    </row>
    <row r="504" spans="1:9" ht="12.75" customHeight="1">
      <c r="B504" s="485" t="s">
        <v>306</v>
      </c>
      <c r="D504" s="1315" t="s">
        <v>1273</v>
      </c>
      <c r="E504" s="1315"/>
      <c r="F504" s="1315"/>
      <c r="I504" s="490"/>
    </row>
    <row r="505" spans="1:9" ht="14.25">
      <c r="A505" s="484"/>
      <c r="D505" s="1315"/>
      <c r="E505" s="1315"/>
      <c r="F505" s="1315"/>
      <c r="I505" s="490"/>
    </row>
    <row r="506" spans="1:9" ht="14.25">
      <c r="A506" s="484"/>
      <c r="B506" s="484"/>
      <c r="D506" s="1315"/>
      <c r="E506" s="1315"/>
      <c r="F506" s="1315"/>
      <c r="I506" s="490"/>
    </row>
    <row r="507" spans="1:9" ht="14.25">
      <c r="A507" s="484"/>
      <c r="B507" s="484"/>
      <c r="D507" s="1315"/>
      <c r="E507" s="1315"/>
      <c r="F507" s="1315"/>
      <c r="I507" s="490"/>
    </row>
    <row r="508" spans="1:9" ht="14.25">
      <c r="A508" s="484"/>
      <c r="D508" s="520"/>
      <c r="E508" s="520"/>
      <c r="F508" s="520"/>
      <c r="I508" s="490"/>
    </row>
    <row r="509" spans="1:9" ht="14.25">
      <c r="A509" s="484"/>
      <c r="B509" s="485" t="s">
        <v>306</v>
      </c>
      <c r="D509" s="1301" t="s">
        <v>1143</v>
      </c>
      <c r="E509" s="1301"/>
      <c r="F509" s="1301"/>
      <c r="I509" s="490"/>
    </row>
    <row r="510" spans="1:9" ht="14.25">
      <c r="A510" s="484"/>
      <c r="B510" s="484"/>
      <c r="D510" s="446"/>
      <c r="I510" s="490"/>
    </row>
    <row r="511" spans="1:9" ht="14.25">
      <c r="A511" s="484"/>
      <c r="B511" s="485" t="s">
        <v>306</v>
      </c>
      <c r="D511" s="1303" t="s">
        <v>1144</v>
      </c>
      <c r="E511" s="1303"/>
      <c r="F511" s="1303"/>
      <c r="I511" s="490"/>
    </row>
    <row r="512" spans="1:9" ht="14.25">
      <c r="A512" s="484"/>
      <c r="D512" s="1303"/>
      <c r="E512" s="1303"/>
      <c r="F512" s="1303"/>
      <c r="I512" s="490"/>
    </row>
    <row r="513" spans="1:9">
      <c r="A513" s="490"/>
      <c r="B513" s="490"/>
      <c r="D513" s="447"/>
      <c r="I513" s="490"/>
    </row>
    <row r="514" spans="1:9">
      <c r="A514" s="490"/>
      <c r="B514" s="485" t="s">
        <v>306</v>
      </c>
      <c r="D514" s="1301" t="s">
        <v>1145</v>
      </c>
      <c r="E514" s="1301"/>
      <c r="F514" s="1301"/>
      <c r="I514" s="490"/>
    </row>
    <row r="515" spans="1:9">
      <c r="D515" s="446"/>
      <c r="E515" s="446"/>
      <c r="F515" s="446"/>
      <c r="I515" s="490"/>
    </row>
    <row r="516" spans="1:9">
      <c r="B516" s="485" t="s">
        <v>306</v>
      </c>
      <c r="D516" s="1303" t="s">
        <v>2281</v>
      </c>
      <c r="E516" s="1303"/>
      <c r="F516" s="1303"/>
      <c r="I516" s="490"/>
    </row>
    <row r="517" spans="1:9">
      <c r="D517" s="1303"/>
      <c r="E517" s="1303"/>
      <c r="F517" s="1303"/>
      <c r="I517" s="490"/>
    </row>
    <row r="518" spans="1:9">
      <c r="D518" s="1303"/>
      <c r="E518" s="1303"/>
      <c r="F518" s="1303"/>
      <c r="I518" s="490"/>
    </row>
    <row r="519" spans="1:9">
      <c r="D519" s="446"/>
      <c r="E519" s="446"/>
      <c r="F519" s="446"/>
      <c r="I519" s="490"/>
    </row>
    <row r="520" spans="1:9" ht="14.25">
      <c r="A520" s="484"/>
      <c r="B520" s="484"/>
      <c r="D520" s="446"/>
      <c r="I520" s="490"/>
    </row>
    <row r="521" spans="1:9">
      <c r="A521" s="1310" t="s">
        <v>1051</v>
      </c>
      <c r="B521" s="1310"/>
      <c r="C521" s="1310"/>
      <c r="D521" s="1310"/>
      <c r="E521" s="1310"/>
      <c r="F521" s="1310"/>
      <c r="G521" s="1310"/>
      <c r="H521" s="1028"/>
      <c r="I521" s="1153"/>
    </row>
    <row r="522" spans="1:9" ht="12" customHeight="1">
      <c r="A522" s="484"/>
      <c r="B522" s="484"/>
      <c r="D522" s="446"/>
      <c r="I522" s="490"/>
    </row>
    <row r="523" spans="1:9">
      <c r="C523" s="482"/>
      <c r="D523" s="1311" t="s">
        <v>793</v>
      </c>
      <c r="E523" s="1311"/>
      <c r="F523" s="131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306</v>
      </c>
      <c r="C527" s="483"/>
      <c r="D527" s="1274" t="s">
        <v>2060</v>
      </c>
      <c r="E527" s="1274"/>
      <c r="F527" s="1274"/>
      <c r="I527" s="490"/>
    </row>
    <row r="528" spans="1:9">
      <c r="A528" s="483"/>
      <c r="B528" s="483"/>
      <c r="C528" s="483"/>
      <c r="D528" s="1274"/>
      <c r="E528" s="1274"/>
      <c r="F528" s="1274"/>
      <c r="I528" s="490"/>
    </row>
    <row r="529" spans="1:9">
      <c r="A529" s="483"/>
      <c r="B529" s="483"/>
      <c r="C529" s="483"/>
      <c r="D529" s="451"/>
      <c r="E529" s="451"/>
      <c r="F529" s="451"/>
      <c r="I529" s="480"/>
    </row>
    <row r="530" spans="1:9" ht="12.75" customHeight="1">
      <c r="A530" s="483"/>
      <c r="B530" s="485" t="s">
        <v>306</v>
      </c>
      <c r="D530" s="386" t="s">
        <v>1904</v>
      </c>
      <c r="E530" s="385"/>
      <c r="F530" s="385"/>
      <c r="I530" s="490"/>
    </row>
    <row r="531" spans="1:9">
      <c r="A531" s="483"/>
      <c r="B531" s="483"/>
      <c r="C531" s="483"/>
      <c r="D531" s="385"/>
      <c r="E531" s="96" t="s">
        <v>1905</v>
      </c>
      <c r="I531" s="490"/>
    </row>
    <row r="532" spans="1:9">
      <c r="A532" s="483"/>
      <c r="B532" s="483"/>
      <c r="D532" s="1282" t="s">
        <v>2061</v>
      </c>
      <c r="E532" s="1282"/>
      <c r="F532" s="1282"/>
      <c r="I532" s="490"/>
    </row>
    <row r="533" spans="1:9">
      <c r="A533" s="483"/>
      <c r="B533" s="483"/>
      <c r="D533" s="1282"/>
      <c r="E533" s="1282"/>
      <c r="F533" s="1282"/>
      <c r="I533" s="490"/>
    </row>
    <row r="534" spans="1:9">
      <c r="A534" s="483"/>
      <c r="B534" s="483"/>
      <c r="C534" s="483"/>
      <c r="D534" s="1282"/>
      <c r="E534" s="1282"/>
      <c r="F534" s="1282"/>
      <c r="I534" s="490"/>
    </row>
    <row r="535" spans="1:9">
      <c r="A535" s="483"/>
      <c r="B535" s="483"/>
      <c r="C535" s="483"/>
      <c r="D535" s="498"/>
      <c r="F535" s="446"/>
      <c r="I535" s="490"/>
    </row>
    <row r="536" spans="1:9" ht="13.15" customHeight="1">
      <c r="A536" s="483"/>
      <c r="B536" s="485" t="s">
        <v>306</v>
      </c>
      <c r="C536" s="483"/>
      <c r="D536" s="1303" t="s">
        <v>2062</v>
      </c>
      <c r="E536" s="1303"/>
      <c r="F536" s="1303"/>
      <c r="I536" s="490"/>
    </row>
    <row r="537" spans="1:9">
      <c r="A537" s="483"/>
      <c r="B537" s="483"/>
      <c r="C537" s="483"/>
      <c r="D537" s="1303"/>
      <c r="E537" s="1303"/>
      <c r="F537" s="1303"/>
      <c r="I537" s="490"/>
    </row>
    <row r="538" spans="1:9" ht="12" customHeight="1">
      <c r="A538" s="446"/>
      <c r="B538" s="446"/>
      <c r="C538" s="487"/>
      <c r="D538" s="446"/>
      <c r="F538" s="448"/>
      <c r="I538" s="490"/>
    </row>
    <row r="539" spans="1:9">
      <c r="A539" s="1310" t="s">
        <v>1052</v>
      </c>
      <c r="B539" s="1310"/>
      <c r="C539" s="1310"/>
      <c r="D539" s="1310"/>
      <c r="E539" s="1310"/>
      <c r="F539" s="1310"/>
      <c r="G539" s="1310"/>
      <c r="H539" s="1028"/>
      <c r="I539" s="1153"/>
    </row>
    <row r="540" spans="1:9">
      <c r="A540" s="446"/>
      <c r="B540" s="446"/>
      <c r="C540" s="487"/>
      <c r="F540" s="448"/>
      <c r="I540" s="490"/>
    </row>
    <row r="541" spans="1:9">
      <c r="B541" s="1305" t="s">
        <v>446</v>
      </c>
      <c r="C541" s="1305"/>
      <c r="D541" s="1305"/>
      <c r="E541" s="1305"/>
      <c r="F541" s="1305"/>
      <c r="I541" s="490"/>
    </row>
    <row r="542" spans="1:9">
      <c r="A542" s="446"/>
      <c r="B542" s="446"/>
      <c r="C542" s="487"/>
      <c r="D542" s="446"/>
      <c r="F542" s="446"/>
      <c r="I542" s="490"/>
    </row>
    <row r="543" spans="1:9">
      <c r="A543" s="1302" t="s">
        <v>1053</v>
      </c>
      <c r="B543" s="1302"/>
      <c r="C543" s="1302"/>
      <c r="D543" s="1302"/>
      <c r="E543" s="1302"/>
      <c r="F543" s="1302"/>
      <c r="G543" s="1302"/>
      <c r="H543" s="1028"/>
      <c r="I543" s="1153"/>
    </row>
    <row r="544" spans="1:9">
      <c r="A544" s="446"/>
      <c r="B544" s="446"/>
      <c r="C544" s="487"/>
      <c r="D544" s="446"/>
      <c r="F544" s="446"/>
      <c r="I544" s="490"/>
    </row>
    <row r="545" spans="1:9">
      <c r="C545" s="487"/>
      <c r="D545" s="1311" t="s">
        <v>683</v>
      </c>
      <c r="E545" s="1311"/>
      <c r="F545" s="1311"/>
      <c r="I545" s="490"/>
    </row>
    <row r="546" spans="1:9">
      <c r="C546" s="487"/>
      <c r="D546" s="1301" t="s">
        <v>1081</v>
      </c>
      <c r="E546" s="1301"/>
      <c r="F546" s="1301"/>
      <c r="I546" s="490"/>
    </row>
    <row r="547" spans="1:9">
      <c r="C547" s="487"/>
      <c r="D547" s="446"/>
      <c r="E547" s="446"/>
      <c r="F547" s="446"/>
      <c r="I547" s="490"/>
    </row>
    <row r="548" spans="1:9" ht="13.7" customHeight="1">
      <c r="A548" s="484"/>
      <c r="B548" s="485" t="s">
        <v>306</v>
      </c>
      <c r="C548" s="487"/>
      <c r="D548" s="1301" t="s">
        <v>884</v>
      </c>
      <c r="E548" s="1301"/>
      <c r="F548" s="1301"/>
      <c r="I548" s="490"/>
    </row>
    <row r="549" spans="1:9" ht="13.7" customHeight="1">
      <c r="A549" s="487"/>
      <c r="B549" s="487"/>
      <c r="C549" s="487"/>
      <c r="D549" s="446"/>
      <c r="I549" s="490"/>
    </row>
    <row r="550" spans="1:9" ht="14.25">
      <c r="A550" s="484"/>
      <c r="B550" s="485" t="s">
        <v>306</v>
      </c>
      <c r="C550" s="487"/>
      <c r="D550" s="1303" t="s">
        <v>1082</v>
      </c>
      <c r="E550" s="1303"/>
      <c r="F550" s="1303"/>
      <c r="I550" s="490"/>
    </row>
    <row r="551" spans="1:9">
      <c r="A551" s="487"/>
      <c r="B551" s="487"/>
      <c r="C551" s="487"/>
      <c r="D551" s="1303"/>
      <c r="E551" s="1303"/>
      <c r="F551" s="1303"/>
      <c r="I551" s="490"/>
    </row>
    <row r="552" spans="1:9">
      <c r="A552" s="487"/>
      <c r="B552" s="487"/>
      <c r="C552" s="487"/>
      <c r="D552" s="446"/>
      <c r="E552" s="446"/>
      <c r="F552" s="446"/>
      <c r="I552" s="490"/>
    </row>
    <row r="553" spans="1:9" ht="14.25">
      <c r="A553" s="484"/>
      <c r="B553" s="485" t="s">
        <v>306</v>
      </c>
      <c r="C553" s="487"/>
      <c r="D553" s="1303" t="s">
        <v>1083</v>
      </c>
      <c r="E553" s="1303"/>
      <c r="F553" s="1303"/>
      <c r="I553" s="490"/>
    </row>
    <row r="554" spans="1:9">
      <c r="A554" s="487"/>
      <c r="B554" s="487"/>
      <c r="C554" s="487"/>
      <c r="D554" s="1303"/>
      <c r="E554" s="1303"/>
      <c r="F554" s="1303"/>
      <c r="I554" s="490"/>
    </row>
    <row r="555" spans="1:9">
      <c r="A555" s="487"/>
      <c r="B555" s="487"/>
      <c r="C555" s="487"/>
      <c r="D555" s="446"/>
      <c r="E555" s="446"/>
      <c r="F555" s="446"/>
      <c r="I555" s="490"/>
    </row>
    <row r="556" spans="1:9" ht="14.25">
      <c r="A556" s="484"/>
      <c r="B556" s="485" t="s">
        <v>306</v>
      </c>
      <c r="C556" s="487"/>
      <c r="D556" s="1303" t="s">
        <v>1084</v>
      </c>
      <c r="E556" s="1303"/>
      <c r="F556" s="1303"/>
      <c r="I556" s="490"/>
    </row>
    <row r="557" spans="1:9">
      <c r="A557" s="487"/>
      <c r="B557" s="487"/>
      <c r="C557" s="487"/>
      <c r="D557" s="1303"/>
      <c r="E557" s="1303"/>
      <c r="F557" s="1303"/>
      <c r="I557" s="490"/>
    </row>
    <row r="558" spans="1:9">
      <c r="A558" s="487"/>
      <c r="B558" s="487"/>
      <c r="C558" s="487"/>
      <c r="D558" s="446"/>
      <c r="E558" s="446"/>
      <c r="F558" s="446"/>
      <c r="I558" s="490"/>
    </row>
    <row r="559" spans="1:9" ht="14.25">
      <c r="A559" s="484"/>
      <c r="B559" s="485" t="s">
        <v>306</v>
      </c>
      <c r="C559" s="487"/>
      <c r="D559" s="1303" t="s">
        <v>1085</v>
      </c>
      <c r="E559" s="1303"/>
      <c r="F559" s="1303"/>
      <c r="I559" s="490"/>
    </row>
    <row r="560" spans="1:9">
      <c r="A560" s="487"/>
      <c r="B560" s="487"/>
      <c r="C560" s="487"/>
      <c r="D560" s="1303"/>
      <c r="E560" s="1303"/>
      <c r="F560" s="1303"/>
      <c r="I560" s="490"/>
    </row>
    <row r="561" spans="1:9">
      <c r="A561" s="487"/>
      <c r="B561" s="487"/>
      <c r="C561" s="487"/>
      <c r="D561" s="1303"/>
      <c r="E561" s="1303"/>
      <c r="F561" s="1303"/>
      <c r="I561" s="490"/>
    </row>
    <row r="562" spans="1:9">
      <c r="A562" s="487"/>
      <c r="B562" s="487"/>
      <c r="C562" s="487"/>
      <c r="D562" s="446"/>
      <c r="E562" s="446"/>
      <c r="F562" s="446"/>
      <c r="I562" s="490"/>
    </row>
    <row r="563" spans="1:9" ht="14.25">
      <c r="A563" s="484"/>
      <c r="B563" s="485" t="s">
        <v>306</v>
      </c>
      <c r="C563" s="487"/>
      <c r="D563" s="1303" t="s">
        <v>2248</v>
      </c>
      <c r="E563" s="1303"/>
      <c r="F563" s="1303"/>
      <c r="I563" s="490"/>
    </row>
    <row r="564" spans="1:9">
      <c r="A564" s="487"/>
      <c r="B564" s="487"/>
      <c r="C564" s="487"/>
      <c r="D564" s="1303"/>
      <c r="E564" s="1303"/>
      <c r="F564" s="1303"/>
      <c r="I564" s="490"/>
    </row>
    <row r="565" spans="1:9">
      <c r="A565" s="487"/>
      <c r="B565" s="487"/>
      <c r="C565" s="487"/>
      <c r="D565" s="446"/>
      <c r="E565" s="446"/>
      <c r="F565" s="446"/>
      <c r="I565" s="490"/>
    </row>
    <row r="566" spans="1:9" ht="14.25">
      <c r="A566" s="484"/>
      <c r="B566" s="485" t="s">
        <v>306</v>
      </c>
      <c r="C566" s="487"/>
      <c r="D566" s="1303" t="s">
        <v>1086</v>
      </c>
      <c r="E566" s="1303"/>
      <c r="F566" s="1303"/>
      <c r="I566" s="490"/>
    </row>
    <row r="567" spans="1:9">
      <c r="A567" s="487"/>
      <c r="B567" s="487"/>
      <c r="C567" s="487"/>
      <c r="D567" s="1303"/>
      <c r="E567" s="1303"/>
      <c r="F567" s="1303"/>
      <c r="I567" s="490"/>
    </row>
    <row r="568" spans="1:9">
      <c r="A568" s="487"/>
      <c r="B568" s="487"/>
      <c r="C568" s="487"/>
      <c r="D568" s="446"/>
      <c r="E568" s="446"/>
      <c r="F568" s="446"/>
      <c r="I568" s="490"/>
    </row>
    <row r="569" spans="1:9" ht="14.25">
      <c r="A569" s="484"/>
      <c r="B569" s="485" t="s">
        <v>306</v>
      </c>
      <c r="C569" s="487"/>
      <c r="D569" s="1301" t="s">
        <v>1087</v>
      </c>
      <c r="E569" s="1301"/>
      <c r="F569" s="1301"/>
      <c r="I569" s="490"/>
    </row>
    <row r="570" spans="1:9">
      <c r="A570" s="490"/>
      <c r="B570" s="490"/>
      <c r="C570" s="487"/>
      <c r="D570" s="1301" t="s">
        <v>1907</v>
      </c>
      <c r="E570" s="1301"/>
      <c r="F570" s="1301"/>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306</v>
      </c>
      <c r="C573" s="487"/>
      <c r="D573" s="1301" t="s">
        <v>1088</v>
      </c>
      <c r="E573" s="1301"/>
      <c r="F573" s="1301"/>
      <c r="I573" s="490"/>
    </row>
    <row r="574" spans="1:9">
      <c r="C574" s="487"/>
      <c r="D574" s="1303" t="s">
        <v>1089</v>
      </c>
      <c r="E574" s="1303"/>
      <c r="F574" s="1303"/>
      <c r="I574" s="490"/>
    </row>
    <row r="575" spans="1:9">
      <c r="A575" s="487"/>
      <c r="B575" s="487"/>
      <c r="C575" s="487"/>
      <c r="D575" s="1303"/>
      <c r="E575" s="1303"/>
      <c r="F575" s="1303"/>
      <c r="I575" s="490"/>
    </row>
    <row r="576" spans="1:9">
      <c r="A576" s="487"/>
      <c r="B576" s="487"/>
      <c r="C576" s="487"/>
      <c r="D576" s="1303"/>
      <c r="E576" s="1303"/>
      <c r="F576" s="1303"/>
      <c r="I576" s="490"/>
    </row>
    <row r="577" spans="1:9">
      <c r="A577" s="487"/>
      <c r="B577" s="487"/>
      <c r="C577" s="487"/>
      <c r="D577" s="446"/>
      <c r="E577" s="446"/>
      <c r="F577" s="446"/>
      <c r="I577" s="490"/>
    </row>
    <row r="578" spans="1:9" ht="14.25">
      <c r="A578" s="484"/>
      <c r="B578" s="485" t="s">
        <v>306</v>
      </c>
      <c r="C578" s="487"/>
      <c r="D578" s="1303" t="s">
        <v>2063</v>
      </c>
      <c r="E578" s="1303"/>
      <c r="F578" s="1303"/>
      <c r="I578" s="490"/>
    </row>
    <row r="579" spans="1:9" ht="14.25">
      <c r="A579" s="484"/>
      <c r="B579" s="484"/>
      <c r="C579" s="487"/>
      <c r="D579" s="1303"/>
      <c r="E579" s="1303"/>
      <c r="F579" s="1303"/>
      <c r="I579" s="490"/>
    </row>
    <row r="580" spans="1:9" ht="14.25">
      <c r="A580" s="484"/>
      <c r="B580" s="484"/>
      <c r="C580" s="487"/>
      <c r="D580" s="1303"/>
      <c r="E580" s="1303"/>
      <c r="F580" s="1303"/>
      <c r="I580" s="490"/>
    </row>
    <row r="581" spans="1:9" ht="14.25">
      <c r="A581" s="484"/>
      <c r="B581" s="484"/>
      <c r="C581" s="487"/>
      <c r="D581" s="1303"/>
      <c r="E581" s="1303"/>
      <c r="F581" s="1303"/>
      <c r="I581" s="490"/>
    </row>
    <row r="582" spans="1:9" ht="14.25">
      <c r="A582" s="484"/>
      <c r="B582" s="484"/>
      <c r="C582" s="487"/>
      <c r="D582" s="446"/>
      <c r="E582" s="446"/>
      <c r="F582" s="446"/>
      <c r="I582" s="490"/>
    </row>
    <row r="583" spans="1:9">
      <c r="A583" s="1310" t="s">
        <v>1054</v>
      </c>
      <c r="B583" s="1310"/>
      <c r="C583" s="1310"/>
      <c r="D583" s="1310"/>
      <c r="E583" s="1310"/>
      <c r="F583" s="1310"/>
      <c r="G583" s="1310"/>
      <c r="H583" s="1028"/>
      <c r="I583" s="1153"/>
    </row>
    <row r="584" spans="1:9">
      <c r="A584" s="487"/>
      <c r="B584" s="487"/>
      <c r="C584" s="487"/>
      <c r="E584" s="446"/>
      <c r="F584" s="446"/>
      <c r="I584" s="490"/>
    </row>
    <row r="585" spans="1:9" ht="12.75" customHeight="1">
      <c r="C585" s="482"/>
      <c r="D585" s="1319" t="s">
        <v>209</v>
      </c>
      <c r="E585" s="1319"/>
      <c r="F585" s="1319"/>
      <c r="I585" s="490"/>
    </row>
    <row r="586" spans="1:9">
      <c r="A586" s="483"/>
      <c r="B586" s="483"/>
      <c r="C586" s="483"/>
      <c r="D586" s="1315" t="s">
        <v>1067</v>
      </c>
      <c r="E586" s="1315"/>
      <c r="F586" s="1315"/>
      <c r="I586" s="490"/>
    </row>
    <row r="587" spans="1:9">
      <c r="A587" s="402"/>
      <c r="B587" s="402"/>
      <c r="C587" s="483"/>
      <c r="D587" s="499"/>
      <c r="I587" s="490"/>
    </row>
    <row r="588" spans="1:9">
      <c r="A588" s="483"/>
      <c r="B588" s="485" t="s">
        <v>306</v>
      </c>
      <c r="D588" s="1315" t="s">
        <v>888</v>
      </c>
      <c r="E588" s="1315"/>
      <c r="F588" s="1315"/>
      <c r="I588" s="490"/>
    </row>
    <row r="589" spans="1:9">
      <c r="A589" s="490"/>
      <c r="B589" s="490"/>
      <c r="D589" s="476"/>
      <c r="I589" s="490"/>
    </row>
    <row r="590" spans="1:9">
      <c r="A590" s="490"/>
      <c r="B590" s="485" t="s">
        <v>306</v>
      </c>
      <c r="D590" s="1315" t="s">
        <v>2064</v>
      </c>
      <c r="E590" s="1315"/>
      <c r="F590" s="1315"/>
      <c r="I590" s="490"/>
    </row>
    <row r="591" spans="1:9">
      <c r="A591" s="490"/>
      <c r="B591" s="490"/>
      <c r="D591" s="1315"/>
      <c r="E591" s="1315"/>
      <c r="F591" s="1315"/>
      <c r="I591" s="490"/>
    </row>
    <row r="592" spans="1:9">
      <c r="A592" s="490"/>
      <c r="B592" s="490"/>
      <c r="D592" s="1315"/>
      <c r="E592" s="1315"/>
      <c r="F592" s="1315"/>
      <c r="I592" s="490"/>
    </row>
    <row r="593" spans="1:9">
      <c r="A593" s="490"/>
      <c r="B593" s="490"/>
      <c r="D593" s="1315"/>
      <c r="E593" s="1315"/>
      <c r="F593" s="1315"/>
      <c r="I593" s="490"/>
    </row>
    <row r="594" spans="1:9">
      <c r="A594" s="490"/>
      <c r="B594" s="485" t="s">
        <v>306</v>
      </c>
      <c r="D594" s="1315" t="s">
        <v>1068</v>
      </c>
      <c r="E594" s="1315"/>
      <c r="F594" s="1315"/>
      <c r="I594" s="490"/>
    </row>
    <row r="595" spans="1:9">
      <c r="A595" s="490"/>
      <c r="B595" s="490"/>
      <c r="D595" s="1315"/>
      <c r="E595" s="1315"/>
      <c r="F595" s="1315"/>
      <c r="I595" s="490"/>
    </row>
    <row r="596" spans="1:9">
      <c r="A596" s="490"/>
      <c r="B596" s="490"/>
      <c r="D596" s="1315"/>
      <c r="E596" s="1315"/>
      <c r="F596" s="1315"/>
      <c r="I596" s="490"/>
    </row>
    <row r="597" spans="1:9">
      <c r="A597" s="490"/>
      <c r="B597" s="490"/>
      <c r="D597" s="1315"/>
      <c r="E597" s="1315"/>
      <c r="F597" s="1315"/>
      <c r="I597" s="490"/>
    </row>
    <row r="598" spans="1:9">
      <c r="A598" s="490"/>
      <c r="B598" s="490"/>
      <c r="D598" s="440"/>
      <c r="E598" s="440"/>
      <c r="F598" s="440"/>
      <c r="I598" s="490"/>
    </row>
    <row r="599" spans="1:9">
      <c r="A599" s="490"/>
      <c r="B599" s="485" t="s">
        <v>306</v>
      </c>
      <c r="D599" s="1315" t="s">
        <v>2065</v>
      </c>
      <c r="E599" s="1315"/>
      <c r="F599" s="1315"/>
      <c r="I599" s="490"/>
    </row>
    <row r="600" spans="1:9">
      <c r="A600" s="490"/>
      <c r="B600" s="490"/>
      <c r="D600" s="1315"/>
      <c r="E600" s="1315"/>
      <c r="F600" s="1315"/>
      <c r="I600" s="490"/>
    </row>
    <row r="601" spans="1:9">
      <c r="A601" s="490"/>
      <c r="B601" s="490"/>
      <c r="D601" s="499"/>
      <c r="I601" s="490"/>
    </row>
    <row r="602" spans="1:9">
      <c r="A602" s="490"/>
      <c r="B602" s="485" t="s">
        <v>306</v>
      </c>
      <c r="D602" s="1315" t="s">
        <v>1069</v>
      </c>
      <c r="E602" s="1315"/>
      <c r="F602" s="1315"/>
      <c r="I602" s="490"/>
    </row>
    <row r="603" spans="1:9">
      <c r="A603" s="490"/>
      <c r="B603" s="490"/>
      <c r="D603" s="1315"/>
      <c r="E603" s="1315"/>
      <c r="F603" s="1315"/>
      <c r="I603" s="490"/>
    </row>
    <row r="604" spans="1:9" ht="14.25">
      <c r="A604" s="484"/>
      <c r="B604" s="484"/>
      <c r="D604" s="499"/>
      <c r="I604" s="490"/>
    </row>
    <row r="605" spans="1:9">
      <c r="A605" s="1310" t="s">
        <v>1055</v>
      </c>
      <c r="B605" s="1310"/>
      <c r="C605" s="1310"/>
      <c r="D605" s="1310"/>
      <c r="E605" s="1310"/>
      <c r="F605" s="1310"/>
      <c r="G605" s="1310"/>
      <c r="H605" s="1028"/>
      <c r="I605" s="1153"/>
    </row>
    <row r="606" spans="1:9">
      <c r="I606" s="490"/>
    </row>
    <row r="607" spans="1:9">
      <c r="D607" s="1311" t="s">
        <v>1107</v>
      </c>
      <c r="E607" s="1311"/>
      <c r="F607" s="1311"/>
      <c r="I607" s="490"/>
    </row>
    <row r="608" spans="1:9">
      <c r="D608" s="1283" t="s">
        <v>1108</v>
      </c>
      <c r="E608" s="1283"/>
      <c r="F608" s="1283"/>
      <c r="I608" s="490"/>
    </row>
    <row r="609" spans="1:9">
      <c r="D609" s="444"/>
      <c r="I609" s="490"/>
    </row>
    <row r="610" spans="1:9" ht="14.25" customHeight="1">
      <c r="A610" s="484"/>
      <c r="B610" s="485" t="s">
        <v>306</v>
      </c>
      <c r="D610" s="1316" t="s">
        <v>1908</v>
      </c>
      <c r="E610" s="1316"/>
      <c r="F610" s="1316"/>
      <c r="I610" s="490"/>
    </row>
    <row r="611" spans="1:9">
      <c r="D611" s="1316"/>
      <c r="E611" s="1316"/>
      <c r="F611" s="1316"/>
      <c r="I611" s="490"/>
    </row>
    <row r="612" spans="1:9">
      <c r="D612" s="385"/>
      <c r="E612" s="1036" t="s">
        <v>1909</v>
      </c>
      <c r="F612" s="385"/>
      <c r="I612" s="490"/>
    </row>
    <row r="613" spans="1:9">
      <c r="I613" s="490"/>
    </row>
    <row r="614" spans="1:9">
      <c r="A614" s="1310" t="s">
        <v>1056</v>
      </c>
      <c r="B614" s="1310"/>
      <c r="C614" s="1310"/>
      <c r="D614" s="1310"/>
      <c r="E614" s="1310"/>
      <c r="F614" s="1310"/>
      <c r="G614" s="1310"/>
      <c r="H614" s="1028"/>
      <c r="I614" s="1153"/>
    </row>
    <row r="615" spans="1:9">
      <c r="A615" s="446"/>
      <c r="B615" s="446"/>
      <c r="I615" s="490"/>
    </row>
    <row r="616" spans="1:9">
      <c r="A616" s="482"/>
      <c r="B616" s="482"/>
      <c r="C616" s="482"/>
      <c r="D616" s="1300" t="s">
        <v>1109</v>
      </c>
      <c r="E616" s="1300"/>
      <c r="F616" s="1300"/>
      <c r="I616" s="490"/>
    </row>
    <row r="617" spans="1:9">
      <c r="A617" s="482"/>
      <c r="B617" s="482"/>
      <c r="C617" s="482"/>
      <c r="D617" s="1300"/>
      <c r="E617" s="1300"/>
      <c r="F617" s="1300"/>
      <c r="I617" s="490"/>
    </row>
    <row r="618" spans="1:9">
      <c r="C618" s="483"/>
      <c r="D618" s="1283" t="s">
        <v>1110</v>
      </c>
      <c r="E618" s="1283"/>
      <c r="F618" s="1283"/>
      <c r="I618" s="490"/>
    </row>
    <row r="619" spans="1:9">
      <c r="C619" s="483"/>
      <c r="D619" s="444"/>
      <c r="E619" s="444"/>
      <c r="F619" s="444"/>
      <c r="I619" s="490"/>
    </row>
    <row r="620" spans="1:9" ht="12.75" customHeight="1">
      <c r="A620" s="490"/>
      <c r="B620" s="485" t="s">
        <v>306</v>
      </c>
      <c r="D620" s="1309" t="s">
        <v>1111</v>
      </c>
      <c r="E620" s="1309"/>
      <c r="F620" s="1309"/>
      <c r="I620" s="490"/>
    </row>
    <row r="621" spans="1:9">
      <c r="D621" s="1309"/>
      <c r="E621" s="1309"/>
      <c r="F621" s="1309"/>
      <c r="I621" s="490"/>
    </row>
    <row r="622" spans="1:9">
      <c r="I622" s="490"/>
    </row>
    <row r="623" spans="1:9">
      <c r="B623" s="485" t="s">
        <v>306</v>
      </c>
      <c r="D623" s="1309" t="s">
        <v>1112</v>
      </c>
      <c r="E623" s="1309"/>
      <c r="F623" s="1309"/>
      <c r="I623" s="490"/>
    </row>
    <row r="624" spans="1:9">
      <c r="C624" s="500"/>
      <c r="D624" s="1309"/>
      <c r="E624" s="1309"/>
      <c r="F624" s="1309"/>
      <c r="I624" s="490"/>
    </row>
    <row r="625" spans="1:9">
      <c r="C625" s="500"/>
      <c r="I625" s="490"/>
    </row>
    <row r="626" spans="1:9">
      <c r="B626" s="485" t="s">
        <v>306</v>
      </c>
      <c r="C626" s="500"/>
      <c r="D626" s="1309" t="s">
        <v>1113</v>
      </c>
      <c r="E626" s="1309"/>
      <c r="F626" s="1309"/>
      <c r="I626" s="490"/>
    </row>
    <row r="627" spans="1:9">
      <c r="C627" s="500"/>
      <c r="D627" s="1309"/>
      <c r="E627" s="1309"/>
      <c r="F627" s="1309"/>
      <c r="I627" s="500"/>
    </row>
    <row r="628" spans="1:9">
      <c r="C628" s="500"/>
      <c r="I628" s="490"/>
    </row>
    <row r="629" spans="1:9">
      <c r="A629" s="1310" t="s">
        <v>1057</v>
      </c>
      <c r="B629" s="1310"/>
      <c r="C629" s="1310"/>
      <c r="D629" s="1310"/>
      <c r="E629" s="1310"/>
      <c r="F629" s="1310"/>
      <c r="G629" s="1310"/>
      <c r="H629" s="1028"/>
      <c r="I629" s="1153"/>
    </row>
    <row r="630" spans="1:9">
      <c r="A630" s="482"/>
      <c r="B630" s="482"/>
      <c r="C630" s="482"/>
      <c r="I630" s="490"/>
    </row>
    <row r="631" spans="1:9">
      <c r="C631" s="490"/>
      <c r="D631" s="1311" t="s">
        <v>1114</v>
      </c>
      <c r="E631" s="1311"/>
      <c r="F631" s="1311"/>
      <c r="I631" s="490"/>
    </row>
    <row r="632" spans="1:9">
      <c r="A632" s="490"/>
      <c r="B632" s="490"/>
      <c r="D632" s="404"/>
      <c r="I632" s="490"/>
    </row>
    <row r="633" spans="1:9" ht="14.25" customHeight="1">
      <c r="A633" s="484"/>
      <c r="B633" s="485" t="s">
        <v>306</v>
      </c>
      <c r="D633" s="1316" t="s">
        <v>2066</v>
      </c>
      <c r="E633" s="1316"/>
      <c r="F633" s="1316"/>
      <c r="I633" s="490"/>
    </row>
    <row r="634" spans="1:9">
      <c r="D634" s="1316"/>
      <c r="E634" s="1316"/>
      <c r="F634" s="1316"/>
      <c r="I634" s="490"/>
    </row>
    <row r="635" spans="1:9">
      <c r="D635" s="385"/>
      <c r="E635" s="1036" t="s">
        <v>1911</v>
      </c>
      <c r="F635" s="385"/>
      <c r="I635" s="490"/>
    </row>
    <row r="636" spans="1:9">
      <c r="D636" s="1303" t="s">
        <v>1910</v>
      </c>
      <c r="E636" s="1303"/>
      <c r="F636" s="1303"/>
      <c r="I636" s="490"/>
    </row>
    <row r="637" spans="1:9">
      <c r="D637" s="1303"/>
      <c r="E637" s="1303"/>
      <c r="F637" s="1303"/>
      <c r="I637" s="490"/>
    </row>
    <row r="638" spans="1:9">
      <c r="D638" s="1303"/>
      <c r="E638" s="1303"/>
      <c r="F638" s="1303"/>
      <c r="I638" s="490"/>
    </row>
    <row r="639" spans="1:9">
      <c r="D639" s="445"/>
      <c r="E639" s="445"/>
      <c r="F639" s="445"/>
      <c r="I639" s="490"/>
    </row>
    <row r="640" spans="1:9" ht="14.25">
      <c r="A640" s="484"/>
      <c r="B640" s="485" t="s">
        <v>306</v>
      </c>
      <c r="D640" s="1303" t="s">
        <v>1115</v>
      </c>
      <c r="E640" s="1303"/>
      <c r="F640" s="1303"/>
      <c r="I640" s="490"/>
    </row>
    <row r="641" spans="1:9">
      <c r="A641" s="487"/>
      <c r="B641" s="487"/>
      <c r="C641" s="487"/>
      <c r="D641" s="1303"/>
      <c r="E641" s="1303"/>
      <c r="F641" s="1303"/>
      <c r="I641" s="490"/>
    </row>
    <row r="642" spans="1:9">
      <c r="A642" s="487"/>
      <c r="B642" s="487"/>
      <c r="C642" s="487"/>
      <c r="D642" s="446"/>
      <c r="E642" s="446"/>
      <c r="F642" s="446"/>
      <c r="I642" s="490"/>
    </row>
    <row r="643" spans="1:9" ht="14.25">
      <c r="A643" s="484"/>
      <c r="B643" s="485" t="s">
        <v>306</v>
      </c>
      <c r="C643" s="487"/>
      <c r="D643" s="1303" t="s">
        <v>1225</v>
      </c>
      <c r="E643" s="1303"/>
      <c r="F643" s="1303"/>
      <c r="I643" s="490"/>
    </row>
    <row r="644" spans="1:9" ht="14.25">
      <c r="A644" s="484"/>
      <c r="B644" s="484"/>
      <c r="C644" s="487"/>
      <c r="D644" s="1303"/>
      <c r="E644" s="1303"/>
      <c r="F644" s="1303"/>
      <c r="I644" s="490"/>
    </row>
    <row r="645" spans="1:9" ht="14.25">
      <c r="A645" s="484"/>
      <c r="B645" s="484"/>
      <c r="C645" s="487"/>
      <c r="D645" s="1303"/>
      <c r="E645" s="1303"/>
      <c r="F645" s="1303"/>
      <c r="I645" s="490"/>
    </row>
    <row r="646" spans="1:9">
      <c r="A646" s="487"/>
      <c r="B646" s="485" t="s">
        <v>306</v>
      </c>
      <c r="C646" s="487"/>
      <c r="D646" s="1301" t="s">
        <v>1116</v>
      </c>
      <c r="E646" s="1301"/>
      <c r="F646" s="1301"/>
      <c r="I646" s="490"/>
    </row>
    <row r="647" spans="1:9">
      <c r="A647" s="487"/>
      <c r="B647" s="487"/>
      <c r="C647" s="487"/>
      <c r="D647" s="446"/>
      <c r="E647" s="446"/>
      <c r="F647" s="446"/>
      <c r="I647" s="490"/>
    </row>
    <row r="648" spans="1:9">
      <c r="A648" s="1310" t="s">
        <v>1058</v>
      </c>
      <c r="B648" s="1310"/>
      <c r="C648" s="1310"/>
      <c r="D648" s="1310"/>
      <c r="E648" s="1310"/>
      <c r="F648" s="1310"/>
      <c r="G648" s="1310"/>
      <c r="H648" s="1028"/>
      <c r="I648" s="1153"/>
    </row>
    <row r="649" spans="1:9">
      <c r="A649" s="446"/>
      <c r="B649" s="446"/>
      <c r="C649" s="487"/>
      <c r="D649" s="446"/>
      <c r="E649" s="446"/>
      <c r="F649" s="446"/>
      <c r="I649" s="490"/>
    </row>
    <row r="650" spans="1:9">
      <c r="C650" s="482"/>
      <c r="D650" s="1311" t="s">
        <v>1146</v>
      </c>
      <c r="E650" s="1311"/>
      <c r="F650" s="1311"/>
      <c r="I650" s="490"/>
    </row>
    <row r="651" spans="1:9">
      <c r="A651" s="483"/>
      <c r="B651" s="483"/>
      <c r="C651" s="483"/>
      <c r="D651" s="1301" t="s">
        <v>1147</v>
      </c>
      <c r="E651" s="1301"/>
      <c r="F651" s="1301"/>
      <c r="I651" s="490"/>
    </row>
    <row r="652" spans="1:9">
      <c r="A652" s="483"/>
      <c r="B652" s="483"/>
      <c r="C652" s="483"/>
      <c r="D652" s="446"/>
      <c r="E652" s="446"/>
      <c r="F652" s="446"/>
      <c r="I652" s="490"/>
    </row>
    <row r="653" spans="1:9" ht="12.75" customHeight="1">
      <c r="B653" s="485" t="s">
        <v>306</v>
      </c>
      <c r="C653" s="487"/>
      <c r="D653" s="1303" t="s">
        <v>1281</v>
      </c>
      <c r="E653" s="1303"/>
      <c r="F653" s="1303"/>
      <c r="I653" s="490"/>
    </row>
    <row r="654" spans="1:9">
      <c r="D654" s="1303"/>
      <c r="E654" s="1303"/>
      <c r="F654" s="1303"/>
      <c r="I654" s="490"/>
    </row>
    <row r="655" spans="1:9">
      <c r="D655" s="1303"/>
      <c r="E655" s="1303"/>
      <c r="F655" s="1303"/>
      <c r="I655" s="490"/>
    </row>
    <row r="656" spans="1:9">
      <c r="D656" s="1303"/>
      <c r="E656" s="1303"/>
      <c r="F656" s="1303"/>
      <c r="I656" s="490"/>
    </row>
    <row r="657" spans="1:9" ht="14.45" customHeight="1">
      <c r="A657" s="484"/>
      <c r="B657" s="484"/>
      <c r="C657" s="487"/>
      <c r="D657" s="385"/>
      <c r="E657" s="385"/>
      <c r="F657" s="385"/>
      <c r="I657" s="490"/>
    </row>
    <row r="658" spans="1:9" ht="12.75" customHeight="1">
      <c r="A658" s="483"/>
      <c r="B658" s="485" t="s">
        <v>306</v>
      </c>
      <c r="C658" s="487"/>
      <c r="D658" s="1303" t="s">
        <v>1283</v>
      </c>
      <c r="E658" s="1303"/>
      <c r="F658" s="1303"/>
      <c r="I658" s="490"/>
    </row>
    <row r="659" spans="1:9" ht="14.25">
      <c r="A659" s="483"/>
      <c r="B659" s="484"/>
      <c r="C659" s="487"/>
      <c r="D659" s="1303"/>
      <c r="E659" s="1303"/>
      <c r="F659" s="1303"/>
      <c r="I659" s="490"/>
    </row>
    <row r="660" spans="1:9" ht="14.25">
      <c r="A660" s="483"/>
      <c r="B660" s="484"/>
      <c r="C660" s="487"/>
      <c r="D660" s="1303"/>
      <c r="E660" s="1303"/>
      <c r="F660" s="1303"/>
      <c r="I660" s="490"/>
    </row>
    <row r="661" spans="1:9" ht="14.25">
      <c r="A661" s="483"/>
      <c r="B661" s="484"/>
      <c r="C661" s="487"/>
      <c r="D661" s="1303"/>
      <c r="E661" s="1303"/>
      <c r="F661" s="1303"/>
      <c r="I661" s="490"/>
    </row>
    <row r="662" spans="1:9" ht="14.25">
      <c r="A662" s="483"/>
      <c r="B662" s="484"/>
      <c r="C662" s="487"/>
      <c r="D662" s="1303"/>
      <c r="E662" s="1303"/>
      <c r="F662" s="1303"/>
      <c r="I662" s="490"/>
    </row>
    <row r="663" spans="1:9" ht="14.25" customHeight="1">
      <c r="A663" s="483"/>
      <c r="B663" s="484"/>
      <c r="C663" s="487"/>
      <c r="F663" s="386"/>
      <c r="I663" s="490"/>
    </row>
    <row r="664" spans="1:9" ht="12.75" customHeight="1">
      <c r="A664" s="483"/>
      <c r="B664" s="485" t="s">
        <v>306</v>
      </c>
      <c r="C664" s="487"/>
      <c r="D664" s="1303" t="s">
        <v>1282</v>
      </c>
      <c r="E664" s="1303"/>
      <c r="F664" s="1303"/>
      <c r="I664" s="490"/>
    </row>
    <row r="665" spans="1:9" ht="14.25">
      <c r="A665" s="483"/>
      <c r="B665" s="484"/>
      <c r="C665" s="487"/>
      <c r="D665" s="1303"/>
      <c r="E665" s="1303"/>
      <c r="F665" s="1303"/>
      <c r="I665" s="490"/>
    </row>
    <row r="666" spans="1:9" ht="14.25">
      <c r="A666" s="484"/>
      <c r="B666" s="484"/>
      <c r="C666" s="487"/>
      <c r="D666" s="1303"/>
      <c r="E666" s="1303"/>
      <c r="F666" s="1303"/>
      <c r="I666" s="490"/>
    </row>
    <row r="667" spans="1:9" ht="14.25">
      <c r="A667" s="484"/>
      <c r="B667" s="484"/>
      <c r="C667" s="487"/>
      <c r="D667" s="1303"/>
      <c r="E667" s="1303"/>
      <c r="F667" s="1303"/>
      <c r="I667" s="490"/>
    </row>
    <row r="668" spans="1:9" ht="14.25">
      <c r="A668" s="484"/>
      <c r="B668" s="484"/>
      <c r="C668" s="487"/>
      <c r="D668" s="445"/>
      <c r="E668" s="445"/>
      <c r="F668" s="445"/>
      <c r="I668" s="490"/>
    </row>
    <row r="669" spans="1:9" ht="12.75" customHeight="1">
      <c r="A669" s="483"/>
      <c r="B669" s="485" t="s">
        <v>306</v>
      </c>
      <c r="C669" s="487"/>
      <c r="D669" s="1303" t="s">
        <v>2067</v>
      </c>
      <c r="E669" s="1303"/>
      <c r="F669" s="1303"/>
      <c r="I669" s="490"/>
    </row>
    <row r="670" spans="1:9" ht="12.75" customHeight="1">
      <c r="A670" s="483"/>
      <c r="B670" s="484"/>
      <c r="C670" s="487"/>
      <c r="D670" s="1303"/>
      <c r="E670" s="1303"/>
      <c r="F670" s="1303"/>
      <c r="I670" s="490"/>
    </row>
    <row r="671" spans="1:9" ht="12.75" customHeight="1">
      <c r="A671" s="483"/>
      <c r="B671" s="484"/>
      <c r="C671" s="487"/>
      <c r="D671" s="1303"/>
      <c r="E671" s="1303"/>
      <c r="F671" s="1303"/>
      <c r="I671" s="490"/>
    </row>
    <row r="672" spans="1:9" ht="12.75" customHeight="1">
      <c r="A672" s="483"/>
      <c r="B672" s="484"/>
      <c r="C672" s="487"/>
      <c r="D672" s="1303"/>
      <c r="E672" s="1303"/>
      <c r="F672" s="1303"/>
      <c r="I672" s="490"/>
    </row>
    <row r="673" spans="1:11" ht="12.75" customHeight="1">
      <c r="A673" s="483"/>
      <c r="B673" s="484"/>
      <c r="C673" s="487"/>
      <c r="D673" s="1303"/>
      <c r="E673" s="1303"/>
      <c r="F673" s="1303"/>
      <c r="I673" s="490"/>
    </row>
    <row r="674" spans="1:11" ht="12.75" customHeight="1">
      <c r="A674" s="483"/>
      <c r="B674" s="484"/>
      <c r="C674" s="487"/>
      <c r="D674" s="1303"/>
      <c r="E674" s="1303"/>
      <c r="F674" s="1303"/>
      <c r="I674" s="490"/>
    </row>
    <row r="675" spans="1:11" ht="12.75" customHeight="1">
      <c r="A675" s="483"/>
      <c r="B675" s="484"/>
      <c r="C675" s="487"/>
      <c r="D675" s="1303"/>
      <c r="E675" s="1303"/>
      <c r="F675" s="1303"/>
      <c r="I675" s="490"/>
    </row>
    <row r="676" spans="1:11" ht="12.75" customHeight="1">
      <c r="A676" s="483"/>
      <c r="B676" s="484"/>
      <c r="C676" s="487"/>
      <c r="D676" s="1303"/>
      <c r="E676" s="1303"/>
      <c r="F676" s="1303"/>
      <c r="I676" s="490"/>
    </row>
    <row r="677" spans="1:11" ht="12.75" customHeight="1">
      <c r="A677" s="483"/>
      <c r="B677" s="484"/>
      <c r="C677" s="487"/>
      <c r="D677" s="1303"/>
      <c r="E677" s="1303"/>
      <c r="F677" s="1303"/>
      <c r="I677" s="490"/>
    </row>
    <row r="678" spans="1:11">
      <c r="A678" s="487"/>
      <c r="B678" s="487"/>
      <c r="C678" s="487"/>
      <c r="D678" s="446"/>
      <c r="E678" s="446"/>
      <c r="F678" s="446"/>
      <c r="I678" s="490"/>
    </row>
    <row r="679" spans="1:11">
      <c r="A679" s="1310" t="s">
        <v>1059</v>
      </c>
      <c r="B679" s="1310"/>
      <c r="C679" s="1310"/>
      <c r="D679" s="1310"/>
      <c r="E679" s="1310"/>
      <c r="F679" s="1310"/>
      <c r="G679" s="1310"/>
      <c r="H679" s="1030"/>
      <c r="I679" s="1157"/>
      <c r="J679" s="501"/>
      <c r="K679" s="501"/>
    </row>
    <row r="680" spans="1:11">
      <c r="A680" s="448"/>
      <c r="B680" s="448"/>
      <c r="C680" s="448"/>
      <c r="D680" s="448"/>
      <c r="E680" s="448"/>
      <c r="F680" s="448"/>
      <c r="G680" s="448"/>
      <c r="H680" s="501"/>
      <c r="I680" s="483"/>
      <c r="J680" s="501"/>
      <c r="K680" s="501"/>
    </row>
    <row r="681" spans="1:11">
      <c r="C681" s="482"/>
      <c r="D681" s="1311" t="s">
        <v>99</v>
      </c>
      <c r="E681" s="1311"/>
      <c r="F681" s="1311"/>
      <c r="H681" s="501"/>
      <c r="I681" s="483"/>
      <c r="J681" s="501"/>
      <c r="K681" s="501"/>
    </row>
    <row r="682" spans="1:11">
      <c r="A682" s="482"/>
      <c r="B682" s="482"/>
      <c r="C682" s="482"/>
      <c r="D682" s="1311" t="s">
        <v>123</v>
      </c>
      <c r="E682" s="1311"/>
      <c r="F682" s="1311"/>
      <c r="H682" s="501"/>
      <c r="I682" s="483"/>
      <c r="J682" s="501"/>
      <c r="K682" s="501"/>
    </row>
    <row r="683" spans="1:11">
      <c r="A683" s="483"/>
      <c r="B683" s="483"/>
      <c r="C683" s="483"/>
      <c r="D683" s="1301" t="s">
        <v>1076</v>
      </c>
      <c r="E683" s="1301"/>
      <c r="F683" s="1301"/>
      <c r="H683" s="501"/>
      <c r="I683" s="483"/>
      <c r="J683" s="501"/>
      <c r="K683" s="501"/>
    </row>
    <row r="684" spans="1:11">
      <c r="A684" s="483"/>
      <c r="B684" s="483"/>
      <c r="C684" s="483"/>
      <c r="H684" s="501"/>
      <c r="I684" s="483"/>
      <c r="J684" s="501"/>
      <c r="K684" s="501"/>
    </row>
    <row r="685" spans="1:11" ht="14.25">
      <c r="A685" s="484"/>
      <c r="B685" s="485" t="s">
        <v>306</v>
      </c>
      <c r="C685" s="483"/>
      <c r="D685" s="1301" t="s">
        <v>885</v>
      </c>
      <c r="E685" s="1301"/>
      <c r="F685" s="1301"/>
      <c r="H685" s="501"/>
      <c r="I685" s="483"/>
      <c r="J685" s="501"/>
      <c r="K685" s="501"/>
    </row>
    <row r="686" spans="1:11">
      <c r="A686" s="483"/>
      <c r="B686" s="483"/>
      <c r="C686" s="483"/>
      <c r="D686" s="1301" t="s">
        <v>894</v>
      </c>
      <c r="E686" s="1301"/>
      <c r="F686" s="1301"/>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306</v>
      </c>
      <c r="C690" s="483"/>
      <c r="D690" s="1303" t="s">
        <v>2068</v>
      </c>
      <c r="E690" s="1303"/>
      <c r="F690" s="1303"/>
      <c r="H690" s="501"/>
      <c r="I690" s="483"/>
      <c r="J690" s="501"/>
      <c r="K690" s="501"/>
    </row>
    <row r="691" spans="1:11">
      <c r="A691" s="490"/>
      <c r="B691" s="490"/>
      <c r="C691" s="483"/>
      <c r="D691" s="1303"/>
      <c r="E691" s="1303"/>
      <c r="F691" s="1303"/>
      <c r="H691" s="501"/>
      <c r="I691" s="483"/>
      <c r="J691" s="501"/>
      <c r="K691" s="501"/>
    </row>
    <row r="692" spans="1:11">
      <c r="A692" s="483"/>
      <c r="B692" s="483"/>
      <c r="C692" s="483"/>
      <c r="D692" s="1303"/>
      <c r="E692" s="1303"/>
      <c r="F692" s="1303"/>
      <c r="H692" s="501"/>
      <c r="I692" s="483"/>
      <c r="J692" s="501"/>
      <c r="K692" s="501"/>
    </row>
    <row r="693" spans="1:11">
      <c r="A693" s="483"/>
      <c r="B693" s="483"/>
      <c r="C693" s="483"/>
      <c r="H693" s="501"/>
      <c r="J693" s="501"/>
      <c r="K693" s="501"/>
    </row>
    <row r="694" spans="1:11" ht="14.25">
      <c r="A694" s="484"/>
      <c r="B694" s="485" t="s">
        <v>306</v>
      </c>
      <c r="C694" s="483"/>
      <c r="D694" s="1301" t="s">
        <v>917</v>
      </c>
      <c r="E694" s="1301"/>
      <c r="F694" s="1301"/>
      <c r="H694" s="501"/>
      <c r="I694" s="483"/>
      <c r="J694" s="501"/>
      <c r="K694" s="501"/>
    </row>
    <row r="695" spans="1:11" ht="14.25">
      <c r="A695" s="484"/>
      <c r="B695" s="484"/>
      <c r="C695" s="483"/>
      <c r="D695" s="1301" t="s">
        <v>894</v>
      </c>
      <c r="E695" s="1301"/>
      <c r="F695" s="1301"/>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306</v>
      </c>
      <c r="C698" s="483"/>
      <c r="D698" s="1301" t="s">
        <v>2467</v>
      </c>
      <c r="E698" s="1301"/>
      <c r="F698" s="1301"/>
      <c r="H698" s="501"/>
      <c r="I698" s="483"/>
      <c r="J698" s="501"/>
      <c r="K698" s="501"/>
    </row>
    <row r="699" spans="1:11" ht="14.25">
      <c r="A699" s="484"/>
      <c r="B699" s="484"/>
      <c r="C699" s="483"/>
      <c r="D699" s="1301" t="s">
        <v>894</v>
      </c>
      <c r="E699" s="1301"/>
      <c r="F699" s="1301"/>
      <c r="H699" s="501"/>
      <c r="I699" s="483"/>
      <c r="J699" s="501"/>
      <c r="K699" s="501"/>
    </row>
    <row r="700" spans="1:11">
      <c r="A700" s="483"/>
      <c r="B700" s="483"/>
      <c r="C700" s="483"/>
      <c r="E700" s="1036" t="s">
        <v>2468</v>
      </c>
      <c r="F700" s="404"/>
      <c r="H700" s="501"/>
      <c r="I700" s="483"/>
      <c r="J700" s="501"/>
      <c r="K700" s="501"/>
    </row>
    <row r="701" spans="1:11">
      <c r="A701" s="483"/>
      <c r="B701" s="483"/>
      <c r="C701" s="483"/>
      <c r="D701" s="404"/>
      <c r="H701" s="501"/>
      <c r="I701" s="483"/>
      <c r="J701" s="501"/>
      <c r="K701" s="501"/>
    </row>
    <row r="702" spans="1:11" ht="14.25">
      <c r="A702" s="484"/>
      <c r="B702" s="485" t="s">
        <v>306</v>
      </c>
      <c r="C702" s="483"/>
      <c r="D702" s="1303" t="s">
        <v>2245</v>
      </c>
      <c r="E702" s="1303"/>
      <c r="F702" s="1303"/>
      <c r="H702" s="501"/>
      <c r="I702" s="483"/>
      <c r="J702" s="501"/>
      <c r="K702" s="501"/>
    </row>
    <row r="703" spans="1:11">
      <c r="A703" s="483"/>
      <c r="B703" s="483"/>
      <c r="C703" s="483"/>
      <c r="D703" s="1303"/>
      <c r="E703" s="1303"/>
      <c r="F703" s="1303"/>
      <c r="H703" s="501"/>
      <c r="I703" s="483"/>
      <c r="J703" s="501"/>
      <c r="K703" s="501"/>
    </row>
    <row r="704" spans="1:11">
      <c r="A704" s="483"/>
      <c r="B704" s="483"/>
      <c r="C704" s="483"/>
      <c r="D704" s="1303"/>
      <c r="E704" s="1303"/>
      <c r="F704" s="1303"/>
      <c r="H704" s="501"/>
      <c r="I704" s="483"/>
      <c r="J704" s="501"/>
      <c r="K704" s="501"/>
    </row>
    <row r="705" spans="1:11">
      <c r="A705" s="483"/>
      <c r="B705" s="483"/>
      <c r="C705" s="483"/>
      <c r="D705" s="1303"/>
      <c r="E705" s="1303"/>
      <c r="F705" s="1303"/>
      <c r="H705" s="501"/>
      <c r="I705" s="483"/>
      <c r="J705" s="501"/>
      <c r="K705" s="501"/>
    </row>
    <row r="706" spans="1:11">
      <c r="A706" s="483"/>
      <c r="B706" s="483"/>
      <c r="C706" s="483"/>
      <c r="D706" s="1303"/>
      <c r="E706" s="1303"/>
      <c r="F706" s="1303"/>
      <c r="H706" s="501"/>
      <c r="I706" s="483"/>
      <c r="J706" s="501"/>
      <c r="K706" s="501"/>
    </row>
    <row r="707" spans="1:11">
      <c r="A707" s="483"/>
      <c r="B707" s="483"/>
      <c r="C707" s="483"/>
      <c r="D707" s="1303"/>
      <c r="E707" s="1303"/>
      <c r="F707" s="1303"/>
      <c r="H707" s="501"/>
      <c r="I707" s="483"/>
      <c r="J707" s="501"/>
      <c r="K707" s="501"/>
    </row>
    <row r="708" spans="1:11">
      <c r="A708" s="483"/>
      <c r="B708" s="483"/>
      <c r="C708" s="483"/>
      <c r="D708" s="445"/>
      <c r="E708" s="445"/>
      <c r="F708" s="445"/>
      <c r="H708" s="501"/>
      <c r="I708" s="483"/>
      <c r="J708" s="501"/>
      <c r="K708" s="501"/>
    </row>
    <row r="709" spans="1:11">
      <c r="A709" s="483"/>
      <c r="B709" s="485" t="s">
        <v>306</v>
      </c>
      <c r="C709" s="483"/>
      <c r="D709" s="1303" t="s">
        <v>1201</v>
      </c>
      <c r="E709" s="1303"/>
      <c r="F709" s="1303"/>
      <c r="H709" s="501"/>
      <c r="I709" s="483"/>
      <c r="J709" s="501"/>
      <c r="K709" s="501"/>
    </row>
    <row r="710" spans="1:11">
      <c r="A710" s="483"/>
      <c r="B710" s="483"/>
      <c r="C710" s="483"/>
      <c r="D710" s="1303"/>
      <c r="E710" s="1303"/>
      <c r="F710" s="1303"/>
      <c r="H710" s="501"/>
      <c r="I710" s="483"/>
      <c r="J710" s="501"/>
      <c r="K710" s="501"/>
    </row>
    <row r="711" spans="1:11">
      <c r="A711" s="483"/>
      <c r="B711" s="483"/>
      <c r="C711" s="483"/>
      <c r="D711" s="445"/>
      <c r="E711" s="445"/>
      <c r="F711" s="445"/>
      <c r="H711" s="501"/>
      <c r="I711" s="483"/>
      <c r="J711" s="501"/>
      <c r="K711" s="501"/>
    </row>
    <row r="712" spans="1:11" ht="14.25">
      <c r="A712" s="484"/>
      <c r="B712" s="485" t="s">
        <v>306</v>
      </c>
      <c r="C712" s="483"/>
      <c r="D712" s="1303" t="s">
        <v>1077</v>
      </c>
      <c r="E712" s="1303"/>
      <c r="F712" s="1303"/>
      <c r="H712" s="501"/>
      <c r="I712" s="483"/>
      <c r="J712" s="501"/>
      <c r="K712" s="501"/>
    </row>
    <row r="713" spans="1:11">
      <c r="A713" s="483"/>
      <c r="B713" s="483"/>
      <c r="C713" s="483"/>
      <c r="D713" s="1303"/>
      <c r="E713" s="1303"/>
      <c r="F713" s="1303"/>
      <c r="H713" s="501"/>
      <c r="I713" s="483"/>
      <c r="J713" s="501"/>
      <c r="K713" s="501"/>
    </row>
    <row r="714" spans="1:11">
      <c r="A714" s="483"/>
      <c r="B714" s="483"/>
      <c r="C714" s="483"/>
      <c r="D714" s="1303"/>
      <c r="E714" s="1303"/>
      <c r="F714" s="1303"/>
      <c r="H714" s="501"/>
      <c r="I714" s="483"/>
      <c r="J714" s="501"/>
      <c r="K714" s="501"/>
    </row>
    <row r="715" spans="1:11" ht="15" customHeight="1">
      <c r="A715" s="483"/>
      <c r="B715" s="483"/>
      <c r="C715" s="483"/>
      <c r="D715" s="1303"/>
      <c r="E715" s="1303"/>
      <c r="F715" s="1303"/>
      <c r="H715" s="501"/>
      <c r="I715" s="483"/>
      <c r="J715" s="501"/>
      <c r="K715" s="501"/>
    </row>
    <row r="716" spans="1:11" ht="15" customHeight="1">
      <c r="A716" s="483"/>
      <c r="B716" s="483"/>
      <c r="C716" s="483"/>
      <c r="D716" s="1303"/>
      <c r="E716" s="1303"/>
      <c r="F716" s="1303"/>
      <c r="H716" s="501"/>
      <c r="I716" s="483"/>
      <c r="J716" s="501"/>
      <c r="K716" s="501"/>
    </row>
    <row r="717" spans="1:11">
      <c r="A717" s="483"/>
      <c r="B717" s="483"/>
      <c r="C717" s="483"/>
      <c r="D717" s="1303"/>
      <c r="E717" s="1303"/>
      <c r="F717" s="1303"/>
      <c r="H717" s="501"/>
      <c r="I717" s="483"/>
      <c r="J717" s="501"/>
      <c r="K717" s="501"/>
    </row>
    <row r="718" spans="1:11">
      <c r="A718" s="483"/>
      <c r="B718" s="483"/>
      <c r="C718" s="483"/>
      <c r="D718" s="1303"/>
      <c r="E718" s="1303"/>
      <c r="F718" s="1303"/>
      <c r="H718" s="501"/>
      <c r="I718" s="483"/>
      <c r="J718" s="501"/>
      <c r="K718" s="501"/>
    </row>
    <row r="719" spans="1:11">
      <c r="A719" s="483"/>
      <c r="B719" s="483"/>
      <c r="C719" s="483"/>
      <c r="D719" s="1303"/>
      <c r="E719" s="1303"/>
      <c r="F719" s="1303"/>
      <c r="H719" s="501"/>
      <c r="I719" s="483"/>
      <c r="J719" s="501"/>
      <c r="K719" s="501"/>
    </row>
    <row r="720" spans="1:11" ht="15" customHeight="1">
      <c r="A720" s="483"/>
      <c r="B720" s="483"/>
      <c r="C720" s="483"/>
      <c r="D720" s="1303"/>
      <c r="E720" s="1303"/>
      <c r="F720" s="1303"/>
      <c r="H720" s="501"/>
      <c r="I720" s="483"/>
      <c r="J720" s="501"/>
      <c r="K720" s="501"/>
    </row>
    <row r="721" spans="1:11">
      <c r="A721" s="483"/>
      <c r="B721" s="483"/>
      <c r="C721" s="483"/>
      <c r="D721" s="1303"/>
      <c r="E721" s="1303"/>
      <c r="F721" s="1303"/>
      <c r="H721" s="501"/>
      <c r="I721" s="483"/>
      <c r="J721" s="501"/>
      <c r="K721" s="501"/>
    </row>
    <row r="722" spans="1:11">
      <c r="A722" s="483"/>
      <c r="B722" s="483"/>
      <c r="C722" s="483"/>
      <c r="D722" s="1303"/>
      <c r="E722" s="1303"/>
      <c r="F722" s="1303"/>
      <c r="H722" s="501"/>
      <c r="I722" s="483"/>
      <c r="J722" s="501"/>
      <c r="K722" s="501"/>
    </row>
    <row r="723" spans="1:11">
      <c r="A723" s="483"/>
      <c r="B723" s="483"/>
      <c r="C723" s="483"/>
      <c r="D723" s="1303"/>
      <c r="E723" s="1303"/>
      <c r="F723" s="1303"/>
      <c r="H723" s="501"/>
      <c r="I723" s="483"/>
      <c r="J723" s="501"/>
      <c r="K723" s="501"/>
    </row>
    <row r="724" spans="1:11">
      <c r="A724" s="483"/>
      <c r="B724" s="483"/>
      <c r="C724" s="483"/>
      <c r="D724" s="1303"/>
      <c r="E724" s="1303"/>
      <c r="F724" s="1303"/>
      <c r="H724" s="501"/>
      <c r="I724" s="483"/>
      <c r="J724" s="501"/>
      <c r="K724" s="501"/>
    </row>
    <row r="725" spans="1:11">
      <c r="A725" s="483"/>
      <c r="B725" s="485" t="s">
        <v>306</v>
      </c>
      <c r="C725" s="483"/>
      <c r="D725" s="1303" t="s">
        <v>2460</v>
      </c>
      <c r="E725" s="1303"/>
      <c r="F725" s="1303"/>
      <c r="H725" s="501"/>
      <c r="I725" s="483"/>
      <c r="J725" s="501"/>
      <c r="K725" s="501"/>
    </row>
    <row r="726" spans="1:11">
      <c r="A726" s="483"/>
      <c r="B726" s="483"/>
      <c r="C726" s="483"/>
      <c r="D726" s="1303"/>
      <c r="E726" s="1303"/>
      <c r="F726" s="1303"/>
      <c r="H726" s="501"/>
      <c r="I726" s="483"/>
      <c r="J726" s="501"/>
      <c r="K726" s="501"/>
    </row>
    <row r="727" spans="1:11">
      <c r="A727" s="483"/>
      <c r="B727" s="483"/>
      <c r="C727" s="483"/>
      <c r="D727" s="1303"/>
      <c r="E727" s="1303"/>
      <c r="F727" s="1303"/>
      <c r="H727" s="501"/>
      <c r="I727" s="483"/>
      <c r="J727" s="501"/>
      <c r="K727" s="501"/>
    </row>
    <row r="728" spans="1:11">
      <c r="A728" s="483"/>
      <c r="B728" s="483"/>
      <c r="C728" s="483"/>
      <c r="D728" s="445"/>
      <c r="E728" s="445"/>
      <c r="F728" s="445"/>
      <c r="H728" s="501"/>
      <c r="I728" s="483"/>
      <c r="J728" s="501"/>
      <c r="K728" s="501"/>
    </row>
    <row r="729" spans="1:11">
      <c r="A729" s="483"/>
      <c r="B729" s="485" t="s">
        <v>306</v>
      </c>
      <c r="C729" s="483"/>
      <c r="D729" s="1303" t="s">
        <v>2459</v>
      </c>
      <c r="E729" s="1303"/>
      <c r="F729" s="1303"/>
      <c r="H729" s="501"/>
      <c r="I729" s="483"/>
      <c r="J729" s="501"/>
      <c r="K729" s="501"/>
    </row>
    <row r="730" spans="1:11">
      <c r="A730" s="483"/>
      <c r="B730" s="483"/>
      <c r="C730" s="483"/>
      <c r="D730" s="1303"/>
      <c r="E730" s="1303"/>
      <c r="F730" s="1303"/>
      <c r="H730" s="501"/>
      <c r="I730" s="483"/>
      <c r="J730" s="501"/>
      <c r="K730" s="501"/>
    </row>
    <row r="731" spans="1:11">
      <c r="A731" s="483"/>
      <c r="B731" s="483"/>
      <c r="C731" s="483"/>
      <c r="D731" s="1303"/>
      <c r="E731" s="1303"/>
      <c r="F731" s="1303"/>
      <c r="H731" s="501"/>
      <c r="I731" s="483"/>
      <c r="J731" s="501"/>
      <c r="K731" s="501"/>
    </row>
    <row r="732" spans="1:11">
      <c r="A732" s="483"/>
      <c r="B732" s="483"/>
      <c r="C732" s="483"/>
      <c r="H732" s="501"/>
      <c r="I732" s="483"/>
      <c r="J732" s="501"/>
      <c r="K732" s="501"/>
    </row>
    <row r="733" spans="1:11">
      <c r="A733" s="483"/>
      <c r="B733" s="485" t="s">
        <v>306</v>
      </c>
      <c r="C733" s="483"/>
      <c r="D733" s="1303" t="s">
        <v>2458</v>
      </c>
      <c r="E733" s="1303"/>
      <c r="F733" s="1303"/>
      <c r="H733" s="501"/>
      <c r="I733" s="483"/>
      <c r="J733" s="501"/>
      <c r="K733" s="501"/>
    </row>
    <row r="734" spans="1:11">
      <c r="A734" s="483"/>
      <c r="B734" s="483"/>
      <c r="C734" s="483"/>
      <c r="D734" s="1303"/>
      <c r="E734" s="1303"/>
      <c r="F734" s="1303"/>
      <c r="H734" s="501"/>
      <c r="I734" s="483"/>
      <c r="J734" s="501"/>
      <c r="K734" s="501"/>
    </row>
    <row r="735" spans="1:11">
      <c r="A735" s="483"/>
      <c r="B735" s="483"/>
      <c r="C735" s="483"/>
      <c r="D735" s="1303"/>
      <c r="E735" s="1303"/>
      <c r="F735" s="1303"/>
      <c r="H735" s="501"/>
      <c r="I735" s="483"/>
      <c r="J735" s="501"/>
      <c r="K735" s="501"/>
    </row>
    <row r="736" spans="1:11">
      <c r="A736" s="483"/>
      <c r="B736" s="483"/>
      <c r="C736" s="483"/>
      <c r="D736" s="1303"/>
      <c r="E736" s="1303"/>
      <c r="F736" s="1303"/>
      <c r="H736" s="501"/>
      <c r="I736" s="483"/>
      <c r="J736" s="501"/>
      <c r="K736" s="501"/>
    </row>
    <row r="737" spans="1:11">
      <c r="A737" s="483"/>
      <c r="B737" s="483"/>
      <c r="C737" s="483"/>
      <c r="H737" s="501"/>
      <c r="I737" s="483"/>
      <c r="J737" s="501"/>
      <c r="K737" s="501"/>
    </row>
    <row r="738" spans="1:11" ht="14.25">
      <c r="A738" s="484"/>
      <c r="B738" s="485" t="s">
        <v>306</v>
      </c>
      <c r="C738" s="483"/>
      <c r="D738" s="1303" t="s">
        <v>1078</v>
      </c>
      <c r="E738" s="1303"/>
      <c r="F738" s="1303"/>
      <c r="H738" s="501"/>
      <c r="I738" s="483"/>
      <c r="J738" s="501"/>
      <c r="K738" s="501"/>
    </row>
    <row r="739" spans="1:11">
      <c r="A739" s="483"/>
      <c r="B739" s="483"/>
      <c r="C739" s="483"/>
      <c r="D739" s="1303"/>
      <c r="E739" s="1303"/>
      <c r="F739" s="1303"/>
      <c r="H739" s="501"/>
      <c r="I739" s="483"/>
      <c r="J739" s="501"/>
      <c r="K739" s="501"/>
    </row>
    <row r="740" spans="1:11">
      <c r="A740" s="483"/>
      <c r="B740" s="483"/>
      <c r="C740" s="483"/>
      <c r="D740" s="1303"/>
      <c r="E740" s="1303"/>
      <c r="F740" s="1303"/>
      <c r="H740" s="501"/>
      <c r="I740" s="483"/>
      <c r="J740" s="501"/>
      <c r="K740" s="501"/>
    </row>
    <row r="741" spans="1:11">
      <c r="A741" s="483"/>
      <c r="B741" s="483"/>
      <c r="C741" s="483"/>
      <c r="D741" s="1303"/>
      <c r="E741" s="1303"/>
      <c r="F741" s="1303"/>
      <c r="H741" s="501"/>
      <c r="I741" s="483"/>
      <c r="J741" s="501"/>
      <c r="K741" s="501"/>
    </row>
    <row r="742" spans="1:11">
      <c r="A742" s="483"/>
      <c r="B742" s="483"/>
      <c r="C742" s="483"/>
      <c r="D742" s="1303"/>
      <c r="E742" s="1303"/>
      <c r="F742" s="1303"/>
      <c r="H742" s="501"/>
      <c r="I742" s="483"/>
      <c r="J742" s="501"/>
      <c r="K742" s="501"/>
    </row>
    <row r="743" spans="1:11">
      <c r="A743" s="483"/>
      <c r="B743" s="483"/>
      <c r="C743" s="483"/>
      <c r="D743" s="492"/>
      <c r="H743" s="501"/>
      <c r="I743" s="483"/>
      <c r="J743" s="501"/>
      <c r="K743" s="501"/>
    </row>
    <row r="744" spans="1:11" ht="14.25">
      <c r="A744" s="484"/>
      <c r="B744" s="485" t="s">
        <v>306</v>
      </c>
      <c r="C744" s="483"/>
      <c r="D744" s="1303" t="s">
        <v>2146</v>
      </c>
      <c r="E744" s="1303"/>
      <c r="F744" s="1303"/>
      <c r="H744" s="501"/>
      <c r="I744" s="483"/>
      <c r="J744" s="501"/>
      <c r="K744" s="501"/>
    </row>
    <row r="745" spans="1:11">
      <c r="A745" s="483"/>
      <c r="B745" s="483"/>
      <c r="C745" s="483"/>
      <c r="D745" s="1303"/>
      <c r="E745" s="1303"/>
      <c r="F745" s="1303"/>
      <c r="H745" s="501"/>
      <c r="I745" s="483"/>
      <c r="J745" s="501"/>
      <c r="K745" s="501"/>
    </row>
    <row r="746" spans="1:11">
      <c r="A746" s="483"/>
      <c r="B746" s="483"/>
      <c r="C746" s="483"/>
      <c r="D746" s="1303"/>
      <c r="E746" s="1303"/>
      <c r="F746" s="1303"/>
      <c r="H746" s="501"/>
      <c r="I746" s="483"/>
      <c r="J746" s="501"/>
      <c r="K746" s="501"/>
    </row>
    <row r="747" spans="1:11">
      <c r="A747" s="483"/>
      <c r="B747" s="483"/>
      <c r="C747" s="483"/>
      <c r="D747" s="1303"/>
      <c r="E747" s="1303"/>
      <c r="F747" s="1303"/>
      <c r="H747" s="501"/>
      <c r="I747" s="483"/>
      <c r="J747" s="501"/>
      <c r="K747" s="501"/>
    </row>
    <row r="748" spans="1:11">
      <c r="A748" s="483"/>
      <c r="B748" s="483"/>
      <c r="C748" s="483"/>
      <c r="D748" s="1303"/>
      <c r="E748" s="1303"/>
      <c r="F748" s="1303"/>
      <c r="H748" s="501"/>
      <c r="I748" s="483"/>
      <c r="J748" s="501"/>
      <c r="K748" s="501"/>
    </row>
    <row r="749" spans="1:11">
      <c r="A749" s="483"/>
      <c r="B749" s="483"/>
      <c r="C749" s="483"/>
      <c r="D749" s="1303"/>
      <c r="E749" s="1303"/>
      <c r="F749" s="1303"/>
      <c r="H749" s="501"/>
      <c r="I749" s="483"/>
      <c r="J749" s="501"/>
      <c r="K749" s="501"/>
    </row>
    <row r="750" spans="1:11">
      <c r="A750" s="483"/>
      <c r="B750" s="483"/>
      <c r="C750" s="483"/>
      <c r="D750" s="1303"/>
      <c r="E750" s="1303"/>
      <c r="F750" s="1303"/>
      <c r="H750" s="501"/>
      <c r="I750" s="483"/>
      <c r="J750" s="501"/>
      <c r="K750" s="501"/>
    </row>
    <row r="751" spans="1:11">
      <c r="A751" s="483"/>
      <c r="B751" s="483"/>
      <c r="C751" s="483"/>
      <c r="D751" s="1304" t="s">
        <v>2075</v>
      </c>
      <c r="E751" s="1304"/>
      <c r="F751" s="1304"/>
      <c r="H751" s="501"/>
      <c r="I751" s="483"/>
      <c r="J751" s="501"/>
      <c r="K751" s="501"/>
    </row>
    <row r="752" spans="1:11">
      <c r="A752" s="483"/>
      <c r="B752" s="483"/>
      <c r="C752" s="483"/>
      <c r="D752" s="341"/>
      <c r="H752" s="501"/>
      <c r="I752" s="483"/>
      <c r="J752" s="501"/>
      <c r="K752" s="501"/>
    </row>
    <row r="753" spans="1:11">
      <c r="A753" s="1302" t="s">
        <v>1060</v>
      </c>
      <c r="B753" s="1302"/>
      <c r="C753" s="1302"/>
      <c r="D753" s="1302"/>
      <c r="E753" s="1302"/>
      <c r="F753" s="1302"/>
      <c r="G753" s="1302"/>
      <c r="H753" s="1030"/>
      <c r="I753" s="1157"/>
      <c r="J753" s="501"/>
      <c r="K753" s="501"/>
    </row>
    <row r="754" spans="1:11">
      <c r="A754" s="483"/>
      <c r="B754" s="483"/>
      <c r="C754" s="483"/>
      <c r="D754" s="492"/>
      <c r="G754" s="501"/>
      <c r="H754" s="501"/>
      <c r="I754" s="483"/>
      <c r="J754" s="501"/>
      <c r="K754" s="501"/>
    </row>
    <row r="755" spans="1:11" ht="13.7" customHeight="1">
      <c r="C755" s="483"/>
      <c r="D755" s="1319" t="s">
        <v>1070</v>
      </c>
      <c r="E755" s="1319"/>
      <c r="F755" s="1319"/>
      <c r="G755" s="501"/>
      <c r="H755" s="501"/>
      <c r="I755" s="483"/>
      <c r="J755" s="501"/>
      <c r="K755" s="501"/>
    </row>
    <row r="756" spans="1:11">
      <c r="A756" s="483"/>
      <c r="B756" s="483"/>
      <c r="C756" s="483"/>
      <c r="D756" s="1305" t="s">
        <v>1071</v>
      </c>
      <c r="E756" s="1305"/>
      <c r="F756" s="1305"/>
      <c r="G756" s="501"/>
      <c r="H756" s="501"/>
      <c r="I756" s="483"/>
      <c r="J756" s="501"/>
      <c r="K756" s="501"/>
    </row>
    <row r="757" spans="1:11">
      <c r="A757" s="483"/>
      <c r="B757" s="483"/>
      <c r="C757" s="483"/>
      <c r="G757" s="501"/>
      <c r="H757" s="501"/>
      <c r="I757" s="483"/>
      <c r="J757" s="501"/>
      <c r="K757" s="501"/>
    </row>
    <row r="758" spans="1:11" ht="14.25">
      <c r="A758" s="484"/>
      <c r="B758" s="485" t="s">
        <v>306</v>
      </c>
      <c r="D758" s="1303" t="s">
        <v>1072</v>
      </c>
      <c r="E758" s="1303"/>
      <c r="F758" s="1303"/>
      <c r="G758" s="501"/>
      <c r="H758" s="501"/>
      <c r="I758" s="483"/>
      <c r="J758" s="501"/>
      <c r="K758" s="501"/>
    </row>
    <row r="759" spans="1:11" ht="10.5" customHeight="1">
      <c r="D759" s="1303"/>
      <c r="E759" s="1303"/>
      <c r="F759" s="1303"/>
      <c r="G759" s="501"/>
      <c r="H759" s="501"/>
      <c r="I759" s="483"/>
      <c r="J759" s="501"/>
      <c r="K759" s="501"/>
    </row>
    <row r="760" spans="1:11">
      <c r="D760" s="1303"/>
      <c r="E760" s="1303"/>
      <c r="F760" s="1303"/>
      <c r="G760" s="501"/>
      <c r="H760" s="501"/>
      <c r="I760" s="483"/>
      <c r="J760" s="501"/>
      <c r="K760" s="501"/>
    </row>
    <row r="761" spans="1:11">
      <c r="D761" s="1303"/>
      <c r="E761" s="1303"/>
      <c r="F761" s="1303"/>
      <c r="G761" s="501"/>
      <c r="H761" s="501"/>
      <c r="I761" s="483"/>
      <c r="J761" s="501"/>
      <c r="K761" s="501"/>
    </row>
    <row r="762" spans="1:11">
      <c r="D762" s="1303"/>
      <c r="E762" s="1303"/>
      <c r="F762" s="1303"/>
      <c r="G762" s="501"/>
      <c r="H762" s="501"/>
      <c r="I762" s="483"/>
      <c r="J762" s="501"/>
      <c r="K762" s="501"/>
    </row>
    <row r="763" spans="1:11" ht="15.6" customHeight="1">
      <c r="D763" s="1303"/>
      <c r="E763" s="1303"/>
      <c r="F763" s="1303"/>
      <c r="G763" s="501"/>
      <c r="H763" s="501"/>
      <c r="I763" s="483"/>
      <c r="J763" s="501"/>
      <c r="K763" s="501"/>
    </row>
    <row r="764" spans="1:11">
      <c r="D764" s="499"/>
      <c r="E764" s="446"/>
      <c r="F764" s="446"/>
      <c r="G764" s="501"/>
      <c r="H764" s="501"/>
      <c r="I764" s="483"/>
      <c r="J764" s="501"/>
      <c r="K764" s="501"/>
    </row>
    <row r="765" spans="1:11" s="505" customFormat="1" ht="14.25">
      <c r="A765" s="503"/>
      <c r="B765" s="485" t="s">
        <v>306</v>
      </c>
      <c r="C765" s="504"/>
      <c r="D765" s="1303" t="s">
        <v>1241</v>
      </c>
      <c r="E765" s="1303"/>
      <c r="F765" s="1303"/>
      <c r="I765" s="1158"/>
    </row>
    <row r="766" spans="1:11" s="505" customFormat="1">
      <c r="A766" s="504"/>
      <c r="B766" s="504"/>
      <c r="C766" s="504"/>
      <c r="D766" s="1303"/>
      <c r="E766" s="1303"/>
      <c r="F766" s="1303"/>
      <c r="I766" s="1158"/>
    </row>
    <row r="767" spans="1:11" s="505" customFormat="1">
      <c r="A767" s="504"/>
      <c r="B767" s="504"/>
      <c r="C767" s="504"/>
      <c r="D767" s="1303"/>
      <c r="E767" s="1303"/>
      <c r="F767" s="1303"/>
      <c r="I767" s="1158"/>
    </row>
    <row r="768" spans="1:11" s="505" customFormat="1">
      <c r="A768" s="504"/>
      <c r="B768" s="504"/>
      <c r="C768" s="504"/>
      <c r="D768" s="1303"/>
      <c r="E768" s="1303"/>
      <c r="F768" s="1303"/>
      <c r="I768" s="1158"/>
    </row>
    <row r="769" spans="1:11" s="505" customFormat="1">
      <c r="A769" s="504"/>
      <c r="B769" s="504"/>
      <c r="C769" s="504"/>
      <c r="D769" s="499"/>
      <c r="I769" s="1158"/>
    </row>
    <row r="770" spans="1:11" s="505" customFormat="1" ht="14.25">
      <c r="A770" s="484"/>
      <c r="B770" s="485" t="s">
        <v>306</v>
      </c>
      <c r="C770" s="504"/>
      <c r="D770" s="1309" t="s">
        <v>1242</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ht="14.25">
      <c r="A774" s="484"/>
      <c r="B774" s="485" t="s">
        <v>306</v>
      </c>
      <c r="D774" s="1303" t="s">
        <v>1198</v>
      </c>
      <c r="E774" s="1303"/>
      <c r="F774" s="1303"/>
      <c r="G774" s="501"/>
      <c r="H774" s="501"/>
      <c r="I774" s="483"/>
      <c r="J774" s="501"/>
      <c r="K774" s="501"/>
    </row>
    <row r="775" spans="1:11">
      <c r="D775" s="1303"/>
      <c r="E775" s="1303"/>
      <c r="F775" s="1303"/>
      <c r="G775" s="501"/>
      <c r="H775" s="501"/>
      <c r="I775" s="483"/>
      <c r="J775" s="501"/>
      <c r="K775" s="501"/>
    </row>
    <row r="776" spans="1:11">
      <c r="D776" s="445"/>
      <c r="E776" s="445"/>
      <c r="F776" s="445"/>
      <c r="G776" s="501"/>
      <c r="H776" s="501"/>
      <c r="I776" s="483"/>
      <c r="J776" s="501"/>
      <c r="K776" s="501"/>
    </row>
    <row r="777" spans="1:11">
      <c r="B777" s="485" t="s">
        <v>306</v>
      </c>
      <c r="D777" s="1303" t="s">
        <v>1215</v>
      </c>
      <c r="E777" s="1303"/>
      <c r="F777" s="1303"/>
      <c r="G777" s="501"/>
      <c r="H777" s="501"/>
      <c r="I777" s="483"/>
      <c r="J777" s="501"/>
      <c r="K777" s="501"/>
    </row>
    <row r="778" spans="1:11">
      <c r="D778" s="1303"/>
      <c r="E778" s="1303"/>
      <c r="F778" s="1303"/>
      <c r="G778" s="501"/>
      <c r="H778" s="501"/>
      <c r="I778" s="483"/>
      <c r="J778" s="501"/>
      <c r="K778" s="501"/>
    </row>
    <row r="779" spans="1:11">
      <c r="D779" s="1303"/>
      <c r="E779" s="1303"/>
      <c r="F779" s="1303"/>
      <c r="G779" s="501"/>
      <c r="H779" s="501"/>
      <c r="I779" s="483"/>
      <c r="J779" s="501"/>
      <c r="K779" s="501"/>
    </row>
    <row r="780" spans="1:11">
      <c r="D780" s="445"/>
      <c r="E780" s="445"/>
      <c r="F780" s="445"/>
      <c r="G780" s="501"/>
      <c r="H780" s="501"/>
      <c r="I780" s="483"/>
      <c r="J780" s="501"/>
      <c r="K780" s="501"/>
    </row>
    <row r="781" spans="1:11">
      <c r="A781" s="1318" t="s">
        <v>1801</v>
      </c>
      <c r="B781" s="1318"/>
      <c r="C781" s="1318"/>
      <c r="D781" s="1318"/>
      <c r="E781" s="1318"/>
      <c r="F781" s="1318"/>
      <c r="G781" s="1318"/>
      <c r="H781" s="1028"/>
      <c r="I781" s="1153"/>
    </row>
    <row r="782" spans="1:11">
      <c r="A782" s="57"/>
      <c r="B782" s="57"/>
      <c r="C782" s="354"/>
      <c r="D782" s="3"/>
      <c r="E782" s="3"/>
      <c r="F782" s="3"/>
      <c r="G782" s="3"/>
      <c r="I782" s="490"/>
    </row>
    <row r="783" spans="1:11">
      <c r="A783" s="57"/>
      <c r="B783" s="57"/>
      <c r="C783" s="354"/>
      <c r="D783" s="1317" t="s">
        <v>1855</v>
      </c>
      <c r="E783" s="1317"/>
      <c r="F783" s="1317"/>
      <c r="G783" s="3"/>
      <c r="I783" s="490"/>
    </row>
    <row r="784" spans="1:11">
      <c r="A784" s="57"/>
      <c r="B784" s="57"/>
      <c r="C784" s="354"/>
      <c r="D784" s="1320" t="s">
        <v>1755</v>
      </c>
      <c r="E784" s="1320"/>
      <c r="F784" s="1320"/>
      <c r="G784" s="3"/>
      <c r="I784" s="490"/>
    </row>
    <row r="785" spans="1:9">
      <c r="A785" s="57"/>
      <c r="B785" s="57"/>
      <c r="C785" s="354"/>
      <c r="D785" s="447"/>
      <c r="E785" s="447"/>
      <c r="F785" s="447"/>
      <c r="G785" s="3"/>
      <c r="I785" s="490"/>
    </row>
    <row r="786" spans="1:9">
      <c r="A786" s="57"/>
      <c r="B786" s="485" t="s">
        <v>306</v>
      </c>
      <c r="C786" s="354"/>
      <c r="D786" s="1296" t="s">
        <v>1756</v>
      </c>
      <c r="E786" s="1296"/>
      <c r="F786" s="1296"/>
      <c r="G786" s="3"/>
      <c r="I786" s="483"/>
    </row>
    <row r="787" spans="1:9">
      <c r="A787" s="57"/>
      <c r="B787" s="57"/>
      <c r="C787" s="354"/>
      <c r="D787" s="1296"/>
      <c r="E787" s="1296"/>
      <c r="F787" s="1296"/>
      <c r="G787" s="3"/>
      <c r="I787" s="490"/>
    </row>
    <row r="788" spans="1:9">
      <c r="A788" s="174"/>
      <c r="B788" s="174"/>
      <c r="C788" s="174"/>
      <c r="D788" s="1296"/>
      <c r="E788" s="1296"/>
      <c r="F788" s="1296"/>
      <c r="G788" s="118"/>
      <c r="I788" s="490"/>
    </row>
    <row r="789" spans="1:9">
      <c r="A789" s="354"/>
      <c r="B789" s="354"/>
      <c r="C789" s="354"/>
      <c r="D789" s="173"/>
      <c r="E789" s="3"/>
      <c r="F789" s="3"/>
      <c r="G789" s="3"/>
      <c r="I789" s="490"/>
    </row>
    <row r="790" spans="1:9">
      <c r="A790" s="172"/>
      <c r="B790" s="485" t="s">
        <v>306</v>
      </c>
      <c r="C790" s="172"/>
      <c r="D790" s="1296" t="s">
        <v>1757</v>
      </c>
      <c r="E790" s="1296"/>
      <c r="F790" s="1296"/>
      <c r="G790" s="3"/>
      <c r="I790" s="483"/>
    </row>
    <row r="791" spans="1:9">
      <c r="A791" s="172"/>
      <c r="B791" s="172"/>
      <c r="C791" s="172"/>
      <c r="D791" s="1296"/>
      <c r="E791" s="1296"/>
      <c r="F791" s="1296"/>
      <c r="G791" s="3"/>
      <c r="I791" s="490"/>
    </row>
    <row r="792" spans="1:9">
      <c r="A792" s="172"/>
      <c r="B792" s="172"/>
      <c r="C792" s="172"/>
      <c r="D792" s="1296"/>
      <c r="E792" s="1296"/>
      <c r="F792" s="1296"/>
      <c r="G792" s="3"/>
      <c r="I792" s="490"/>
    </row>
    <row r="793" spans="1:9">
      <c r="A793" s="174"/>
      <c r="B793" s="174"/>
      <c r="C793" s="174"/>
      <c r="D793" s="3"/>
      <c r="E793" s="988"/>
      <c r="F793" s="988"/>
      <c r="G793" s="988"/>
      <c r="I793" s="490"/>
    </row>
    <row r="794" spans="1:9" ht="14.25">
      <c r="A794" s="175"/>
      <c r="B794" s="485" t="s">
        <v>306</v>
      </c>
      <c r="C794" s="989"/>
      <c r="D794" s="1296" t="s">
        <v>1758</v>
      </c>
      <c r="E794" s="1296"/>
      <c r="F794" s="1296"/>
      <c r="G794" s="988"/>
      <c r="I794" s="483"/>
    </row>
    <row r="795" spans="1:9" ht="14.25">
      <c r="A795" s="175"/>
      <c r="B795" s="175"/>
      <c r="C795" s="989"/>
      <c r="D795" s="1296"/>
      <c r="E795" s="1296"/>
      <c r="F795" s="1296"/>
      <c r="G795" s="988"/>
      <c r="I795" s="490"/>
    </row>
    <row r="796" spans="1:9" ht="14.25">
      <c r="A796" s="175"/>
      <c r="B796" s="175"/>
      <c r="C796" s="989"/>
      <c r="D796" s="1296"/>
      <c r="E796" s="1296"/>
      <c r="F796" s="1296"/>
      <c r="G796" s="988"/>
      <c r="I796" s="490"/>
    </row>
    <row r="797" spans="1:9" ht="14.25">
      <c r="A797" s="175"/>
      <c r="B797" s="175"/>
      <c r="C797" s="989"/>
      <c r="D797" s="118"/>
      <c r="E797" s="3"/>
      <c r="F797" s="3"/>
      <c r="G797" s="988"/>
      <c r="I797" s="490"/>
    </row>
    <row r="798" spans="1:9" ht="14.25">
      <c r="A798" s="175"/>
      <c r="B798" s="485" t="s">
        <v>306</v>
      </c>
      <c r="C798" s="989"/>
      <c r="D798" s="1296" t="s">
        <v>1759</v>
      </c>
      <c r="E798" s="1296"/>
      <c r="F798" s="1296"/>
      <c r="G798" s="988"/>
      <c r="I798" s="483"/>
    </row>
    <row r="799" spans="1:9" ht="14.25">
      <c r="A799" s="175"/>
      <c r="B799" s="175"/>
      <c r="C799" s="989"/>
      <c r="D799" s="1296"/>
      <c r="E799" s="1296"/>
      <c r="F799" s="1296"/>
      <c r="G799" s="988"/>
      <c r="I799" s="490"/>
    </row>
    <row r="800" spans="1:9" ht="14.25">
      <c r="A800" s="175"/>
      <c r="B800" s="175"/>
      <c r="C800" s="989"/>
      <c r="D800" s="1296"/>
      <c r="E800" s="1296"/>
      <c r="F800" s="1296"/>
      <c r="G800" s="988"/>
      <c r="I800" s="490"/>
    </row>
    <row r="801" spans="1:9" ht="14.25">
      <c r="A801" s="175"/>
      <c r="B801" s="175"/>
      <c r="C801" s="989"/>
      <c r="D801" s="1296"/>
      <c r="E801" s="1296"/>
      <c r="F801" s="1296"/>
      <c r="G801" s="988"/>
      <c r="I801" s="490"/>
    </row>
    <row r="802" spans="1:9" ht="14.25">
      <c r="A802" s="175"/>
      <c r="B802" s="175"/>
      <c r="C802" s="989"/>
      <c r="D802" s="1296"/>
      <c r="E802" s="1296"/>
      <c r="F802" s="1296"/>
      <c r="G802" s="988"/>
      <c r="I802" s="490"/>
    </row>
    <row r="803" spans="1:9" ht="14.25">
      <c r="A803" s="175"/>
      <c r="B803" s="175"/>
      <c r="C803" s="989"/>
      <c r="D803" s="1296"/>
      <c r="E803" s="1296"/>
      <c r="F803" s="1296"/>
      <c r="G803" s="988"/>
      <c r="I803" s="490"/>
    </row>
    <row r="804" spans="1:9" ht="14.25">
      <c r="A804" s="175"/>
      <c r="B804" s="175"/>
      <c r="C804" s="989"/>
      <c r="D804" s="1296" t="s">
        <v>1802</v>
      </c>
      <c r="E804" s="1296"/>
      <c r="F804" s="1296"/>
      <c r="G804" s="988"/>
      <c r="I804" s="490"/>
    </row>
    <row r="805" spans="1:9" ht="14.25">
      <c r="A805" s="175"/>
      <c r="B805" s="175"/>
      <c r="C805" s="989"/>
      <c r="D805" s="1296"/>
      <c r="E805" s="1296"/>
      <c r="F805" s="1296"/>
      <c r="G805" s="988"/>
      <c r="I805" s="490"/>
    </row>
    <row r="806" spans="1:9" ht="14.25">
      <c r="A806" s="175"/>
      <c r="B806" s="175"/>
      <c r="C806" s="989"/>
      <c r="D806" s="1296"/>
      <c r="E806" s="1296"/>
      <c r="F806" s="1296"/>
      <c r="G806" s="988"/>
      <c r="I806" s="490"/>
    </row>
    <row r="807" spans="1:9" ht="14.25">
      <c r="A807" s="175"/>
      <c r="B807" s="354"/>
      <c r="C807" s="989"/>
      <c r="D807" s="990"/>
      <c r="E807" s="990"/>
      <c r="F807" s="990"/>
      <c r="G807" s="988"/>
      <c r="I807" s="490"/>
    </row>
    <row r="808" spans="1:9" ht="14.25">
      <c r="A808" s="175"/>
      <c r="B808" s="485" t="s">
        <v>306</v>
      </c>
      <c r="C808" s="989"/>
      <c r="D808" s="1296" t="s">
        <v>1760</v>
      </c>
      <c r="E808" s="1296"/>
      <c r="F808" s="1296"/>
      <c r="G808" s="988"/>
      <c r="I808" s="483"/>
    </row>
    <row r="809" spans="1:9" ht="14.25">
      <c r="A809" s="175"/>
      <c r="B809" s="175"/>
      <c r="C809" s="989"/>
      <c r="D809" s="1296"/>
      <c r="E809" s="1296"/>
      <c r="F809" s="1296"/>
      <c r="G809" s="988"/>
      <c r="I809" s="490"/>
    </row>
    <row r="810" spans="1:9" ht="14.25">
      <c r="A810" s="175"/>
      <c r="B810" s="175"/>
      <c r="C810" s="989"/>
      <c r="D810" s="1296"/>
      <c r="E810" s="1296"/>
      <c r="F810" s="1296"/>
      <c r="G810" s="988"/>
      <c r="I810" s="490"/>
    </row>
    <row r="811" spans="1:9" ht="14.25">
      <c r="A811" s="175"/>
      <c r="B811" s="175"/>
      <c r="C811" s="989"/>
      <c r="D811" s="1296"/>
      <c r="E811" s="1296"/>
      <c r="F811" s="1296"/>
      <c r="G811" s="988"/>
      <c r="I811" s="490"/>
    </row>
    <row r="812" spans="1:9" ht="14.25">
      <c r="A812" s="175"/>
      <c r="B812" s="175"/>
      <c r="C812" s="989"/>
      <c r="D812" s="1296"/>
      <c r="E812" s="1296"/>
      <c r="F812" s="1296"/>
      <c r="G812" s="988"/>
      <c r="I812" s="490"/>
    </row>
    <row r="813" spans="1:9" ht="14.25">
      <c r="A813" s="175"/>
      <c r="B813" s="175"/>
      <c r="C813" s="989"/>
      <c r="D813" s="1296"/>
      <c r="E813" s="1296"/>
      <c r="F813" s="1296"/>
      <c r="G813" s="988"/>
      <c r="I813" s="490"/>
    </row>
    <row r="814" spans="1:9" ht="14.25">
      <c r="A814" s="175"/>
      <c r="B814" s="175"/>
      <c r="C814" s="989"/>
      <c r="D814" s="982"/>
      <c r="E814" s="982"/>
      <c r="F814" s="982"/>
      <c r="G814" s="988"/>
      <c r="I814" s="490"/>
    </row>
    <row r="815" spans="1:9" ht="14.25">
      <c r="A815" s="175"/>
      <c r="B815" s="485" t="s">
        <v>306</v>
      </c>
      <c r="C815" s="989"/>
      <c r="D815" s="1296" t="s">
        <v>1761</v>
      </c>
      <c r="E815" s="1296"/>
      <c r="F815" s="1296"/>
      <c r="G815" s="988"/>
      <c r="I815" s="483"/>
    </row>
    <row r="816" spans="1:9" ht="14.25">
      <c r="A816" s="175"/>
      <c r="B816" s="175"/>
      <c r="C816" s="989"/>
      <c r="D816" s="1296"/>
      <c r="E816" s="1296"/>
      <c r="F816" s="1296"/>
      <c r="G816" s="988"/>
      <c r="I816" s="490"/>
    </row>
    <row r="817" spans="1:9" ht="14.25">
      <c r="A817" s="175"/>
      <c r="B817" s="175"/>
      <c r="C817" s="989"/>
      <c r="D817" s="1296"/>
      <c r="E817" s="1296"/>
      <c r="F817" s="1296"/>
      <c r="G817" s="988"/>
      <c r="I817" s="490"/>
    </row>
    <row r="818" spans="1:9" ht="14.25">
      <c r="A818" s="175"/>
      <c r="B818" s="175"/>
      <c r="C818" s="989"/>
      <c r="D818" s="1296"/>
      <c r="E818" s="1296"/>
      <c r="F818" s="1296"/>
      <c r="G818" s="988"/>
      <c r="I818" s="490"/>
    </row>
    <row r="819" spans="1:9" ht="14.25">
      <c r="A819" s="175"/>
      <c r="B819" s="175"/>
      <c r="C819" s="989"/>
      <c r="D819" s="1296"/>
      <c r="E819" s="1296"/>
      <c r="F819" s="1296"/>
      <c r="G819" s="988"/>
      <c r="I819" s="490"/>
    </row>
    <row r="820" spans="1:9" ht="14.25">
      <c r="A820" s="175"/>
      <c r="B820" s="175"/>
      <c r="C820" s="989"/>
      <c r="D820" s="1296"/>
      <c r="E820" s="1296"/>
      <c r="F820" s="1296"/>
      <c r="G820" s="988"/>
      <c r="I820" s="490"/>
    </row>
    <row r="821" spans="1:9" ht="14.25">
      <c r="A821" s="175"/>
      <c r="B821" s="175"/>
      <c r="C821" s="989"/>
      <c r="D821" s="982"/>
      <c r="E821" s="982"/>
      <c r="F821" s="982"/>
      <c r="G821" s="988"/>
      <c r="I821" s="490"/>
    </row>
    <row r="822" spans="1:9" ht="14.25">
      <c r="A822" s="175"/>
      <c r="B822" s="485" t="s">
        <v>306</v>
      </c>
      <c r="C822" s="989"/>
      <c r="D822" s="1291" t="s">
        <v>1762</v>
      </c>
      <c r="E822" s="1291"/>
      <c r="F822" s="1291"/>
      <c r="G822" s="988"/>
      <c r="I822" s="483"/>
    </row>
    <row r="823" spans="1:9" ht="14.25">
      <c r="A823" s="175"/>
      <c r="B823" s="175"/>
      <c r="C823" s="989"/>
      <c r="D823" s="1291"/>
      <c r="E823" s="1291"/>
      <c r="F823" s="1291"/>
      <c r="G823" s="988"/>
      <c r="I823" s="490"/>
    </row>
    <row r="824" spans="1:9">
      <c r="A824" s="13"/>
      <c r="B824" s="13"/>
      <c r="C824" s="989"/>
      <c r="D824" s="1291"/>
      <c r="E824" s="1291"/>
      <c r="F824" s="1291"/>
      <c r="G824" s="988"/>
      <c r="I824" s="490"/>
    </row>
    <row r="825" spans="1:9" ht="14.25">
      <c r="A825" s="175"/>
      <c r="B825" s="13"/>
      <c r="C825" s="989"/>
      <c r="D825" s="1291"/>
      <c r="E825" s="1291"/>
      <c r="F825" s="1291"/>
      <c r="G825" s="988"/>
      <c r="I825" s="490"/>
    </row>
    <row r="826" spans="1:9" ht="12.75" customHeight="1">
      <c r="A826" s="175"/>
      <c r="B826" s="13"/>
      <c r="C826" s="989"/>
      <c r="D826" s="1291"/>
      <c r="E826" s="1291"/>
      <c r="F826" s="1291"/>
      <c r="G826" s="988"/>
      <c r="I826" s="490"/>
    </row>
    <row r="827" spans="1:9" ht="12.75" customHeight="1">
      <c r="A827" s="175"/>
      <c r="B827" s="13"/>
      <c r="C827" s="989"/>
      <c r="D827" s="1291"/>
      <c r="E827" s="1291"/>
      <c r="F827" s="1291"/>
      <c r="G827" s="988"/>
      <c r="I827" s="490"/>
    </row>
    <row r="828" spans="1:9" ht="12.75" customHeight="1">
      <c r="A828" s="13"/>
      <c r="B828" s="13"/>
      <c r="C828" s="989"/>
      <c r="D828" s="988"/>
      <c r="E828" s="3"/>
      <c r="F828" s="3"/>
      <c r="G828" s="988"/>
      <c r="I828" s="490"/>
    </row>
    <row r="829" spans="1:9" ht="12.75" customHeight="1">
      <c r="A829" s="1287" t="s">
        <v>1763</v>
      </c>
      <c r="B829" s="1287"/>
      <c r="C829" s="1287"/>
      <c r="D829" s="1287"/>
      <c r="E829" s="1287"/>
      <c r="F829" s="1287"/>
      <c r="G829" s="1287"/>
      <c r="H829" s="1028"/>
      <c r="I829" s="1153"/>
    </row>
    <row r="830" spans="1:9" ht="12.75" customHeight="1">
      <c r="A830" s="172"/>
      <c r="B830" s="172"/>
      <c r="C830" s="989"/>
      <c r="D830" s="988"/>
      <c r="E830" s="988"/>
      <c r="F830" s="988"/>
      <c r="G830" s="988"/>
      <c r="I830" s="490"/>
    </row>
    <row r="831" spans="1:9" ht="12.75" customHeight="1">
      <c r="A831" s="175"/>
      <c r="B831" s="175"/>
      <c r="C831" s="354"/>
      <c r="D831" s="1307" t="s">
        <v>1803</v>
      </c>
      <c r="E831" s="1307"/>
      <c r="F831" s="1307"/>
      <c r="G831" s="3"/>
      <c r="I831" s="490"/>
    </row>
    <row r="832" spans="1:9" ht="14.25" customHeight="1">
      <c r="A832" s="175"/>
      <c r="B832" s="175"/>
      <c r="C832" s="354"/>
      <c r="D832" s="1264" t="s">
        <v>1764</v>
      </c>
      <c r="E832" s="1264"/>
      <c r="F832" s="1264"/>
      <c r="G832" s="3"/>
      <c r="I832" s="490"/>
    </row>
    <row r="833" spans="1:9" ht="12.75" customHeight="1">
      <c r="A833" s="175"/>
      <c r="B833" s="175"/>
      <c r="C833" s="354"/>
      <c r="D833" s="441"/>
      <c r="E833" s="441"/>
      <c r="F833" s="441"/>
      <c r="G833" s="3"/>
      <c r="I833" s="490"/>
    </row>
    <row r="834" spans="1:9" ht="12.75" customHeight="1">
      <c r="A834" s="354"/>
      <c r="B834" s="485" t="s">
        <v>306</v>
      </c>
      <c r="C834" s="989"/>
      <c r="D834" s="1264" t="s">
        <v>1765</v>
      </c>
      <c r="E834" s="1264"/>
      <c r="F834" s="1264"/>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8" t="s">
        <v>2076</v>
      </c>
      <c r="E837" s="1308"/>
      <c r="F837" s="1308"/>
      <c r="G837" s="3"/>
      <c r="I837" s="490"/>
    </row>
    <row r="838" spans="1:9" ht="12.75" hidden="1" customHeight="1">
      <c r="A838" s="13"/>
      <c r="B838" s="13"/>
      <c r="C838" s="989"/>
      <c r="D838" s="1308"/>
      <c r="E838" s="1308"/>
      <c r="F838" s="1308"/>
      <c r="G838" s="3"/>
      <c r="I838" s="490"/>
    </row>
    <row r="839" spans="1:9" ht="12.75" hidden="1" customHeight="1">
      <c r="A839" s="13"/>
      <c r="B839" s="13"/>
      <c r="C839" s="989"/>
      <c r="D839" s="1308"/>
      <c r="E839" s="1308"/>
      <c r="F839" s="1308"/>
      <c r="G839" s="3"/>
      <c r="I839" s="490"/>
    </row>
    <row r="840" spans="1:9" ht="12.75" hidden="1" customHeight="1">
      <c r="A840" s="13"/>
      <c r="B840" s="13"/>
      <c r="C840" s="989"/>
      <c r="D840" s="1308"/>
      <c r="E840" s="1308"/>
      <c r="F840" s="1308"/>
      <c r="G840" s="3"/>
      <c r="I840" s="490"/>
    </row>
    <row r="841" spans="1:9" ht="12.75" hidden="1" customHeight="1">
      <c r="A841" s="13"/>
      <c r="B841" s="13"/>
      <c r="C841" s="989"/>
      <c r="D841" s="1308"/>
      <c r="E841" s="1308"/>
      <c r="F841" s="1308"/>
      <c r="G841" s="3"/>
      <c r="I841" s="490"/>
    </row>
    <row r="842" spans="1:9" ht="12.75" hidden="1" customHeight="1">
      <c r="A842" s="13"/>
      <c r="B842" s="13"/>
      <c r="C842" s="989"/>
      <c r="D842" s="1308"/>
      <c r="E842" s="1308"/>
      <c r="F842" s="1308"/>
      <c r="G842" s="3"/>
      <c r="I842" s="490"/>
    </row>
    <row r="843" spans="1:9" ht="12.75" hidden="1" customHeight="1">
      <c r="A843" s="13"/>
      <c r="B843" s="13"/>
      <c r="C843" s="989"/>
      <c r="D843" s="1308"/>
      <c r="E843" s="1308"/>
      <c r="F843" s="1308"/>
      <c r="G843" s="3"/>
      <c r="I843" s="490"/>
    </row>
    <row r="844" spans="1:9" ht="12.75" hidden="1" customHeight="1">
      <c r="A844" s="13"/>
      <c r="B844" s="13"/>
      <c r="C844" s="989"/>
      <c r="D844" s="1308"/>
      <c r="E844" s="1308"/>
      <c r="F844" s="1308"/>
      <c r="G844" s="3"/>
      <c r="I844" s="490"/>
    </row>
    <row r="845" spans="1:9" ht="12.75" hidden="1" customHeight="1">
      <c r="A845" s="13"/>
      <c r="B845" s="13"/>
      <c r="C845" s="989"/>
      <c r="D845" s="1308"/>
      <c r="E845" s="1308"/>
      <c r="F845" s="1308"/>
      <c r="G845" s="3"/>
      <c r="I845" s="490"/>
    </row>
    <row r="846" spans="1:9" ht="12.75" hidden="1" customHeight="1">
      <c r="A846" s="13"/>
      <c r="B846" s="13"/>
      <c r="C846" s="989"/>
      <c r="D846" s="1308"/>
      <c r="E846" s="1308"/>
      <c r="F846" s="1308"/>
      <c r="G846" s="3"/>
      <c r="I846" s="490"/>
    </row>
    <row r="847" spans="1:9" ht="12.75" hidden="1" customHeight="1">
      <c r="A847" s="13"/>
      <c r="B847" s="13"/>
      <c r="C847" s="989"/>
      <c r="D847" s="991"/>
      <c r="E847" s="3"/>
      <c r="F847" s="3"/>
      <c r="G847" s="3"/>
      <c r="I847" s="490"/>
    </row>
    <row r="848" spans="1:9" ht="12.75" customHeight="1">
      <c r="A848" s="175"/>
      <c r="B848" s="485" t="s">
        <v>306</v>
      </c>
      <c r="C848" s="989"/>
      <c r="D848" s="1264" t="s">
        <v>1766</v>
      </c>
      <c r="E848" s="1264"/>
      <c r="F848" s="1264"/>
      <c r="G848" s="3"/>
      <c r="I848" s="490" t="s">
        <v>1883</v>
      </c>
    </row>
    <row r="849" spans="1:9" ht="12.75" customHeight="1">
      <c r="A849" s="175"/>
      <c r="B849" s="175"/>
      <c r="C849" s="989"/>
      <c r="D849" s="1264"/>
      <c r="E849" s="1264"/>
      <c r="F849" s="1264"/>
      <c r="G849" s="3"/>
      <c r="I849" s="490"/>
    </row>
    <row r="850" spans="1:9" ht="12.75" customHeight="1">
      <c r="A850" s="175"/>
      <c r="B850" s="175"/>
      <c r="C850" s="989"/>
      <c r="D850" s="1264"/>
      <c r="E850" s="1264"/>
      <c r="F850" s="1264"/>
      <c r="G850" s="3"/>
      <c r="I850" s="490"/>
    </row>
    <row r="851" spans="1:9" ht="12.75" customHeight="1">
      <c r="A851" s="175"/>
      <c r="B851" s="175"/>
      <c r="C851" s="989"/>
      <c r="D851" s="118"/>
      <c r="E851" s="3"/>
      <c r="F851" s="3"/>
      <c r="G851" s="3"/>
      <c r="I851" s="490"/>
    </row>
    <row r="852" spans="1:9" ht="12.75" customHeight="1">
      <c r="A852" s="992"/>
      <c r="B852" s="485" t="s">
        <v>306</v>
      </c>
      <c r="C852" s="989"/>
      <c r="D852" s="1307" t="s">
        <v>1767</v>
      </c>
      <c r="E852" s="1307"/>
      <c r="F852" s="1307"/>
      <c r="G852" s="3"/>
      <c r="I852" s="490"/>
    </row>
    <row r="853" spans="1:9" ht="12.75" customHeight="1">
      <c r="A853" s="354"/>
      <c r="B853" s="992"/>
      <c r="C853" s="989"/>
      <c r="D853" s="1307"/>
      <c r="E853" s="1307"/>
      <c r="F853" s="1307"/>
      <c r="G853" s="3"/>
      <c r="I853" s="490"/>
    </row>
    <row r="854" spans="1:9" ht="12.75" customHeight="1">
      <c r="A854" s="175"/>
      <c r="B854" s="354"/>
      <c r="C854" s="989"/>
      <c r="D854" s="1264" t="s">
        <v>2069</v>
      </c>
      <c r="E854" s="1264"/>
      <c r="F854" s="1264"/>
      <c r="G854" s="3"/>
      <c r="I854" s="490"/>
    </row>
    <row r="855" spans="1:9" ht="12.75" customHeight="1">
      <c r="A855" s="175"/>
      <c r="B855" s="175"/>
      <c r="C855" s="989"/>
      <c r="D855" s="1264"/>
      <c r="E855" s="1264"/>
      <c r="F855" s="1264"/>
      <c r="G855" s="3"/>
      <c r="I855" s="490"/>
    </row>
    <row r="856" spans="1:9" ht="12.75" customHeight="1">
      <c r="A856" s="175"/>
      <c r="B856" s="175"/>
      <c r="C856" s="989"/>
      <c r="D856" s="1264"/>
      <c r="E856" s="1264"/>
      <c r="F856" s="1264"/>
      <c r="G856" s="3"/>
      <c r="I856" s="490"/>
    </row>
    <row r="857" spans="1:9" ht="12.75" customHeight="1">
      <c r="A857" s="175"/>
      <c r="B857" s="175"/>
      <c r="C857" s="989"/>
      <c r="D857" s="1264"/>
      <c r="E857" s="1264"/>
      <c r="F857" s="1264"/>
      <c r="G857" s="3"/>
      <c r="I857" s="490"/>
    </row>
    <row r="858" spans="1:9" ht="12.75" customHeight="1">
      <c r="A858" s="175"/>
      <c r="B858" s="175"/>
      <c r="C858" s="989"/>
      <c r="D858" s="1264"/>
      <c r="E858" s="1264"/>
      <c r="F858" s="1264"/>
      <c r="G858" s="3"/>
      <c r="I858" s="490"/>
    </row>
    <row r="859" spans="1:9" ht="12.75" customHeight="1">
      <c r="A859" s="175"/>
      <c r="B859" s="175"/>
      <c r="C859" s="989"/>
      <c r="D859" s="1264"/>
      <c r="E859" s="1264"/>
      <c r="F859" s="1264"/>
      <c r="G859" s="3"/>
      <c r="I859" s="490"/>
    </row>
    <row r="860" spans="1:9" ht="12.75" customHeight="1">
      <c r="A860" s="175"/>
      <c r="B860" s="175"/>
      <c r="C860" s="989"/>
      <c r="D860" s="118"/>
      <c r="E860" s="3"/>
      <c r="F860" s="3"/>
      <c r="G860" s="3"/>
      <c r="I860" s="490"/>
    </row>
    <row r="861" spans="1:9" ht="12.75" customHeight="1">
      <c r="A861" s="175"/>
      <c r="B861" s="485" t="s">
        <v>306</v>
      </c>
      <c r="C861" s="989"/>
      <c r="D861" s="1264" t="s">
        <v>1768</v>
      </c>
      <c r="E861" s="1264"/>
      <c r="F861" s="1264"/>
      <c r="G861" s="3"/>
      <c r="I861" s="490" t="s">
        <v>1881</v>
      </c>
    </row>
    <row r="862" spans="1:9" ht="12.75" customHeight="1">
      <c r="A862" s="175"/>
      <c r="B862" s="175"/>
      <c r="C862" s="989"/>
      <c r="D862" s="1264" t="s">
        <v>1769</v>
      </c>
      <c r="E862" s="1264"/>
      <c r="F862" s="1264"/>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306</v>
      </c>
      <c r="C865" s="989"/>
      <c r="D865" s="1264" t="s">
        <v>1770</v>
      </c>
      <c r="E865" s="1264"/>
      <c r="F865" s="1264"/>
      <c r="G865" s="3"/>
      <c r="I865" s="490" t="s">
        <v>1884</v>
      </c>
    </row>
    <row r="866" spans="1:9" ht="12.75" customHeight="1">
      <c r="A866" s="175"/>
      <c r="B866" s="175"/>
      <c r="C866" s="989"/>
      <c r="D866" s="1264"/>
      <c r="E866" s="1264"/>
      <c r="F866" s="1264"/>
      <c r="G866" s="3"/>
      <c r="I866" s="490"/>
    </row>
    <row r="867" spans="1:9" ht="12.75" customHeight="1">
      <c r="A867" s="175"/>
      <c r="B867" s="175"/>
      <c r="C867" s="989"/>
      <c r="D867" s="1264"/>
      <c r="E867" s="1264"/>
      <c r="F867" s="1264"/>
      <c r="G867" s="3"/>
      <c r="I867" s="490"/>
    </row>
    <row r="868" spans="1:9" ht="12.75" customHeight="1">
      <c r="A868" s="175"/>
      <c r="B868" s="175"/>
      <c r="C868" s="989"/>
      <c r="D868" s="1264"/>
      <c r="E868" s="1264"/>
      <c r="F868" s="1264"/>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7" t="s">
        <v>1804</v>
      </c>
      <c r="E872" s="1297"/>
      <c r="F872" s="1297"/>
      <c r="G872" s="988"/>
      <c r="I872" s="490"/>
    </row>
    <row r="873" spans="1:9" ht="12.75" customHeight="1">
      <c r="A873" s="354"/>
      <c r="B873" s="354"/>
      <c r="C873" s="174"/>
      <c r="D873" s="1306" t="s">
        <v>1772</v>
      </c>
      <c r="E873" s="1306"/>
      <c r="F873" s="1306"/>
      <c r="G873" s="988"/>
      <c r="I873" s="490"/>
    </row>
    <row r="874" spans="1:9" ht="12.75" customHeight="1">
      <c r="A874" s="354"/>
      <c r="B874" s="354"/>
      <c r="C874" s="174"/>
      <c r="D874" s="995"/>
      <c r="E874" s="995"/>
      <c r="F874" s="995"/>
      <c r="G874" s="988"/>
      <c r="I874" s="490"/>
    </row>
    <row r="875" spans="1:9" ht="12.75" customHeight="1">
      <c r="A875" s="175"/>
      <c r="B875" s="485" t="s">
        <v>306</v>
      </c>
      <c r="C875" s="354"/>
      <c r="D875" s="1290" t="s">
        <v>1773</v>
      </c>
      <c r="E875" s="1290"/>
      <c r="F875" s="129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306</v>
      </c>
      <c r="C878" s="354"/>
      <c r="D878" s="1264" t="s">
        <v>1774</v>
      </c>
      <c r="E878" s="1313"/>
      <c r="F878" s="1313"/>
      <c r="G878" s="3"/>
      <c r="I878" s="490" t="s">
        <v>1884</v>
      </c>
    </row>
    <row r="879" spans="1:9" ht="12.75" customHeight="1">
      <c r="A879" s="354"/>
      <c r="B879" s="354"/>
      <c r="C879" s="354"/>
      <c r="D879" s="1313"/>
      <c r="E879" s="1313"/>
      <c r="F879" s="1313"/>
      <c r="G879" s="3"/>
      <c r="I879" s="490"/>
    </row>
    <row r="880" spans="1:9" ht="12.75" customHeight="1">
      <c r="A880" s="354"/>
      <c r="B880" s="354"/>
      <c r="C880" s="354"/>
      <c r="D880" s="118"/>
      <c r="E880" s="3"/>
      <c r="F880" s="3"/>
      <c r="G880" s="3"/>
      <c r="I880" s="490"/>
    </row>
    <row r="881" spans="1:9" ht="12.75" customHeight="1">
      <c r="A881" s="354"/>
      <c r="B881" s="485" t="s">
        <v>306</v>
      </c>
      <c r="C881" s="354"/>
      <c r="D881" s="1314" t="s">
        <v>1775</v>
      </c>
      <c r="E881" s="1314"/>
      <c r="F881" s="1314"/>
      <c r="G881" s="988"/>
      <c r="I881" s="490"/>
    </row>
    <row r="882" spans="1:9" ht="12.75" customHeight="1">
      <c r="A882" s="354"/>
      <c r="B882" s="996"/>
      <c r="C882" s="354"/>
      <c r="D882" s="1314"/>
      <c r="E882" s="1314"/>
      <c r="F882" s="1314"/>
      <c r="G882" s="988"/>
      <c r="I882" s="490"/>
    </row>
    <row r="883" spans="1:9" ht="12.75" customHeight="1">
      <c r="A883" s="175"/>
      <c r="B883"/>
      <c r="C883" s="354"/>
      <c r="D883" s="1264" t="s">
        <v>2069</v>
      </c>
      <c r="E883" s="1264"/>
      <c r="F883" s="1264"/>
      <c r="G883" s="988"/>
      <c r="I883" s="490"/>
    </row>
    <row r="884" spans="1:9" ht="12.75" customHeight="1">
      <c r="A884" s="175"/>
      <c r="B884" s="175"/>
      <c r="C884" s="354"/>
      <c r="D884" s="1264"/>
      <c r="E884" s="1264"/>
      <c r="F884" s="1264"/>
      <c r="G884" s="988"/>
      <c r="I884" s="490"/>
    </row>
    <row r="885" spans="1:9" ht="12.75" customHeight="1">
      <c r="A885" s="175"/>
      <c r="B885" s="175"/>
      <c r="C885" s="354"/>
      <c r="D885" s="1264"/>
      <c r="E885" s="1264"/>
      <c r="F885" s="1264"/>
      <c r="G885" s="988"/>
      <c r="I885" s="490"/>
    </row>
    <row r="886" spans="1:9" ht="12.75" customHeight="1">
      <c r="A886" s="175"/>
      <c r="B886" s="175"/>
      <c r="C886" s="354"/>
      <c r="D886" s="1264"/>
      <c r="E886" s="1264"/>
      <c r="F886" s="1264"/>
      <c r="G886" s="988"/>
      <c r="I886" s="490"/>
    </row>
    <row r="887" spans="1:9" ht="12.75" customHeight="1">
      <c r="A887" s="175"/>
      <c r="B887" s="175"/>
      <c r="C887" s="354"/>
      <c r="D887" s="1264"/>
      <c r="E887" s="1264"/>
      <c r="F887" s="1264"/>
      <c r="G887" s="988"/>
      <c r="I887" s="490"/>
    </row>
    <row r="888" spans="1:9" ht="12.75" customHeight="1">
      <c r="A888" s="175"/>
      <c r="B888" s="175"/>
      <c r="C888" s="354"/>
      <c r="D888" s="1264"/>
      <c r="E888" s="1264"/>
      <c r="F888" s="1264"/>
      <c r="G888" s="988"/>
      <c r="I888" s="490"/>
    </row>
    <row r="889" spans="1:9" ht="12.75" customHeight="1">
      <c r="A889" s="175"/>
      <c r="B889" s="175"/>
      <c r="C889" s="354"/>
      <c r="D889" s="118"/>
      <c r="E889" s="988"/>
      <c r="F889" s="988"/>
      <c r="G889" s="988"/>
      <c r="I889" s="490"/>
    </row>
    <row r="890" spans="1:9" ht="12.75" customHeight="1">
      <c r="A890" s="175"/>
      <c r="B890" s="485" t="s">
        <v>306</v>
      </c>
      <c r="C890" s="354"/>
      <c r="D890" s="1289" t="s">
        <v>1768</v>
      </c>
      <c r="E890" s="1289"/>
      <c r="F890" s="1289"/>
      <c r="G890" s="988"/>
      <c r="I890" s="490"/>
    </row>
    <row r="891" spans="1:9" ht="12.75" customHeight="1">
      <c r="A891" s="175"/>
      <c r="B891" s="175"/>
      <c r="C891" s="354"/>
      <c r="D891" s="1289" t="s">
        <v>1769</v>
      </c>
      <c r="E891" s="1289"/>
      <c r="F891" s="1289"/>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306</v>
      </c>
      <c r="C894" s="354"/>
      <c r="D894" s="1264" t="s">
        <v>1770</v>
      </c>
      <c r="E894" s="1264"/>
      <c r="F894" s="1264"/>
      <c r="G894" s="988"/>
      <c r="I894" s="490"/>
    </row>
    <row r="895" spans="1:9" ht="12.75" customHeight="1">
      <c r="A895" s="175"/>
      <c r="B895" s="175"/>
      <c r="C895" s="354"/>
      <c r="D895" s="1264"/>
      <c r="E895" s="1264"/>
      <c r="F895" s="1264"/>
      <c r="G895" s="988"/>
      <c r="I895" s="490"/>
    </row>
    <row r="896" spans="1:9" ht="12.75" customHeight="1">
      <c r="A896" s="175"/>
      <c r="B896" s="175"/>
      <c r="C896" s="354"/>
      <c r="D896" s="1264"/>
      <c r="E896" s="1264"/>
      <c r="F896" s="1264"/>
      <c r="G896" s="988"/>
      <c r="I896" s="490"/>
    </row>
    <row r="897" spans="1:9" ht="12.75" customHeight="1">
      <c r="A897" s="175"/>
      <c r="B897" s="175"/>
      <c r="C897" s="354"/>
      <c r="D897" s="1264"/>
      <c r="E897" s="1264"/>
      <c r="F897" s="1264"/>
      <c r="G897" s="988"/>
      <c r="I897" s="490"/>
    </row>
    <row r="898" spans="1:9" ht="12.75" customHeight="1">
      <c r="A898" s="118"/>
      <c r="B898" s="118"/>
      <c r="C898" s="989"/>
      <c r="D898" s="988"/>
      <c r="E898" s="988"/>
      <c r="F898" s="988"/>
      <c r="G898" s="988"/>
      <c r="I898" s="490"/>
    </row>
    <row r="899" spans="1:9" ht="12.75" customHeight="1">
      <c r="A899" s="1287" t="s">
        <v>1805</v>
      </c>
      <c r="B899" s="1287"/>
      <c r="C899" s="1287"/>
      <c r="D899" s="1287"/>
      <c r="E899" s="1287"/>
      <c r="F899" s="1287"/>
      <c r="G899" s="1287"/>
      <c r="H899" s="1028"/>
      <c r="I899" s="1153"/>
    </row>
    <row r="900" spans="1:9" ht="12.75" customHeight="1">
      <c r="A900" s="57"/>
      <c r="B900" s="57"/>
      <c r="C900" s="57"/>
      <c r="D900" s="57"/>
      <c r="E900" s="57"/>
      <c r="F900" s="57"/>
      <c r="G900" s="57"/>
      <c r="I900" s="490"/>
    </row>
    <row r="901" spans="1:9" ht="12.75" customHeight="1">
      <c r="A901" s="57"/>
      <c r="B901" s="57"/>
      <c r="C901" s="57"/>
      <c r="D901" s="1285" t="s">
        <v>1811</v>
      </c>
      <c r="E901" s="1285"/>
      <c r="F901" s="1285"/>
      <c r="G901" s="57"/>
      <c r="I901" s="490"/>
    </row>
    <row r="902" spans="1:9" ht="12.75" customHeight="1">
      <c r="A902" s="57"/>
      <c r="B902" s="57"/>
      <c r="C902" s="57"/>
      <c r="D902" s="981"/>
      <c r="E902" s="981"/>
      <c r="F902" s="981"/>
      <c r="G902" s="57"/>
      <c r="I902" s="490"/>
    </row>
    <row r="903" spans="1:9" ht="12.75" customHeight="1">
      <c r="A903" s="57"/>
      <c r="B903" s="485" t="s">
        <v>306</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5" t="s">
        <v>1806</v>
      </c>
      <c r="E905" s="1285"/>
      <c r="F905" s="1285"/>
      <c r="G905" s="988"/>
      <c r="I905" s="490"/>
    </row>
    <row r="906" spans="1:9" ht="12.75" customHeight="1">
      <c r="A906" s="172"/>
      <c r="B906" s="172"/>
      <c r="C906" s="172"/>
      <c r="D906" s="1290" t="s">
        <v>1776</v>
      </c>
      <c r="E906" s="1290"/>
      <c r="F906" s="1290"/>
      <c r="G906" s="988"/>
      <c r="I906" s="490"/>
    </row>
    <row r="907" spans="1:9" ht="12.75" customHeight="1">
      <c r="A907" s="989"/>
      <c r="B907" s="989"/>
      <c r="C907" s="989"/>
      <c r="D907" s="2"/>
      <c r="E907" s="988"/>
      <c r="F907" s="988"/>
      <c r="G907" s="988"/>
      <c r="I907" s="490"/>
    </row>
    <row r="908" spans="1:9" ht="12.75" customHeight="1">
      <c r="A908" s="175"/>
      <c r="B908" s="485" t="s">
        <v>306</v>
      </c>
      <c r="C908" s="354"/>
      <c r="D908" s="1264" t="s">
        <v>1780</v>
      </c>
      <c r="E908" s="1264"/>
      <c r="F908" s="1264"/>
      <c r="G908" s="3"/>
      <c r="I908" s="490"/>
    </row>
    <row r="909" spans="1:9" ht="12.75" customHeight="1">
      <c r="A909" s="354"/>
      <c r="B909" s="354"/>
      <c r="C909" s="354"/>
      <c r="D909" s="1264"/>
      <c r="E909" s="1264"/>
      <c r="F909" s="1264"/>
      <c r="G909" s="3"/>
      <c r="I909" s="490"/>
    </row>
    <row r="910" spans="1:9" ht="12.75" customHeight="1">
      <c r="A910" s="172"/>
      <c r="B910" s="172"/>
      <c r="C910" s="172"/>
      <c r="D910" s="1264" t="s">
        <v>1779</v>
      </c>
      <c r="E910" s="1264"/>
      <c r="F910" s="1264"/>
      <c r="G910" s="988"/>
      <c r="I910" s="490"/>
    </row>
    <row r="911" spans="1:9" ht="12.75" customHeight="1">
      <c r="A911" s="172"/>
      <c r="B911" s="172"/>
      <c r="C911" s="172"/>
      <c r="D911" s="1264"/>
      <c r="E911" s="1264"/>
      <c r="F911" s="1264"/>
      <c r="G911" s="988"/>
      <c r="I911" s="490"/>
    </row>
    <row r="912" spans="1:9" ht="12.75" customHeight="1">
      <c r="A912" s="172"/>
      <c r="B912" s="172"/>
      <c r="C912" s="172"/>
      <c r="D912" s="3"/>
      <c r="E912" s="3"/>
      <c r="F912" s="988"/>
      <c r="G912" s="988"/>
      <c r="I912" s="490"/>
    </row>
    <row r="913" spans="1:9" ht="12.75" customHeight="1">
      <c r="A913" s="175"/>
      <c r="B913" s="485" t="s">
        <v>306</v>
      </c>
      <c r="C913" s="174"/>
      <c r="D913" s="1275" t="s">
        <v>1777</v>
      </c>
      <c r="E913" s="1275"/>
      <c r="F913" s="1275"/>
      <c r="G913" s="988"/>
      <c r="I913" s="490"/>
    </row>
    <row r="914" spans="1:9" ht="12.75" customHeight="1">
      <c r="A914" s="175"/>
      <c r="B914" s="175"/>
      <c r="C914" s="174"/>
      <c r="D914" s="1275"/>
      <c r="E914" s="1275"/>
      <c r="F914" s="1275"/>
      <c r="G914" s="988"/>
      <c r="I914" s="490"/>
    </row>
    <row r="915" spans="1:9" ht="12.75" customHeight="1">
      <c r="A915" s="175"/>
      <c r="B915" s="175"/>
      <c r="C915" s="174"/>
      <c r="D915" s="1275"/>
      <c r="E915" s="1275"/>
      <c r="F915" s="1275"/>
      <c r="G915" s="988"/>
      <c r="I915" s="490"/>
    </row>
    <row r="916" spans="1:9" ht="12.75" customHeight="1">
      <c r="A916" s="175"/>
      <c r="B916" s="175"/>
      <c r="C916" s="174"/>
      <c r="D916" s="1275"/>
      <c r="E916" s="1275"/>
      <c r="F916" s="1275"/>
      <c r="G916" s="988"/>
      <c r="I916" s="490"/>
    </row>
    <row r="917" spans="1:9" ht="12.75" customHeight="1">
      <c r="A917" s="175"/>
      <c r="B917" s="175"/>
      <c r="C917" s="174"/>
      <c r="D917" s="1275"/>
      <c r="E917" s="1275"/>
      <c r="F917" s="1275"/>
      <c r="G917" s="988"/>
      <c r="I917" s="490"/>
    </row>
    <row r="918" spans="1:9" ht="12.75" customHeight="1">
      <c r="A918" s="174"/>
      <c r="B918" s="174"/>
      <c r="C918" s="174"/>
      <c r="D918" s="1275"/>
      <c r="E918" s="1275"/>
      <c r="F918" s="1275"/>
      <c r="G918" s="988"/>
      <c r="I918" s="490"/>
    </row>
    <row r="919" spans="1:9" ht="12.75" customHeight="1">
      <c r="A919" s="174"/>
      <c r="B919" s="174"/>
      <c r="C919" s="174"/>
      <c r="D919" s="1275"/>
      <c r="E919" s="1275"/>
      <c r="F919" s="1275"/>
      <c r="G919" s="988"/>
      <c r="I919" s="490"/>
    </row>
    <row r="920" spans="1:9" ht="12.75" customHeight="1">
      <c r="A920" s="174"/>
      <c r="B920" s="174"/>
      <c r="C920" s="174"/>
      <c r="D920" s="1275"/>
      <c r="E920" s="1275"/>
      <c r="F920" s="1275"/>
      <c r="G920" s="988"/>
      <c r="I920" s="490"/>
    </row>
    <row r="921" spans="1:9" ht="12.75" customHeight="1">
      <c r="A921" s="174"/>
      <c r="B921" s="174"/>
      <c r="C921" s="174"/>
      <c r="D921" s="335"/>
      <c r="E921" s="335"/>
      <c r="F921" s="335"/>
      <c r="G921" s="988"/>
      <c r="I921" s="490"/>
    </row>
    <row r="922" spans="1:9" ht="12.75" customHeight="1">
      <c r="A922" s="989"/>
      <c r="B922" s="485" t="s">
        <v>306</v>
      </c>
      <c r="C922" s="989"/>
      <c r="D922" s="1264" t="s">
        <v>1781</v>
      </c>
      <c r="E922" s="1264"/>
      <c r="F922" s="1264"/>
      <c r="G922" s="988"/>
      <c r="I922" s="490"/>
    </row>
    <row r="923" spans="1:9" ht="12.75" customHeight="1">
      <c r="A923" s="989"/>
      <c r="B923" s="989"/>
      <c r="C923" s="989"/>
      <c r="D923" s="1264"/>
      <c r="E923" s="1264"/>
      <c r="F923" s="1264"/>
      <c r="G923" s="988"/>
      <c r="I923" s="490"/>
    </row>
    <row r="924" spans="1:9" ht="12.75" customHeight="1">
      <c r="A924" s="989"/>
      <c r="B924" s="989"/>
      <c r="C924" s="989"/>
      <c r="D924" s="988"/>
      <c r="E924" s="988"/>
      <c r="F924" s="988"/>
      <c r="G924" s="988"/>
      <c r="I924" s="490"/>
    </row>
    <row r="925" spans="1:9" ht="12.75" customHeight="1">
      <c r="A925" s="989"/>
      <c r="B925" s="485" t="s">
        <v>306</v>
      </c>
      <c r="C925" s="989"/>
      <c r="D925" s="1291" t="s">
        <v>1782</v>
      </c>
      <c r="E925" s="1291"/>
      <c r="F925" s="1291"/>
      <c r="G925" s="988"/>
      <c r="I925" s="490"/>
    </row>
    <row r="926" spans="1:9" ht="12.75" customHeight="1">
      <c r="A926" s="989"/>
      <c r="B926" s="989"/>
      <c r="C926" s="989"/>
      <c r="D926" s="1291"/>
      <c r="E926" s="1291"/>
      <c r="F926" s="1291"/>
      <c r="G926" s="988"/>
      <c r="I926" s="490"/>
    </row>
    <row r="927" spans="1:9" ht="12.75" customHeight="1">
      <c r="A927" s="989"/>
      <c r="B927" s="989"/>
      <c r="C927" s="989"/>
      <c r="D927" s="1291"/>
      <c r="E927" s="1291"/>
      <c r="F927" s="1291"/>
      <c r="G927" s="988"/>
      <c r="I927" s="490"/>
    </row>
    <row r="928" spans="1:9" ht="12.75" customHeight="1">
      <c r="A928" s="989"/>
      <c r="B928" s="989"/>
      <c r="C928" s="989"/>
      <c r="D928" s="1291"/>
      <c r="E928" s="1291"/>
      <c r="F928" s="1291"/>
      <c r="G928" s="988"/>
      <c r="I928" s="490"/>
    </row>
    <row r="929" spans="1:9" ht="12.75" customHeight="1">
      <c r="A929" s="989"/>
      <c r="B929" s="989"/>
      <c r="C929" s="989"/>
      <c r="D929" s="118"/>
      <c r="E929" s="988"/>
      <c r="F929" s="988"/>
      <c r="G929" s="988"/>
      <c r="I929" s="490"/>
    </row>
    <row r="930" spans="1:9" ht="12.75" customHeight="1">
      <c r="A930" s="989"/>
      <c r="B930" s="485" t="s">
        <v>306</v>
      </c>
      <c r="C930" s="989"/>
      <c r="D930" s="1290" t="s">
        <v>2070</v>
      </c>
      <c r="E930" s="1290"/>
      <c r="F930" s="1290"/>
      <c r="G930" s="988"/>
      <c r="I930" s="490"/>
    </row>
    <row r="931" spans="1:9" ht="12.75" customHeight="1">
      <c r="A931" s="989"/>
      <c r="B931" s="989"/>
      <c r="C931" s="989"/>
      <c r="D931" s="118"/>
      <c r="E931" s="988"/>
      <c r="F931" s="988"/>
      <c r="G931" s="988"/>
      <c r="I931" s="490"/>
    </row>
    <row r="932" spans="1:9" ht="12.75" customHeight="1">
      <c r="A932" s="989"/>
      <c r="B932" s="485" t="s">
        <v>306</v>
      </c>
      <c r="C932" s="989"/>
      <c r="D932" s="1290" t="s">
        <v>2071</v>
      </c>
      <c r="E932" s="1290"/>
      <c r="F932" s="1290"/>
      <c r="G932" s="988"/>
      <c r="I932" s="490"/>
    </row>
    <row r="933" spans="1:9" ht="12.75" customHeight="1">
      <c r="A933" s="174"/>
      <c r="B933" s="174"/>
      <c r="C933" s="174"/>
      <c r="D933" s="2"/>
      <c r="E933" s="3"/>
      <c r="F933" s="988"/>
      <c r="G933" s="988"/>
      <c r="I933" s="490"/>
    </row>
    <row r="934" spans="1:9" ht="12.75" customHeight="1">
      <c r="A934" s="997"/>
      <c r="B934" s="485" t="s">
        <v>306</v>
      </c>
      <c r="C934" s="998"/>
      <c r="D934" s="1275" t="s">
        <v>1778</v>
      </c>
      <c r="E934" s="1275"/>
      <c r="F934" s="1275"/>
      <c r="G934" s="999"/>
      <c r="I934" s="490"/>
    </row>
    <row r="935" spans="1:9" ht="12.75" customHeight="1">
      <c r="A935" s="997"/>
      <c r="B935" s="997"/>
      <c r="C935" s="998"/>
      <c r="D935" s="1275"/>
      <c r="E935" s="1275"/>
      <c r="F935" s="1275"/>
      <c r="G935" s="999"/>
      <c r="I935" s="490"/>
    </row>
    <row r="936" spans="1:9" ht="12.75" customHeight="1">
      <c r="A936" s="997"/>
      <c r="B936" s="997"/>
      <c r="C936" s="998"/>
      <c r="D936" s="1275"/>
      <c r="E936" s="1275"/>
      <c r="F936" s="1275"/>
      <c r="G936" s="999"/>
      <c r="I936" s="490"/>
    </row>
    <row r="937" spans="1:9" ht="12.75" customHeight="1">
      <c r="A937" s="997"/>
      <c r="B937" s="997"/>
      <c r="C937" s="998"/>
      <c r="D937" s="1275"/>
      <c r="E937" s="1275"/>
      <c r="F937" s="1275"/>
      <c r="G937" s="999"/>
      <c r="I937" s="490"/>
    </row>
    <row r="938" spans="1:9" ht="12.75" customHeight="1">
      <c r="A938" s="997"/>
      <c r="B938" s="997"/>
      <c r="C938" s="998"/>
      <c r="D938" s="1275"/>
      <c r="E938" s="1275"/>
      <c r="F938" s="1275"/>
      <c r="G938" s="999"/>
      <c r="I938" s="490"/>
    </row>
    <row r="939" spans="1:9" ht="12.75" customHeight="1">
      <c r="A939" s="997"/>
      <c r="B939" s="997"/>
      <c r="C939" s="998"/>
      <c r="D939" s="1275"/>
      <c r="E939" s="1275"/>
      <c r="F939" s="1275"/>
      <c r="G939" s="999"/>
      <c r="I939" s="490"/>
    </row>
    <row r="940" spans="1:9" ht="12.75" customHeight="1">
      <c r="A940" s="997"/>
      <c r="B940" s="997"/>
      <c r="C940" s="998"/>
      <c r="D940" s="1275"/>
      <c r="E940" s="1275"/>
      <c r="F940" s="1275"/>
      <c r="G940" s="999"/>
      <c r="I940" s="490"/>
    </row>
    <row r="941" spans="1:9" ht="12.75" customHeight="1">
      <c r="A941" s="997"/>
      <c r="B941" s="997"/>
      <c r="C941" s="998"/>
      <c r="D941" s="1275"/>
      <c r="E941" s="1275"/>
      <c r="F941" s="1275"/>
      <c r="G941" s="999"/>
      <c r="I941" s="490"/>
    </row>
    <row r="942" spans="1:9" ht="12.75" customHeight="1">
      <c r="A942" s="997"/>
      <c r="B942" s="997"/>
      <c r="C942" s="998"/>
      <c r="D942" s="1275"/>
      <c r="E942" s="1275"/>
      <c r="F942" s="1275"/>
      <c r="G942" s="999"/>
      <c r="I942" s="490"/>
    </row>
    <row r="943" spans="1:9" ht="12.75" customHeight="1">
      <c r="A943" s="174"/>
      <c r="B943" s="174"/>
      <c r="C943" s="174"/>
      <c r="D943" s="2"/>
      <c r="E943" s="3"/>
      <c r="F943" s="988"/>
      <c r="G943" s="988"/>
      <c r="I943" s="490"/>
    </row>
    <row r="944" spans="1:9" ht="12.75" customHeight="1">
      <c r="A944" s="175"/>
      <c r="B944" s="485" t="s">
        <v>306</v>
      </c>
      <c r="C944" s="174"/>
      <c r="D944" s="1299" t="s">
        <v>1887</v>
      </c>
      <c r="E944" s="1299"/>
      <c r="F944" s="1299"/>
      <c r="G944" s="988"/>
      <c r="I944" s="490"/>
    </row>
    <row r="945" spans="1:9" ht="12.75" customHeight="1">
      <c r="A945" s="175"/>
      <c r="B945" s="175"/>
      <c r="C945" s="174"/>
      <c r="D945" s="1299"/>
      <c r="E945" s="1299"/>
      <c r="F945" s="1299"/>
      <c r="G945" s="988"/>
      <c r="I945" s="490"/>
    </row>
    <row r="946" spans="1:9" ht="12.75" customHeight="1">
      <c r="A946" s="175"/>
      <c r="B946" s="175"/>
      <c r="C946" s="174"/>
      <c r="D946" s="1299"/>
      <c r="E946" s="1299"/>
      <c r="F946" s="1299"/>
      <c r="G946" s="988"/>
      <c r="I946" s="490"/>
    </row>
    <row r="947" spans="1:9" ht="12.75" customHeight="1">
      <c r="A947" s="175"/>
      <c r="B947" s="175"/>
      <c r="C947" s="174"/>
      <c r="D947" s="1299"/>
      <c r="E947" s="1299"/>
      <c r="F947" s="1299"/>
      <c r="G947" s="988"/>
      <c r="I947" s="490"/>
    </row>
    <row r="948" spans="1:9" ht="12.75" customHeight="1">
      <c r="A948" s="175"/>
      <c r="B948" s="175"/>
      <c r="C948" s="174"/>
      <c r="D948" s="1299"/>
      <c r="E948" s="1299"/>
      <c r="F948" s="1299"/>
      <c r="G948" s="988"/>
      <c r="I948" s="490"/>
    </row>
    <row r="949" spans="1:9" ht="12.75" customHeight="1">
      <c r="A949" s="175"/>
      <c r="B949" s="175"/>
      <c r="C949" s="174"/>
      <c r="D949" s="1299"/>
      <c r="E949" s="1299"/>
      <c r="F949" s="1299"/>
      <c r="G949" s="988"/>
      <c r="I949" s="490"/>
    </row>
    <row r="950" spans="1:9" ht="12.75" customHeight="1">
      <c r="A950" s="175"/>
      <c r="B950" s="175"/>
      <c r="C950" s="174"/>
      <c r="D950" s="1299"/>
      <c r="E950" s="1299"/>
      <c r="F950" s="1299"/>
      <c r="G950" s="988"/>
      <c r="I950" s="490"/>
    </row>
    <row r="951" spans="1:9" ht="12.75" customHeight="1">
      <c r="A951" s="175"/>
      <c r="B951" s="175"/>
      <c r="C951" s="174"/>
      <c r="D951" s="1026"/>
      <c r="E951" s="1026"/>
      <c r="F951" s="1026"/>
      <c r="G951" s="988"/>
      <c r="I951" s="490"/>
    </row>
    <row r="952" spans="1:9" ht="12.75" customHeight="1">
      <c r="A952" s="175"/>
      <c r="B952" s="485" t="s">
        <v>306</v>
      </c>
      <c r="C952" s="174"/>
      <c r="D952" s="1274" t="s">
        <v>2138</v>
      </c>
      <c r="E952" s="1274"/>
      <c r="F952" s="1274"/>
      <c r="G952" s="988"/>
      <c r="I952" s="490"/>
    </row>
    <row r="953" spans="1:9" ht="12.75" customHeight="1">
      <c r="A953" s="175"/>
      <c r="B953" s="175"/>
      <c r="C953" s="174"/>
      <c r="D953" s="1274"/>
      <c r="E953" s="1274"/>
      <c r="F953" s="1274"/>
      <c r="G953" s="988"/>
      <c r="I953" s="490"/>
    </row>
    <row r="954" spans="1:9" ht="12.75" customHeight="1">
      <c r="A954" s="175"/>
      <c r="B954" s="175"/>
      <c r="C954" s="174"/>
      <c r="D954" s="1274"/>
      <c r="E954" s="1274"/>
      <c r="F954" s="1274"/>
      <c r="G954" s="988"/>
      <c r="I954" s="490"/>
    </row>
    <row r="955" spans="1:9" ht="12.75" customHeight="1">
      <c r="A955" s="175"/>
      <c r="B955" s="175"/>
      <c r="C955" s="174"/>
      <c r="D955" s="1274"/>
      <c r="E955" s="1274"/>
      <c r="F955" s="1274"/>
      <c r="G955" s="988"/>
      <c r="I955" s="490"/>
    </row>
    <row r="956" spans="1:9" ht="12.75" customHeight="1">
      <c r="A956" s="175"/>
      <c r="B956" s="175"/>
      <c r="C956" s="174"/>
      <c r="D956" s="1274"/>
      <c r="E956" s="1274"/>
      <c r="F956" s="1274"/>
      <c r="G956" s="988"/>
      <c r="I956" s="490"/>
    </row>
    <row r="957" spans="1:9" ht="12.75" customHeight="1">
      <c r="A957" s="175"/>
      <c r="B957" s="175"/>
      <c r="C957" s="174"/>
      <c r="D957" s="1274"/>
      <c r="E957" s="1274"/>
      <c r="F957" s="1274"/>
      <c r="G957" s="988"/>
      <c r="I957" s="490"/>
    </row>
    <row r="958" spans="1:9" ht="12.75" customHeight="1">
      <c r="A958" s="175"/>
      <c r="B958" s="175"/>
      <c r="C958" s="174"/>
      <c r="D958" s="1026"/>
      <c r="E958" s="1026"/>
      <c r="F958" s="1026"/>
      <c r="G958" s="988"/>
      <c r="I958" s="490"/>
    </row>
    <row r="959" spans="1:9" ht="12.75" customHeight="1">
      <c r="A959" s="989"/>
      <c r="B959" s="485" t="s">
        <v>306</v>
      </c>
      <c r="C959" s="989"/>
      <c r="D959" s="1291" t="s">
        <v>1783</v>
      </c>
      <c r="E959" s="1291"/>
      <c r="F959" s="1291"/>
      <c r="G959" s="988"/>
      <c r="I959" s="490"/>
    </row>
    <row r="960" spans="1:9" ht="12.75" customHeight="1">
      <c r="A960" s="989"/>
      <c r="B960" s="989"/>
      <c r="C960" s="989"/>
      <c r="D960" s="1291"/>
      <c r="E960" s="1291"/>
      <c r="F960" s="1291"/>
      <c r="G960" s="988"/>
      <c r="I960" s="490"/>
    </row>
    <row r="961" spans="1:9" ht="12.75" customHeight="1">
      <c r="A961" s="989"/>
      <c r="B961" s="989"/>
      <c r="C961" s="989"/>
      <c r="D961" s="1291"/>
      <c r="E961" s="1291"/>
      <c r="F961" s="1291"/>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306</v>
      </c>
      <c r="C964" s="174"/>
      <c r="D964" s="1275" t="s">
        <v>1886</v>
      </c>
      <c r="E964" s="1275"/>
      <c r="F964" s="1275"/>
      <c r="G964" s="988"/>
      <c r="I964" s="490"/>
    </row>
    <row r="965" spans="1:9" ht="12.75" customHeight="1">
      <c r="A965" s="175"/>
      <c r="B965" s="175"/>
      <c r="C965" s="174"/>
      <c r="D965" s="1275"/>
      <c r="E965" s="1275"/>
      <c r="F965" s="1275"/>
      <c r="G965" s="988"/>
      <c r="I965" s="490"/>
    </row>
    <row r="966" spans="1:9" ht="12.75" customHeight="1">
      <c r="A966" s="175"/>
      <c r="B966" s="175"/>
      <c r="C966" s="174"/>
      <c r="D966" s="1275"/>
      <c r="E966" s="1275"/>
      <c r="F966" s="1275"/>
      <c r="G966" s="988"/>
      <c r="I966" s="490"/>
    </row>
    <row r="967" spans="1:9" ht="12.75" customHeight="1">
      <c r="A967" s="175"/>
      <c r="B967" s="175"/>
      <c r="C967" s="174"/>
      <c r="D967" s="1275"/>
      <c r="E967" s="1275"/>
      <c r="F967" s="1275"/>
      <c r="G967" s="988"/>
      <c r="I967" s="490"/>
    </row>
    <row r="968" spans="1:9" ht="12.75" customHeight="1">
      <c r="A968" s="989"/>
      <c r="B968" s="989"/>
      <c r="C968" s="989"/>
      <c r="D968" s="980"/>
      <c r="E968" s="980"/>
      <c r="F968" s="980"/>
      <c r="G968" s="980"/>
      <c r="I968" s="490"/>
    </row>
    <row r="969" spans="1:9" ht="12.75" customHeight="1">
      <c r="A969" s="354"/>
      <c r="B969" s="354"/>
      <c r="C969" s="354"/>
      <c r="D969" s="1297" t="s">
        <v>1784</v>
      </c>
      <c r="E969" s="1297"/>
      <c r="F969" s="1297"/>
      <c r="G969" s="3"/>
      <c r="I969" s="490"/>
    </row>
    <row r="970" spans="1:9" ht="12.75" customHeight="1">
      <c r="A970" s="175"/>
      <c r="B970" s="485" t="s">
        <v>306</v>
      </c>
      <c r="C970" s="354"/>
      <c r="D970" s="1290" t="s">
        <v>1807</v>
      </c>
      <c r="E970" s="1290"/>
      <c r="F970" s="1290"/>
      <c r="G970" s="3"/>
      <c r="I970" s="490"/>
    </row>
    <row r="971" spans="1:9" ht="12.75" customHeight="1">
      <c r="A971" s="354"/>
      <c r="B971" s="354"/>
      <c r="C971" s="354"/>
      <c r="D971" s="3"/>
      <c r="E971" s="3"/>
      <c r="F971" s="3"/>
      <c r="G971" s="3"/>
      <c r="I971" s="490"/>
    </row>
    <row r="972" spans="1:9" ht="12.75" customHeight="1">
      <c r="A972" s="354"/>
      <c r="B972" s="354"/>
      <c r="C972" s="354"/>
      <c r="D972" s="1297" t="s">
        <v>1785</v>
      </c>
      <c r="E972" s="1297"/>
      <c r="F972" s="1297"/>
      <c r="G972"/>
      <c r="I972" s="490"/>
    </row>
    <row r="973" spans="1:9" ht="12.75" customHeight="1">
      <c r="A973" s="175"/>
      <c r="B973" s="485" t="s">
        <v>306</v>
      </c>
      <c r="C973" s="354"/>
      <c r="D973" s="1264" t="s">
        <v>2072</v>
      </c>
      <c r="E973" s="1264"/>
      <c r="F973" s="1264"/>
      <c r="G973"/>
      <c r="I973" s="490"/>
    </row>
    <row r="974" spans="1:9" ht="12.75" customHeight="1">
      <c r="A974" s="175"/>
      <c r="B974" s="175"/>
      <c r="C974" s="354"/>
      <c r="D974" s="1264"/>
      <c r="E974" s="1264"/>
      <c r="F974" s="1264"/>
      <c r="G974"/>
      <c r="I974" s="490"/>
    </row>
    <row r="975" spans="1:9" ht="12.75" customHeight="1">
      <c r="A975" s="175"/>
      <c r="B975" s="175"/>
      <c r="C975" s="354"/>
      <c r="D975" s="1264"/>
      <c r="E975" s="1264"/>
      <c r="F975" s="1264"/>
      <c r="G975"/>
      <c r="I975" s="490"/>
    </row>
    <row r="976" spans="1:9" ht="12.75" customHeight="1">
      <c r="A976" s="175"/>
      <c r="B976" s="175"/>
      <c r="C976" s="354"/>
      <c r="D976" s="1264"/>
      <c r="E976" s="1264"/>
      <c r="F976" s="1264"/>
      <c r="G976"/>
      <c r="I976" s="490"/>
    </row>
    <row r="977" spans="1:9" ht="12.75" customHeight="1">
      <c r="A977" s="175"/>
      <c r="B977" s="175"/>
      <c r="C977" s="354"/>
      <c r="D977" s="1264"/>
      <c r="E977" s="1264"/>
      <c r="F977" s="1264"/>
      <c r="G977"/>
      <c r="I977" s="490"/>
    </row>
    <row r="978" spans="1:9" ht="12.75" customHeight="1">
      <c r="A978" s="175"/>
      <c r="B978" s="175"/>
      <c r="C978" s="354"/>
      <c r="D978" s="1264"/>
      <c r="E978" s="1264"/>
      <c r="F978" s="1264"/>
      <c r="G978"/>
      <c r="I978" s="490"/>
    </row>
    <row r="979" spans="1:9" ht="12.75" customHeight="1">
      <c r="A979" s="175"/>
      <c r="B979" s="175"/>
      <c r="C979" s="354"/>
      <c r="D979" s="1264"/>
      <c r="E979" s="1264"/>
      <c r="F979" s="1264"/>
      <c r="G979"/>
      <c r="I979" s="490"/>
    </row>
    <row r="980" spans="1:9" ht="12.75" customHeight="1">
      <c r="A980" s="175"/>
      <c r="B980" s="175"/>
      <c r="C980" s="354"/>
      <c r="D980" s="1264"/>
      <c r="E980" s="1264"/>
      <c r="F980" s="1264"/>
      <c r="G980"/>
      <c r="I980" s="490"/>
    </row>
    <row r="981" spans="1:9" ht="12.75" customHeight="1">
      <c r="A981" s="175"/>
      <c r="B981" s="175"/>
      <c r="C981" s="354"/>
      <c r="D981" s="1264"/>
      <c r="E981" s="1264"/>
      <c r="F981" s="1264"/>
      <c r="G981"/>
      <c r="I981" s="490"/>
    </row>
    <row r="982" spans="1:9" ht="12.75" customHeight="1">
      <c r="A982" s="175"/>
      <c r="B982" s="175"/>
      <c r="C982" s="354"/>
      <c r="D982" s="1264"/>
      <c r="E982" s="1264"/>
      <c r="F982" s="1264"/>
      <c r="G982"/>
      <c r="I982" s="490"/>
    </row>
    <row r="983" spans="1:9" ht="12.75" customHeight="1">
      <c r="A983" s="175"/>
      <c r="B983" s="175"/>
      <c r="C983" s="354"/>
      <c r="D983" s="1264"/>
      <c r="E983" s="1264"/>
      <c r="F983" s="1264"/>
      <c r="G983"/>
      <c r="I983" s="490"/>
    </row>
    <row r="984" spans="1:9" ht="12.75" customHeight="1">
      <c r="A984" s="175"/>
      <c r="B984" s="175"/>
      <c r="C984" s="354"/>
      <c r="D984" s="1264"/>
      <c r="E984" s="1264"/>
      <c r="F984" s="1264"/>
      <c r="G984"/>
      <c r="I984" s="490"/>
    </row>
    <row r="985" spans="1:9" ht="12.75" customHeight="1">
      <c r="A985" s="175"/>
      <c r="B985" s="175"/>
      <c r="C985" s="354"/>
      <c r="D985" s="1264"/>
      <c r="E985" s="1264"/>
      <c r="F985" s="1264"/>
      <c r="G985"/>
      <c r="I985" s="490"/>
    </row>
    <row r="986" spans="1:9" ht="12.75" customHeight="1">
      <c r="A986" s="175"/>
      <c r="B986" s="175"/>
      <c r="C986" s="354"/>
      <c r="D986" s="1264"/>
      <c r="E986" s="1264"/>
      <c r="F986" s="1264"/>
      <c r="G986"/>
      <c r="I986" s="490"/>
    </row>
    <row r="987" spans="1:9" ht="12.75" customHeight="1">
      <c r="A987" s="175"/>
      <c r="B987" s="175"/>
      <c r="C987" s="354"/>
      <c r="D987" s="1264"/>
      <c r="E987" s="1264"/>
      <c r="F987" s="1264"/>
      <c r="G987" s="3"/>
      <c r="I987" s="490"/>
    </row>
    <row r="988" spans="1:9" ht="12.75" customHeight="1">
      <c r="A988" s="354"/>
      <c r="B988" s="354"/>
      <c r="C988" s="354"/>
      <c r="D988" s="3"/>
      <c r="E988" s="3"/>
      <c r="F988" s="3"/>
      <c r="G988" s="3"/>
      <c r="I988" s="490"/>
    </row>
    <row r="989" spans="1:9" ht="12.75" customHeight="1">
      <c r="A989" s="1287" t="s">
        <v>1786</v>
      </c>
      <c r="B989" s="1287"/>
      <c r="C989" s="1287"/>
      <c r="D989" s="1287"/>
      <c r="E989" s="1287"/>
      <c r="F989" s="1287"/>
      <c r="G989" s="1287"/>
      <c r="H989" s="1028"/>
      <c r="I989" s="1153"/>
    </row>
    <row r="990" spans="1:9" ht="12.75" customHeight="1">
      <c r="A990" s="118"/>
      <c r="B990" s="118"/>
      <c r="C990" s="354"/>
      <c r="D990" s="3"/>
      <c r="E990" s="3"/>
      <c r="F990" s="3"/>
      <c r="G990" s="3"/>
      <c r="I990" s="490"/>
    </row>
    <row r="991" spans="1:9" ht="12.75" customHeight="1">
      <c r="A991" s="354"/>
      <c r="B991" s="354"/>
      <c r="C991" s="989"/>
      <c r="D991" s="1297" t="s">
        <v>1808</v>
      </c>
      <c r="E991" s="1297"/>
      <c r="F991" s="1297"/>
      <c r="G991" s="3"/>
      <c r="I991" s="490"/>
    </row>
    <row r="992" spans="1:9" ht="12.75" customHeight="1">
      <c r="A992" s="172"/>
      <c r="B992" s="172"/>
      <c r="C992" s="172"/>
      <c r="D992" s="1290" t="s">
        <v>1787</v>
      </c>
      <c r="E992" s="1290"/>
      <c r="F992" s="1290"/>
      <c r="G992" s="3"/>
      <c r="I992" s="490"/>
    </row>
    <row r="993" spans="1:9" ht="12.75" customHeight="1">
      <c r="A993" s="172"/>
      <c r="B993" s="172"/>
      <c r="C993" s="172"/>
      <c r="D993" s="3"/>
      <c r="E993" s="3"/>
      <c r="F993" s="988"/>
      <c r="G993"/>
      <c r="I993" s="490"/>
    </row>
    <row r="994" spans="1:9" ht="12.75" customHeight="1">
      <c r="A994" s="354"/>
      <c r="B994" s="485" t="s">
        <v>306</v>
      </c>
      <c r="C994" s="354"/>
      <c r="D994" s="1298" t="s">
        <v>1916</v>
      </c>
      <c r="E994" s="1298"/>
      <c r="F994" s="1298"/>
      <c r="G994"/>
      <c r="I994" s="490"/>
    </row>
    <row r="995" spans="1:9" ht="12.75" customHeight="1">
      <c r="A995" s="354"/>
      <c r="B995" s="354"/>
      <c r="C995" s="354"/>
      <c r="D995" s="1298"/>
      <c r="E995" s="1298"/>
      <c r="F995" s="1298"/>
      <c r="G995"/>
      <c r="I995" s="490"/>
    </row>
    <row r="996" spans="1:9" ht="12.75" customHeight="1">
      <c r="A996" s="354"/>
      <c r="B996" s="354"/>
      <c r="C996" s="354"/>
      <c r="D996" s="1038"/>
      <c r="E996" s="1036" t="s">
        <v>1917</v>
      </c>
      <c r="F996" s="1038"/>
      <c r="G996"/>
      <c r="I996" s="490"/>
    </row>
    <row r="997" spans="1:9" ht="12.75" customHeight="1">
      <c r="A997" s="354"/>
      <c r="B997" s="354"/>
      <c r="C997" s="354"/>
      <c r="D997" s="1269" t="s">
        <v>1915</v>
      </c>
      <c r="E997" s="1269"/>
      <c r="F997" s="1269"/>
      <c r="G997"/>
      <c r="I997" s="490"/>
    </row>
    <row r="998" spans="1:9" ht="12.75" customHeight="1">
      <c r="A998" s="354"/>
      <c r="B998" s="354"/>
      <c r="C998" s="354"/>
      <c r="D998" s="1269"/>
      <c r="E998" s="1269"/>
      <c r="F998" s="1269"/>
      <c r="G998"/>
      <c r="I998" s="490"/>
    </row>
    <row r="999" spans="1:9" ht="12.75" customHeight="1">
      <c r="A999" s="174"/>
      <c r="B999" s="174"/>
      <c r="C999" s="174"/>
      <c r="D999" s="1269"/>
      <c r="E999" s="1269"/>
      <c r="F999" s="1269"/>
      <c r="G999"/>
      <c r="I999" s="490"/>
    </row>
    <row r="1000" spans="1:9" ht="12.75" customHeight="1">
      <c r="A1000" s="174"/>
      <c r="B1000" s="174"/>
      <c r="C1000" s="174"/>
      <c r="D1000" s="1269"/>
      <c r="E1000" s="1269"/>
      <c r="F1000" s="1269"/>
      <c r="G1000"/>
      <c r="I1000" s="490"/>
    </row>
    <row r="1001" spans="1:9" ht="12.75" customHeight="1">
      <c r="A1001" s="174"/>
      <c r="B1001" s="174"/>
      <c r="C1001" s="174"/>
      <c r="D1001" s="335"/>
      <c r="E1001" s="335"/>
      <c r="F1001" s="335"/>
      <c r="G1001"/>
      <c r="I1001" s="490"/>
    </row>
    <row r="1002" spans="1:9" ht="12.75" customHeight="1">
      <c r="A1002" s="174"/>
      <c r="B1002" s="485" t="s">
        <v>306</v>
      </c>
      <c r="C1002" s="174"/>
      <c r="D1002" s="1264" t="s">
        <v>1788</v>
      </c>
      <c r="E1002" s="1264"/>
      <c r="F1002" s="1264"/>
      <c r="G1002"/>
      <c r="I1002" s="490"/>
    </row>
    <row r="1003" spans="1:9" ht="12.75" customHeight="1">
      <c r="A1003" s="174"/>
      <c r="B1003" s="174"/>
      <c r="C1003" s="174"/>
      <c r="D1003" s="1264"/>
      <c r="E1003" s="1264"/>
      <c r="F1003" s="1264"/>
      <c r="G1003"/>
      <c r="I1003" s="490"/>
    </row>
    <row r="1004" spans="1:9" ht="12.75" customHeight="1">
      <c r="A1004" s="174"/>
      <c r="B1004" s="174"/>
      <c r="C1004" s="174"/>
      <c r="D1004" s="1264"/>
      <c r="E1004" s="1264"/>
      <c r="F1004" s="1264"/>
      <c r="G1004"/>
      <c r="I1004" s="490"/>
    </row>
    <row r="1005" spans="1:9" ht="12.75" customHeight="1">
      <c r="A1005" s="174"/>
      <c r="B1005" s="174"/>
      <c r="C1005" s="174"/>
      <c r="D1005" s="1264"/>
      <c r="E1005" s="1264"/>
      <c r="F1005" s="1264"/>
      <c r="G1005"/>
      <c r="I1005" s="490"/>
    </row>
    <row r="1006" spans="1:9" ht="12.75" customHeight="1">
      <c r="A1006" s="174"/>
      <c r="B1006" s="174"/>
      <c r="C1006" s="174"/>
      <c r="D1006" s="441"/>
      <c r="E1006" s="441"/>
      <c r="F1006" s="441"/>
      <c r="G1006"/>
      <c r="I1006" s="490"/>
    </row>
    <row r="1007" spans="1:9" ht="12.75" customHeight="1">
      <c r="A1007" s="174"/>
      <c r="B1007" s="485" t="s">
        <v>306</v>
      </c>
      <c r="C1007" s="174"/>
      <c r="D1007" s="1264" t="s">
        <v>2231</v>
      </c>
      <c r="E1007" s="1264"/>
      <c r="F1007" s="1264"/>
      <c r="G1007"/>
      <c r="I1007" s="490"/>
    </row>
    <row r="1008" spans="1:9" ht="12.75" customHeight="1">
      <c r="A1008" s="174"/>
      <c r="B1008" s="174"/>
      <c r="C1008" s="174"/>
      <c r="D1008" s="1264"/>
      <c r="E1008" s="1264"/>
      <c r="F1008" s="1264"/>
      <c r="G1008"/>
      <c r="I1008" s="490"/>
    </row>
    <row r="1009" spans="1:9" ht="12.75" customHeight="1">
      <c r="A1009" s="174"/>
      <c r="B1009" s="174"/>
      <c r="C1009" s="174"/>
      <c r="D1009" s="441"/>
      <c r="E1009" s="441"/>
      <c r="F1009" s="441"/>
      <c r="G1009"/>
      <c r="I1009" s="490"/>
    </row>
    <row r="1010" spans="1:9" ht="12.75" customHeight="1">
      <c r="A1010" s="175"/>
      <c r="B1010" s="485" t="s">
        <v>306</v>
      </c>
      <c r="C1010" s="354"/>
      <c r="D1010" s="1290" t="s">
        <v>1789</v>
      </c>
      <c r="E1010" s="1290"/>
      <c r="F1010" s="1290"/>
      <c r="G1010"/>
      <c r="I1010" s="490"/>
    </row>
    <row r="1011" spans="1:9" ht="12.75" customHeight="1">
      <c r="A1011" s="354"/>
      <c r="B1011" s="354"/>
      <c r="C1011" s="354"/>
      <c r="D1011" s="3"/>
      <c r="E1011" s="3"/>
      <c r="F1011" s="3"/>
      <c r="G1011"/>
      <c r="I1011" s="490"/>
    </row>
    <row r="1012" spans="1:9" ht="12.75" customHeight="1">
      <c r="A1012" s="175"/>
      <c r="B1012" s="485" t="s">
        <v>306</v>
      </c>
      <c r="C1012" s="354"/>
      <c r="D1012" s="1290" t="s">
        <v>1790</v>
      </c>
      <c r="E1012" s="1290"/>
      <c r="F1012" s="1290"/>
      <c r="G1012"/>
      <c r="I1012" s="490"/>
    </row>
    <row r="1013" spans="1:9" ht="12.75" customHeight="1">
      <c r="A1013" s="354"/>
      <c r="B1013" s="354"/>
      <c r="C1013" s="354"/>
      <c r="D1013" s="118"/>
      <c r="E1013" s="3"/>
      <c r="F1013" s="3"/>
      <c r="G1013"/>
      <c r="I1013" s="490"/>
    </row>
    <row r="1014" spans="1:9" ht="12.75" customHeight="1">
      <c r="A1014" s="175"/>
      <c r="B1014" s="485" t="s">
        <v>306</v>
      </c>
      <c r="C1014" s="354"/>
      <c r="D1014" s="1290" t="s">
        <v>1791</v>
      </c>
      <c r="E1014" s="1290"/>
      <c r="F1014" s="1290"/>
      <c r="G1014"/>
      <c r="I1014" s="490"/>
    </row>
    <row r="1015" spans="1:9" ht="12.75" customHeight="1">
      <c r="A1015" s="354"/>
      <c r="B1015" s="354"/>
      <c r="C1015" s="354"/>
      <c r="D1015" s="118"/>
      <c r="E1015" s="3"/>
      <c r="F1015" s="3"/>
      <c r="G1015"/>
      <c r="I1015" s="490"/>
    </row>
    <row r="1016" spans="1:9" ht="12.75" customHeight="1">
      <c r="A1016" s="175"/>
      <c r="B1016" s="485" t="s">
        <v>306</v>
      </c>
      <c r="C1016" s="354"/>
      <c r="D1016" s="1264" t="s">
        <v>1792</v>
      </c>
      <c r="E1016" s="1264"/>
      <c r="F1016" s="1264"/>
      <c r="G1016"/>
      <c r="I1016" s="490"/>
    </row>
    <row r="1017" spans="1:9" ht="12.75" customHeight="1">
      <c r="A1017" s="175"/>
      <c r="B1017" s="175"/>
      <c r="C1017" s="354"/>
      <c r="D1017" s="1264"/>
      <c r="E1017" s="1264"/>
      <c r="F1017" s="1264"/>
      <c r="G1017"/>
      <c r="I1017" s="490"/>
    </row>
    <row r="1018" spans="1:9" ht="12.75" customHeight="1">
      <c r="A1018" s="175"/>
      <c r="B1018" s="175"/>
      <c r="C1018" s="354"/>
      <c r="D1018" s="118"/>
      <c r="E1018" s="3"/>
      <c r="F1018" s="3"/>
      <c r="G1018" s="3"/>
      <c r="I1018" s="490"/>
    </row>
    <row r="1019" spans="1:9" ht="12.75" customHeight="1">
      <c r="A1019" s="254"/>
      <c r="B1019" s="485" t="s">
        <v>306</v>
      </c>
      <c r="C1019" s="1000"/>
      <c r="D1019" s="1296" t="s">
        <v>1793</v>
      </c>
      <c r="E1019" s="1296"/>
      <c r="F1019" s="1296"/>
      <c r="G1019" s="1001"/>
      <c r="I1019" s="490"/>
    </row>
    <row r="1020" spans="1:9" ht="12.75" customHeight="1">
      <c r="A1020" s="1000"/>
      <c r="B1020" s="1000"/>
      <c r="C1020" s="1000"/>
      <c r="D1020" s="1296"/>
      <c r="E1020" s="1296"/>
      <c r="F1020" s="1296"/>
      <c r="G1020" s="1001"/>
      <c r="I1020" s="490"/>
    </row>
    <row r="1021" spans="1:9" ht="12.75" customHeight="1">
      <c r="A1021" s="1000"/>
      <c r="B1021" s="1000"/>
      <c r="C1021" s="1000"/>
      <c r="D1021" s="984"/>
      <c r="E1021" s="1001"/>
      <c r="F1021" s="1001"/>
      <c r="G1021" s="1001"/>
      <c r="I1021" s="490"/>
    </row>
    <row r="1022" spans="1:9" ht="12.75" customHeight="1">
      <c r="A1022" s="254"/>
      <c r="B1022" s="485" t="s">
        <v>306</v>
      </c>
      <c r="C1022" s="1000"/>
      <c r="D1022" s="1286" t="s">
        <v>1794</v>
      </c>
      <c r="E1022" s="1286"/>
      <c r="F1022" s="1286"/>
      <c r="G1022" s="1001"/>
      <c r="I1022" s="490"/>
    </row>
    <row r="1023" spans="1:9" ht="12.75" customHeight="1">
      <c r="A1023" s="1000"/>
      <c r="B1023" s="1000"/>
      <c r="C1023" s="1000"/>
      <c r="D1023" s="984"/>
      <c r="E1023" s="1001"/>
      <c r="F1023" s="1001"/>
      <c r="G1023" s="1001"/>
      <c r="I1023" s="490"/>
    </row>
    <row r="1024" spans="1:9" ht="12.75" customHeight="1">
      <c r="A1024" s="175"/>
      <c r="B1024" s="485" t="s">
        <v>306</v>
      </c>
      <c r="C1024" s="354"/>
      <c r="D1024" s="1290" t="s">
        <v>1795</v>
      </c>
      <c r="E1024" s="1290"/>
      <c r="F1024" s="1290"/>
      <c r="G1024" s="3"/>
      <c r="I1024" s="490"/>
    </row>
    <row r="1025" spans="1:9" ht="12.75" customHeight="1">
      <c r="A1025" s="175"/>
      <c r="B1025" s="175"/>
      <c r="C1025" s="354"/>
      <c r="D1025" s="118"/>
      <c r="E1025" s="3"/>
      <c r="F1025" s="3"/>
      <c r="G1025" s="3"/>
      <c r="I1025" s="490"/>
    </row>
    <row r="1026" spans="1:9" ht="12.75" customHeight="1">
      <c r="A1026" s="175"/>
      <c r="B1026" s="485" t="s">
        <v>306</v>
      </c>
      <c r="C1026" s="354"/>
      <c r="D1026" s="1264" t="s">
        <v>1796</v>
      </c>
      <c r="E1026" s="1264"/>
      <c r="F1026" s="1264"/>
      <c r="G1026" s="3"/>
      <c r="I1026" s="490"/>
    </row>
    <row r="1027" spans="1:9" ht="12.75" customHeight="1">
      <c r="A1027" s="175"/>
      <c r="B1027" s="175"/>
      <c r="C1027" s="354"/>
      <c r="D1027" s="1264"/>
      <c r="E1027" s="1264"/>
      <c r="F1027" s="1264"/>
      <c r="G1027" s="3"/>
      <c r="I1027" s="490"/>
    </row>
    <row r="1028" spans="1:9" ht="12.75" customHeight="1">
      <c r="A1028" s="354"/>
      <c r="B1028" s="354"/>
      <c r="C1028" s="354"/>
      <c r="D1028" s="3"/>
      <c r="E1028" s="3"/>
      <c r="F1028" s="3"/>
      <c r="G1028" s="3"/>
      <c r="I1028" s="490"/>
    </row>
    <row r="1029" spans="1:9" ht="12.75" customHeight="1">
      <c r="A1029" s="1287" t="s">
        <v>1797</v>
      </c>
      <c r="B1029" s="1287"/>
      <c r="C1029" s="1287"/>
      <c r="D1029" s="1287"/>
      <c r="E1029" s="1287"/>
      <c r="F1029" s="1287"/>
      <c r="G1029" s="1287"/>
      <c r="H1029" s="1028"/>
      <c r="I1029" s="1153"/>
    </row>
    <row r="1030" spans="1:9" ht="12.75" customHeight="1">
      <c r="A1030" s="354"/>
      <c r="B1030" s="354"/>
      <c r="C1030" s="354"/>
      <c r="D1030" s="3"/>
      <c r="E1030" s="3"/>
      <c r="F1030" s="3"/>
      <c r="G1030" s="3"/>
      <c r="I1030" s="490"/>
    </row>
    <row r="1031" spans="1:9" ht="12.75" customHeight="1">
      <c r="A1031" s="354"/>
      <c r="B1031" s="354"/>
      <c r="C1031" s="354"/>
      <c r="D1031" s="1285" t="s">
        <v>1798</v>
      </c>
      <c r="E1031" s="1285"/>
      <c r="F1031" s="1285"/>
      <c r="G1031" s="3"/>
      <c r="I1031" s="490"/>
    </row>
    <row r="1032" spans="1:9" ht="12.75" customHeight="1">
      <c r="A1032" s="354"/>
      <c r="B1032" s="354"/>
      <c r="C1032" s="354"/>
      <c r="D1032" s="1286" t="s">
        <v>1799</v>
      </c>
      <c r="E1032" s="1286"/>
      <c r="F1032" s="1286"/>
      <c r="G1032" s="3"/>
      <c r="I1032" s="490"/>
    </row>
    <row r="1033" spans="1:9" ht="12.75" customHeight="1">
      <c r="A1033" s="172"/>
      <c r="B1033" s="172"/>
      <c r="C1033" s="172"/>
      <c r="D1033" s="3"/>
      <c r="E1033" s="3"/>
      <c r="F1033" s="3"/>
      <c r="G1033" s="3"/>
      <c r="I1033" s="490"/>
    </row>
    <row r="1034" spans="1:9" ht="12.75" customHeight="1">
      <c r="A1034" s="175"/>
      <c r="B1034" s="175"/>
      <c r="C1034" s="174"/>
      <c r="D1034" s="1285" t="s">
        <v>1813</v>
      </c>
      <c r="E1034" s="1285"/>
      <c r="F1034" s="1285"/>
      <c r="G1034" s="3"/>
      <c r="I1034" s="490"/>
    </row>
    <row r="1035" spans="1:9" ht="12.75" customHeight="1">
      <c r="A1035" s="354"/>
      <c r="B1035" s="485" t="s">
        <v>306</v>
      </c>
      <c r="C1035" s="354"/>
      <c r="D1035" s="1286" t="s">
        <v>1271</v>
      </c>
      <c r="E1035" s="1286"/>
      <c r="F1035" s="1286"/>
      <c r="G1035" s="3"/>
      <c r="I1035" s="490"/>
    </row>
    <row r="1036" spans="1:9" ht="12.75" customHeight="1">
      <c r="A1036" s="354"/>
      <c r="B1036" s="175"/>
      <c r="C1036" s="354"/>
      <c r="D1036" s="1286" t="s">
        <v>1800</v>
      </c>
      <c r="E1036" s="1286"/>
      <c r="F1036" s="1286"/>
      <c r="G1036" s="3"/>
      <c r="I1036" s="490"/>
    </row>
    <row r="1037" spans="1:9" ht="12.75" customHeight="1">
      <c r="A1037" s="354"/>
      <c r="B1037" s="354"/>
      <c r="C1037" s="354"/>
      <c r="D1037" s="1286"/>
      <c r="E1037" s="1286"/>
      <c r="F1037" s="1286"/>
      <c r="G1037" s="3"/>
      <c r="I1037" s="490"/>
    </row>
    <row r="1038" spans="1:9" ht="12.75" customHeight="1">
      <c r="A1038" s="1287" t="s">
        <v>1809</v>
      </c>
      <c r="B1038" s="1287"/>
      <c r="C1038" s="1287"/>
      <c r="D1038" s="1287"/>
      <c r="E1038" s="1287"/>
      <c r="F1038" s="1287"/>
      <c r="G1038" s="1287"/>
      <c r="H1038" s="1028"/>
      <c r="I1038" s="1153"/>
    </row>
    <row r="1039" spans="1:9" ht="12.75" customHeight="1">
      <c r="A1039" s="118"/>
      <c r="B1039" s="118"/>
      <c r="C1039" s="354"/>
      <c r="D1039" s="3"/>
      <c r="E1039" s="3"/>
      <c r="F1039" s="3"/>
      <c r="G1039" s="3"/>
      <c r="I1039" s="490"/>
    </row>
    <row r="1040" spans="1:9" ht="12.75" hidden="1" customHeight="1">
      <c r="A1040" s="118"/>
      <c r="B1040" s="402"/>
      <c r="D1040" s="1284" t="s">
        <v>1272</v>
      </c>
      <c r="E1040" s="1284"/>
      <c r="F1040" s="1284"/>
      <c r="G1040" s="3"/>
      <c r="I1040" s="490"/>
    </row>
    <row r="1041" spans="1:9" ht="12.75" hidden="1" customHeight="1">
      <c r="A1041" s="118"/>
      <c r="B1041" s="485" t="s">
        <v>306</v>
      </c>
      <c r="D1041" s="1283" t="s">
        <v>1271</v>
      </c>
      <c r="E1041" s="1283"/>
      <c r="F1041" s="1283"/>
      <c r="G1041" s="3"/>
      <c r="I1041" s="490"/>
    </row>
    <row r="1042" spans="1:9" ht="12.75" hidden="1" customHeight="1">
      <c r="A1042" s="118"/>
      <c r="B1042" s="402"/>
      <c r="D1042" s="1283" t="s">
        <v>1810</v>
      </c>
      <c r="E1042" s="1283"/>
      <c r="F1042" s="1283"/>
      <c r="G1042" s="3"/>
      <c r="I1042" s="490"/>
    </row>
    <row r="1043" spans="1:9" ht="12.75" hidden="1" customHeight="1">
      <c r="A1043" s="118"/>
      <c r="B1043" s="402"/>
      <c r="D1043" s="444"/>
      <c r="E1043" s="444"/>
      <c r="F1043" s="444"/>
      <c r="G1043" s="3"/>
      <c r="I1043" s="490"/>
    </row>
    <row r="1044" spans="1:9" ht="12.75" customHeight="1">
      <c r="A1044" s="118"/>
      <c r="B1044" s="118"/>
      <c r="C1044" s="354"/>
      <c r="D1044" s="1288" t="s">
        <v>1066</v>
      </c>
      <c r="E1044" s="1288"/>
      <c r="F1044" s="1288"/>
      <c r="G1044" s="3"/>
      <c r="I1044" s="490"/>
    </row>
    <row r="1045" spans="1:9" ht="12.75" customHeight="1">
      <c r="A1045" s="319"/>
      <c r="B1045" s="319"/>
      <c r="C1045" s="319"/>
      <c r="D1045" s="1289" t="s">
        <v>2249</v>
      </c>
      <c r="E1045" s="1289"/>
      <c r="F1045" s="1289"/>
      <c r="G1045" s="98"/>
      <c r="I1045" s="490"/>
    </row>
    <row r="1046" spans="1:9" ht="12.75" customHeight="1">
      <c r="A1046" s="175"/>
      <c r="B1046" s="485" t="s">
        <v>306</v>
      </c>
      <c r="C1046" s="354"/>
      <c r="D1046" s="1289" t="s">
        <v>985</v>
      </c>
      <c r="E1046" s="1289"/>
      <c r="F1046" s="1289"/>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7" t="s">
        <v>1830</v>
      </c>
      <c r="B1049" s="1287"/>
      <c r="C1049" s="1287"/>
      <c r="D1049" s="1287"/>
      <c r="E1049" s="1287"/>
      <c r="F1049" s="1287"/>
      <c r="G1049" s="1287"/>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306</v>
      </c>
      <c r="C1054" s="402"/>
      <c r="D1054" s="1293" t="s">
        <v>1814</v>
      </c>
      <c r="E1054" s="1293"/>
      <c r="F1054" s="1293"/>
      <c r="I1054" s="490"/>
    </row>
    <row r="1055" spans="1:9">
      <c r="A1055" s="402"/>
      <c r="B1055" s="402"/>
      <c r="C1055" s="402"/>
      <c r="D1055" s="1293"/>
      <c r="E1055" s="1293"/>
      <c r="F1055" s="1293"/>
      <c r="I1055" s="490"/>
    </row>
    <row r="1056" spans="1:9">
      <c r="A1056" s="402"/>
      <c r="B1056" s="402"/>
      <c r="C1056" s="402"/>
      <c r="D1056" s="1293"/>
      <c r="E1056" s="1293"/>
      <c r="F1056" s="1293"/>
      <c r="I1056" s="490"/>
    </row>
    <row r="1057" spans="1:9">
      <c r="A1057" s="402"/>
      <c r="B1057" s="402"/>
      <c r="C1057" s="402"/>
      <c r="D1057" s="1293"/>
      <c r="E1057" s="1293"/>
      <c r="F1057" s="1293"/>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306</v>
      </c>
      <c r="C1062" s="402"/>
      <c r="D1062" s="402" t="s">
        <v>1812</v>
      </c>
      <c r="I1062" s="490"/>
    </row>
    <row r="1063" spans="1:9">
      <c r="A1063" s="402"/>
      <c r="B1063" s="402"/>
      <c r="C1063" s="402"/>
      <c r="I1063" s="490"/>
    </row>
    <row r="1064" spans="1:9">
      <c r="A1064" s="402"/>
      <c r="B1064" s="485" t="s">
        <v>306</v>
      </c>
      <c r="C1064" s="402"/>
      <c r="D1064" s="1293" t="s">
        <v>1818</v>
      </c>
      <c r="E1064" s="1293"/>
      <c r="F1064" s="1293"/>
      <c r="I1064" s="490"/>
    </row>
    <row r="1065" spans="1:9">
      <c r="A1065" s="402"/>
      <c r="B1065" s="402"/>
      <c r="C1065" s="402"/>
      <c r="D1065" s="1293"/>
      <c r="E1065" s="1293"/>
      <c r="F1065" s="1293"/>
      <c r="I1065" s="490"/>
    </row>
    <row r="1066" spans="1:9">
      <c r="A1066" s="402"/>
      <c r="B1066" s="402"/>
      <c r="C1066" s="402"/>
      <c r="D1066" s="1293"/>
      <c r="E1066" s="1293"/>
      <c r="F1066" s="1293"/>
      <c r="I1066" s="490"/>
    </row>
    <row r="1067" spans="1:9">
      <c r="A1067" s="402"/>
      <c r="B1067" s="402"/>
      <c r="C1067" s="402"/>
      <c r="D1067" s="1293"/>
      <c r="E1067" s="1293"/>
      <c r="F1067" s="1293"/>
      <c r="I1067" s="490"/>
    </row>
    <row r="1068" spans="1:9">
      <c r="A1068" s="402"/>
      <c r="B1068" s="402"/>
      <c r="C1068" s="402"/>
      <c r="D1068" s="1293"/>
      <c r="E1068" s="1293"/>
      <c r="F1068" s="1293"/>
      <c r="I1068" s="490"/>
    </row>
    <row r="1069" spans="1:9">
      <c r="A1069" s="402"/>
      <c r="B1069" s="402"/>
      <c r="C1069" s="402"/>
      <c r="I1069" s="490"/>
    </row>
    <row r="1070" spans="1:9">
      <c r="A1070" s="1287" t="s">
        <v>1819</v>
      </c>
      <c r="B1070" s="1287"/>
      <c r="C1070" s="1287"/>
      <c r="D1070" s="1287"/>
      <c r="E1070" s="1287"/>
      <c r="F1070" s="1287"/>
      <c r="G1070" s="1287"/>
      <c r="H1070" s="1028"/>
      <c r="I1070" s="1153"/>
    </row>
    <row r="1071" spans="1:9">
      <c r="A1071" s="402"/>
      <c r="B1071" s="402"/>
      <c r="C1071" s="402"/>
      <c r="I1071" s="490"/>
    </row>
    <row r="1072" spans="1:9">
      <c r="A1072" s="402"/>
      <c r="B1072" s="402"/>
      <c r="C1072" s="402"/>
      <c r="I1072" s="490"/>
    </row>
    <row r="1073" spans="1:9">
      <c r="A1073" s="402"/>
      <c r="B1073" s="485" t="s">
        <v>306</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306</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306</v>
      </c>
      <c r="C1079" s="402"/>
      <c r="D1079" s="119" t="s">
        <v>1828</v>
      </c>
      <c r="I1079" s="490"/>
    </row>
    <row r="1080" spans="1:9">
      <c r="A1080" s="402"/>
      <c r="B1080" s="402"/>
      <c r="C1080" s="402"/>
      <c r="D1080" s="1264" t="s">
        <v>1829</v>
      </c>
      <c r="E1080" s="1264"/>
      <c r="F1080" s="1264"/>
      <c r="I1080" s="490"/>
    </row>
    <row r="1081" spans="1:9">
      <c r="A1081" s="402"/>
      <c r="B1081" s="402"/>
      <c r="C1081" s="402"/>
      <c r="D1081" s="1264"/>
      <c r="E1081" s="1264"/>
      <c r="F1081" s="1264"/>
      <c r="I1081" s="490"/>
    </row>
    <row r="1082" spans="1:9">
      <c r="A1082" s="402"/>
      <c r="B1082" s="402"/>
      <c r="C1082" s="402"/>
      <c r="D1082" s="1264"/>
      <c r="E1082" s="1264"/>
      <c r="F1082" s="1264"/>
      <c r="I1082" s="490"/>
    </row>
    <row r="1083" spans="1:9">
      <c r="A1083" s="402"/>
      <c r="B1083" s="402"/>
      <c r="C1083" s="402"/>
      <c r="D1083" s="1264"/>
      <c r="E1083" s="1264"/>
      <c r="F1083" s="1264"/>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306</v>
      </c>
      <c r="C1087" s="402"/>
      <c r="D1087" s="1292" t="s">
        <v>1821</v>
      </c>
      <c r="E1087" s="1292"/>
      <c r="F1087" s="1292"/>
      <c r="I1087" s="490"/>
    </row>
    <row r="1088" spans="1:9">
      <c r="A1088" s="402"/>
      <c r="B1088" s="402"/>
      <c r="C1088" s="402"/>
      <c r="D1088" s="1292"/>
      <c r="E1088" s="1292"/>
      <c r="F1088" s="1292"/>
      <c r="I1088" s="490"/>
    </row>
    <row r="1089" spans="1:9">
      <c r="A1089" s="402"/>
      <c r="B1089" s="402"/>
      <c r="C1089" s="402"/>
      <c r="D1089" s="1292"/>
      <c r="E1089" s="1292"/>
      <c r="F1089" s="1292"/>
      <c r="I1089" s="490"/>
    </row>
    <row r="1090" spans="1:9">
      <c r="A1090" s="402"/>
      <c r="B1090" s="402"/>
      <c r="C1090" s="402"/>
      <c r="D1090" s="1292"/>
      <c r="E1090" s="1292"/>
      <c r="F1090" s="1292"/>
      <c r="I1090" s="490"/>
    </row>
    <row r="1091" spans="1:9">
      <c r="A1091" s="402"/>
      <c r="B1091" s="402"/>
      <c r="C1091" s="402"/>
      <c r="D1091" s="1292"/>
      <c r="E1091" s="1292"/>
      <c r="F1091" s="1292"/>
      <c r="I1091" s="490"/>
    </row>
    <row r="1092" spans="1:9">
      <c r="A1092" s="402"/>
      <c r="B1092" s="402"/>
      <c r="C1092" s="402"/>
      <c r="D1092" s="527" t="s">
        <v>1826</v>
      </c>
      <c r="I1092" s="490"/>
    </row>
    <row r="1093" spans="1:9">
      <c r="A1093" s="402"/>
      <c r="B1093" s="402"/>
      <c r="C1093" s="402"/>
      <c r="I1093" s="490"/>
    </row>
    <row r="1094" spans="1:9">
      <c r="A1094" s="402"/>
      <c r="B1094" s="485" t="s">
        <v>306</v>
      </c>
      <c r="C1094" s="402"/>
      <c r="D1094" s="1278" t="s">
        <v>2282</v>
      </c>
      <c r="E1094" s="1278"/>
      <c r="F1094" s="1278"/>
      <c r="I1094" s="490"/>
    </row>
    <row r="1095" spans="1:9">
      <c r="A1095" s="402"/>
      <c r="B1095" s="402"/>
      <c r="C1095" s="402"/>
      <c r="D1095" s="1278"/>
      <c r="E1095" s="1278"/>
      <c r="F1095" s="1278"/>
      <c r="I1095" s="490"/>
    </row>
    <row r="1096" spans="1:9">
      <c r="A1096" s="402"/>
      <c r="B1096" s="402"/>
      <c r="C1096" s="402"/>
      <c r="D1096" s="1278"/>
      <c r="E1096" s="1278"/>
      <c r="F1096" s="1278"/>
      <c r="I1096" s="490"/>
    </row>
    <row r="1097" spans="1:9">
      <c r="A1097" s="402"/>
      <c r="B1097" s="402"/>
      <c r="C1097" s="402"/>
      <c r="I1097" s="490"/>
    </row>
    <row r="1098" spans="1:9">
      <c r="A1098" s="1287" t="s">
        <v>1831</v>
      </c>
      <c r="B1098" s="1287"/>
      <c r="C1098" s="1287"/>
      <c r="D1098" s="1287"/>
      <c r="E1098" s="1287"/>
      <c r="F1098" s="1287"/>
      <c r="G1098" s="1287"/>
      <c r="H1098" s="1028"/>
      <c r="I1098" s="1153"/>
    </row>
    <row r="1099" spans="1:9">
      <c r="A1099" s="402"/>
      <c r="B1099" s="402"/>
      <c r="C1099" s="402"/>
      <c r="I1099" s="490"/>
    </row>
    <row r="1100" spans="1:9">
      <c r="A1100" s="402"/>
      <c r="B1100" s="402"/>
      <c r="C1100" s="402"/>
      <c r="I1100" s="490"/>
    </row>
    <row r="1101" spans="1:9" ht="12.75" customHeight="1">
      <c r="A1101" s="402"/>
      <c r="B1101" s="485" t="s">
        <v>306</v>
      </c>
      <c r="C1101" s="402"/>
      <c r="D1101" s="1294" t="s">
        <v>1930</v>
      </c>
      <c r="E1101" s="1294"/>
      <c r="F1101" s="1294"/>
      <c r="I1101" s="490"/>
    </row>
    <row r="1102" spans="1:9">
      <c r="A1102" s="402"/>
      <c r="B1102" s="402"/>
      <c r="C1102" s="402"/>
      <c r="D1102" s="1294"/>
      <c r="E1102" s="1294"/>
      <c r="F1102" s="1294"/>
      <c r="I1102" s="490"/>
    </row>
    <row r="1103" spans="1:9">
      <c r="A1103" s="402"/>
      <c r="B1103" s="402"/>
      <c r="C1103" s="402"/>
      <c r="D1103" s="1295" t="s">
        <v>2144</v>
      </c>
      <c r="E1103" s="1264"/>
      <c r="F1103" s="1264"/>
      <c r="I1103" s="490"/>
    </row>
    <row r="1104" spans="1:9">
      <c r="A1104" s="402"/>
      <c r="B1104" s="402"/>
      <c r="C1104" s="402"/>
      <c r="D1104" s="527"/>
      <c r="I1104" s="490"/>
    </row>
    <row r="1105" spans="1:9">
      <c r="A1105" s="402"/>
      <c r="B1105" s="485" t="s">
        <v>306</v>
      </c>
      <c r="C1105" s="402"/>
      <c r="D1105" s="1292" t="s">
        <v>1832</v>
      </c>
      <c r="E1105" s="1292"/>
      <c r="F1105" s="1292"/>
      <c r="I1105" s="490"/>
    </row>
    <row r="1106" spans="1:9">
      <c r="A1106" s="402"/>
      <c r="B1106" s="402"/>
      <c r="C1106" s="402"/>
      <c r="D1106" s="1292"/>
      <c r="E1106" s="1292"/>
      <c r="F1106" s="1292"/>
      <c r="I1106" s="490"/>
    </row>
    <row r="1107" spans="1:9">
      <c r="A1107" s="402"/>
      <c r="B1107" s="402"/>
      <c r="C1107" s="402"/>
      <c r="D1107" s="527"/>
      <c r="I1107" s="490"/>
    </row>
    <row r="1108" spans="1:9">
      <c r="A1108" s="402"/>
      <c r="B1108" s="485" t="s">
        <v>306</v>
      </c>
      <c r="C1108" s="402"/>
      <c r="D1108" s="1292" t="s">
        <v>1888</v>
      </c>
      <c r="E1108" s="1292"/>
      <c r="F1108" s="1292"/>
      <c r="I1108" s="490"/>
    </row>
    <row r="1109" spans="1:9">
      <c r="A1109" s="402"/>
      <c r="B1109" s="402"/>
      <c r="C1109" s="402"/>
      <c r="D1109" s="1292"/>
      <c r="E1109" s="1292"/>
      <c r="F1109" s="1292"/>
      <c r="I1109" s="490"/>
    </row>
    <row r="1110" spans="1:9">
      <c r="A1110" s="402"/>
      <c r="B1110" s="402"/>
      <c r="C1110" s="402"/>
      <c r="D1110" s="1292"/>
      <c r="E1110" s="1292"/>
      <c r="F1110" s="1292"/>
      <c r="I1110" s="490"/>
    </row>
    <row r="1111" spans="1:9">
      <c r="A1111" s="402"/>
      <c r="B1111" s="402"/>
      <c r="C1111" s="402"/>
      <c r="D1111" s="1292"/>
      <c r="E1111" s="1292"/>
      <c r="F1111" s="1292"/>
      <c r="I1111" s="490"/>
    </row>
    <row r="1112" spans="1:9">
      <c r="A1112" s="402"/>
      <c r="B1112" s="402"/>
      <c r="C1112" s="402"/>
      <c r="D1112" s="1292"/>
      <c r="E1112" s="1292"/>
      <c r="F1112" s="1292"/>
      <c r="I1112" s="490"/>
    </row>
    <row r="1113" spans="1:9">
      <c r="A1113" s="402"/>
      <c r="B1113" s="402"/>
      <c r="C1113" s="402"/>
      <c r="D1113" s="1292"/>
      <c r="E1113" s="1292"/>
      <c r="F1113" s="1292"/>
      <c r="I1113" s="490"/>
    </row>
    <row r="1114" spans="1:9">
      <c r="A1114" s="402"/>
      <c r="B1114" s="402"/>
      <c r="C1114" s="402"/>
      <c r="D1114" s="527"/>
      <c r="I1114" s="480"/>
    </row>
    <row r="1115" spans="1:9">
      <c r="A1115" s="402"/>
      <c r="B1115" s="485" t="s">
        <v>306</v>
      </c>
      <c r="C1115" s="402"/>
      <c r="D1115" s="1292" t="s">
        <v>1833</v>
      </c>
      <c r="E1115" s="1292"/>
      <c r="F1115" s="1292"/>
      <c r="I1115" s="490"/>
    </row>
    <row r="1116" spans="1:9">
      <c r="A1116" s="402"/>
      <c r="B1116" s="402"/>
      <c r="C1116" s="402"/>
      <c r="D1116" s="1292"/>
      <c r="E1116" s="1292"/>
      <c r="F1116" s="1292"/>
      <c r="I1116" s="490"/>
    </row>
    <row r="1117" spans="1:9">
      <c r="A1117" s="402"/>
      <c r="B1117" s="402"/>
      <c r="C1117" s="402"/>
      <c r="D1117" s="1292"/>
      <c r="E1117" s="1292"/>
      <c r="F1117" s="1292"/>
      <c r="I1117" s="490"/>
    </row>
    <row r="1118" spans="1:9">
      <c r="A1118" s="402"/>
      <c r="B1118" s="402"/>
      <c r="C1118" s="402"/>
      <c r="D1118" s="527"/>
      <c r="I1118" s="490"/>
    </row>
    <row r="1119" spans="1:9">
      <c r="A1119" s="402"/>
      <c r="B1119" s="485" t="s">
        <v>306</v>
      </c>
      <c r="C1119" s="402"/>
      <c r="D1119" s="1269" t="s">
        <v>1889</v>
      </c>
      <c r="E1119" s="1269"/>
      <c r="F1119" s="1269"/>
      <c r="I1119" s="490"/>
    </row>
    <row r="1120" spans="1:9">
      <c r="A1120" s="402"/>
      <c r="B1120" s="402"/>
      <c r="C1120" s="402"/>
      <c r="D1120" s="1269"/>
      <c r="E1120" s="1269"/>
      <c r="F1120" s="1269"/>
      <c r="I1120" s="490"/>
    </row>
    <row r="1121" spans="1:9">
      <c r="A1121" s="402"/>
      <c r="B1121" s="402"/>
      <c r="C1121" s="402"/>
      <c r="D1121" s="1269"/>
      <c r="E1121" s="1269"/>
      <c r="F1121" s="1269"/>
      <c r="I1121" s="490"/>
    </row>
    <row r="1122" spans="1:9">
      <c r="A1122" s="402"/>
      <c r="B1122" s="402"/>
      <c r="C1122" s="402"/>
      <c r="D1122" s="980"/>
      <c r="E1122" s="980"/>
      <c r="F1122" s="980"/>
      <c r="I1122" s="490"/>
    </row>
    <row r="1123" spans="1:9" ht="15.75" customHeight="1">
      <c r="A1123" s="402"/>
      <c r="B1123" s="485" t="s">
        <v>306</v>
      </c>
      <c r="C1123" s="402"/>
      <c r="D1123" s="1264" t="s">
        <v>1890</v>
      </c>
      <c r="E1123" s="1264"/>
      <c r="F1123" s="1264"/>
      <c r="I1123" s="490"/>
    </row>
    <row r="1124" spans="1:9">
      <c r="A1124" s="402"/>
      <c r="B1124" s="402"/>
      <c r="C1124" s="402"/>
      <c r="D1124" s="1264"/>
      <c r="E1124" s="1264"/>
      <c r="F1124" s="1264"/>
      <c r="I1124" s="490"/>
    </row>
    <row r="1125" spans="1:9">
      <c r="A1125" s="402"/>
      <c r="B1125" s="402"/>
      <c r="C1125" s="402"/>
      <c r="D1125" s="1264"/>
      <c r="E1125" s="1264"/>
      <c r="F1125" s="1264"/>
      <c r="I1125" s="490"/>
    </row>
    <row r="1126" spans="1:9">
      <c r="A1126" s="402"/>
      <c r="B1126" s="402"/>
      <c r="C1126" s="402"/>
      <c r="D1126" s="1264"/>
      <c r="E1126" s="1264"/>
      <c r="F1126" s="1264"/>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1"/>
      <c r="H1541" s="1311"/>
      <c r="I1541" s="131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301" zoomScaleNormal="100" workbookViewId="0">
      <selection activeCell="AP317" sqref="AP317"/>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2495</v>
      </c>
      <c r="BE1" s="3"/>
      <c r="BF1" s="3"/>
    </row>
    <row r="2" spans="1:58" ht="12.95" customHeight="1">
      <c r="BD2" s="3" t="s">
        <v>2496</v>
      </c>
      <c r="BE2" s="3" t="s">
        <v>2497</v>
      </c>
      <c r="BF2" s="3" t="s">
        <v>2498</v>
      </c>
    </row>
    <row r="3" spans="1:58" ht="12.95" customHeight="1">
      <c r="BD3" s="3" t="s">
        <v>2593</v>
      </c>
      <c r="BE3" t="str">
        <f>AC220</f>
        <v>Bay Area ((Alameda, Contra Costa, Marin, San Francisco, San Mateo, Santa Clara, and Santa Cruz Counties)</v>
      </c>
    </row>
    <row r="4" spans="1:58" ht="12.95" customHeight="1">
      <c r="BD4" s="3" t="s">
        <v>2505</v>
      </c>
      <c r="BE4" s="1246"/>
    </row>
    <row r="5" spans="1:58" ht="12.95" customHeight="1">
      <c r="BD5" s="3" t="s">
        <v>2506</v>
      </c>
      <c r="BE5">
        <f>SUMIF($AC$718:$AC$752,"&lt;=20%",$G$718:G$752)</f>
        <v>0</v>
      </c>
      <c r="BF5" s="3" t="s">
        <v>2511</v>
      </c>
    </row>
    <row r="6" spans="1:58" ht="12.95" customHeight="1">
      <c r="BD6" s="3" t="s">
        <v>2507</v>
      </c>
      <c r="BE6" s="1249">
        <f>SUMIF($AC$718:$AC$752,"&lt;=25%",$G$718:G$752)-SUM($BE$5:BE5)</f>
        <v>0</v>
      </c>
    </row>
    <row r="7" spans="1:58" ht="12.95" customHeight="1">
      <c r="BD7" s="1247" t="s">
        <v>2499</v>
      </c>
      <c r="BE7" s="1249">
        <f>SUMIF($AC$718:$AC$752,"&lt;=30%",$G$718:G$752)-SUM($BE$5:BE6)</f>
        <v>14</v>
      </c>
    </row>
    <row r="8" spans="1:58" ht="26.25" customHeight="1">
      <c r="A8" s="1456" t="s">
        <v>100</v>
      </c>
      <c r="B8" s="1456"/>
      <c r="C8" s="1456"/>
      <c r="D8" s="1456"/>
      <c r="E8" s="1456"/>
      <c r="F8" s="1456"/>
      <c r="G8" s="1456"/>
      <c r="H8" s="1456"/>
      <c r="I8" s="1456"/>
      <c r="J8" s="1456"/>
      <c r="K8" s="1456"/>
      <c r="L8" s="1456"/>
      <c r="M8" s="1456"/>
      <c r="N8" s="1456"/>
      <c r="O8" s="1456"/>
      <c r="P8" s="1456"/>
      <c r="Q8" s="1456"/>
      <c r="R8" s="1456"/>
      <c r="S8" s="1456"/>
      <c r="T8" s="1456"/>
      <c r="U8" s="1456"/>
      <c r="V8" s="1456"/>
      <c r="W8" s="1456"/>
      <c r="X8" s="1456"/>
      <c r="Y8" s="1456"/>
      <c r="Z8" s="1456"/>
      <c r="AA8" s="1456"/>
      <c r="AB8" s="1456"/>
      <c r="AC8" s="1456"/>
      <c r="AD8" s="1456"/>
      <c r="AE8" s="1456"/>
      <c r="AF8" s="1456"/>
      <c r="AG8" s="1456"/>
      <c r="AH8" s="1456"/>
      <c r="AI8" s="1456"/>
      <c r="AJ8" s="1456"/>
      <c r="AK8" s="1456"/>
      <c r="AL8" s="1456"/>
      <c r="AM8" s="1456"/>
      <c r="AN8" s="1456"/>
      <c r="AO8" s="1456"/>
      <c r="AP8" s="1456"/>
      <c r="AQ8" s="1456"/>
      <c r="AR8" s="1456"/>
      <c r="AS8" s="1456"/>
      <c r="AT8" s="1456"/>
      <c r="AU8" s="898"/>
      <c r="AV8" s="898"/>
      <c r="AW8" s="898"/>
      <c r="AX8" s="898"/>
      <c r="AY8" s="898"/>
      <c r="BD8" s="3" t="s">
        <v>2508</v>
      </c>
      <c r="BE8" s="1249">
        <f>SUMIF($AC$718:$AC$752,"&lt;=35%",$G$718:G$752)-SUM($BE$5:BE7)</f>
        <v>0</v>
      </c>
    </row>
    <row r="9" spans="1:58" ht="12.95" customHeight="1">
      <c r="A9" s="1335" t="s">
        <v>2077</v>
      </c>
      <c r="B9" s="1335"/>
      <c r="C9" s="1335"/>
      <c r="D9" s="1335"/>
      <c r="E9" s="1335"/>
      <c r="F9" s="1335"/>
      <c r="G9" s="1335"/>
      <c r="H9" s="1335"/>
      <c r="I9" s="1335"/>
      <c r="J9" s="1335"/>
      <c r="K9" s="1335"/>
      <c r="L9" s="1335"/>
      <c r="M9" s="1335"/>
      <c r="N9" s="1335"/>
      <c r="O9" s="1335"/>
      <c r="P9" s="1335"/>
      <c r="Q9" s="1335"/>
      <c r="R9" s="1335"/>
      <c r="S9" s="1335"/>
      <c r="T9" s="1335"/>
      <c r="U9" s="1335"/>
      <c r="V9" s="1335"/>
      <c r="W9" s="1335"/>
      <c r="X9" s="1335"/>
      <c r="Y9" s="1335"/>
      <c r="Z9" s="1335"/>
      <c r="AA9" s="1335"/>
      <c r="AB9" s="1335"/>
      <c r="AC9" s="1335"/>
      <c r="AD9" s="1335"/>
      <c r="AE9" s="1335"/>
      <c r="AF9" s="1335"/>
      <c r="AG9" s="1335"/>
      <c r="AH9" s="1335"/>
      <c r="AI9" s="1335"/>
      <c r="AJ9" s="1335"/>
      <c r="AK9" s="1335"/>
      <c r="AL9" s="1335"/>
      <c r="AM9" s="1335"/>
      <c r="AN9" s="1335"/>
      <c r="AO9" s="1335"/>
      <c r="AP9" s="1335"/>
      <c r="AQ9" s="1335"/>
      <c r="AR9" s="1335"/>
      <c r="AS9" s="1335"/>
      <c r="AT9" s="1335"/>
      <c r="AU9" s="13"/>
      <c r="AV9" s="13"/>
      <c r="AW9" s="13"/>
      <c r="AX9" s="13"/>
      <c r="AY9" s="13"/>
      <c r="BD9" s="1248" t="s">
        <v>2500</v>
      </c>
      <c r="BE9" s="1249">
        <f>SUMIF($AC$718:$AC$752,"&lt;=40%",$G$718:G$752)-SUM($BE$5:BE8)</f>
        <v>0</v>
      </c>
    </row>
    <row r="10" spans="1:58" ht="12.95" customHeight="1">
      <c r="A10" s="1335" t="s">
        <v>2457</v>
      </c>
      <c r="B10" s="1335"/>
      <c r="C10" s="1335"/>
      <c r="D10" s="1335"/>
      <c r="E10" s="1335"/>
      <c r="F10" s="1335"/>
      <c r="G10" s="1335"/>
      <c r="H10" s="1335"/>
      <c r="I10" s="1335"/>
      <c r="J10" s="1335"/>
      <c r="K10" s="1335"/>
      <c r="L10" s="1335"/>
      <c r="M10" s="1335"/>
      <c r="N10" s="1335"/>
      <c r="O10" s="1335"/>
      <c r="P10" s="1335"/>
      <c r="Q10" s="1335"/>
      <c r="R10" s="1335"/>
      <c r="S10" s="1335"/>
      <c r="T10" s="1335"/>
      <c r="U10" s="1335"/>
      <c r="V10" s="1335"/>
      <c r="W10" s="1335"/>
      <c r="X10" s="1335"/>
      <c r="Y10" s="1335"/>
      <c r="Z10" s="1335"/>
      <c r="AA10" s="1335"/>
      <c r="AB10" s="1335"/>
      <c r="AC10" s="1335"/>
      <c r="AD10" s="1335"/>
      <c r="AE10" s="1335"/>
      <c r="AF10" s="1335"/>
      <c r="AG10" s="1335"/>
      <c r="AH10" s="1335"/>
      <c r="AI10" s="1335"/>
      <c r="AJ10" s="1335"/>
      <c r="AK10" s="1335"/>
      <c r="AL10" s="1335"/>
      <c r="AM10" s="1335"/>
      <c r="AN10" s="1335"/>
      <c r="AO10" s="1335"/>
      <c r="AP10" s="1335"/>
      <c r="AQ10" s="1335"/>
      <c r="AR10" s="1335"/>
      <c r="AS10" s="1335"/>
      <c r="AT10" s="1335"/>
      <c r="AU10" s="13"/>
      <c r="AV10" s="13"/>
      <c r="AW10" s="13"/>
      <c r="AX10" s="13"/>
      <c r="AY10" s="13"/>
      <c r="BD10" s="3" t="s">
        <v>2509</v>
      </c>
      <c r="BE10" s="1249">
        <f>SUMIF($AC$718:$AC$752,"&lt;=45%",$G$718:G$752)-SUM($BE$5:BE9)</f>
        <v>0</v>
      </c>
    </row>
    <row r="11" spans="1:58" ht="12.95" customHeight="1">
      <c r="A11" s="1335" t="s">
        <v>2603</v>
      </c>
      <c r="B11" s="1335"/>
      <c r="C11" s="1335"/>
      <c r="D11" s="1335"/>
      <c r="E11" s="1335"/>
      <c r="F11" s="1335"/>
      <c r="G11" s="1335"/>
      <c r="H11" s="1335"/>
      <c r="I11" s="1335"/>
      <c r="J11" s="1335"/>
      <c r="K11" s="1335"/>
      <c r="L11" s="1335"/>
      <c r="M11" s="1335"/>
      <c r="N11" s="1335"/>
      <c r="O11" s="1335"/>
      <c r="P11" s="1335"/>
      <c r="Q11" s="1335"/>
      <c r="R11" s="1335"/>
      <c r="S11" s="1335"/>
      <c r="T11" s="1335"/>
      <c r="U11" s="1335"/>
      <c r="V11" s="1335"/>
      <c r="W11" s="1335"/>
      <c r="X11" s="1335"/>
      <c r="Y11" s="1335"/>
      <c r="Z11" s="1335"/>
      <c r="AA11" s="1335"/>
      <c r="AB11" s="1335"/>
      <c r="AC11" s="1335"/>
      <c r="AD11" s="1335"/>
      <c r="AE11" s="1335"/>
      <c r="AF11" s="1335"/>
      <c r="AG11" s="1335"/>
      <c r="AH11" s="1335"/>
      <c r="AI11" s="1335"/>
      <c r="AJ11" s="1335"/>
      <c r="AK11" s="1335"/>
      <c r="AL11" s="1335"/>
      <c r="AM11" s="1335"/>
      <c r="AN11" s="1335"/>
      <c r="AO11" s="1335"/>
      <c r="AP11" s="1335"/>
      <c r="AQ11" s="1335"/>
      <c r="AR11" s="1335"/>
      <c r="AS11" s="1335"/>
      <c r="AT11" s="1335"/>
      <c r="AU11" s="13"/>
      <c r="AV11" s="13"/>
      <c r="AW11" s="13"/>
      <c r="AX11" s="13"/>
      <c r="AY11" s="13"/>
      <c r="BD11" s="1247" t="s">
        <v>2501</v>
      </c>
      <c r="BE11" s="1249">
        <f>SUMIF($AC$718:$AC$752,"&lt;=50%",$G$718:G$752)-SUM($BE$5:BE10)</f>
        <v>49</v>
      </c>
    </row>
    <row r="12" spans="1:58" ht="12.95" customHeight="1">
      <c r="A12" s="1457" t="s">
        <v>2608</v>
      </c>
      <c r="B12" s="1457"/>
      <c r="C12" s="1457"/>
      <c r="D12" s="1457"/>
      <c r="E12" s="1457"/>
      <c r="F12" s="1457"/>
      <c r="G12" s="1457"/>
      <c r="H12" s="1457"/>
      <c r="I12" s="1457"/>
      <c r="J12" s="1457"/>
      <c r="K12" s="1457"/>
      <c r="L12" s="1457"/>
      <c r="M12" s="1457"/>
      <c r="N12" s="1457"/>
      <c r="O12" s="1457"/>
      <c r="P12" s="1457"/>
      <c r="Q12" s="1457"/>
      <c r="R12" s="1457"/>
      <c r="S12" s="1457"/>
      <c r="T12" s="1457"/>
      <c r="U12" s="1457"/>
      <c r="V12" s="1457"/>
      <c r="W12" s="1457"/>
      <c r="X12" s="1457"/>
      <c r="Y12" s="1457"/>
      <c r="Z12" s="1457"/>
      <c r="AA12" s="1457"/>
      <c r="AB12" s="1457"/>
      <c r="AC12" s="1457"/>
      <c r="AD12" s="1457"/>
      <c r="AE12" s="1457"/>
      <c r="AF12" s="1457"/>
      <c r="AG12" s="1457"/>
      <c r="AH12" s="1457"/>
      <c r="AI12" s="1457"/>
      <c r="AJ12" s="1457"/>
      <c r="AK12" s="1457"/>
      <c r="AL12" s="1457"/>
      <c r="AM12" s="1457"/>
      <c r="AN12" s="1457"/>
      <c r="AO12" s="1457"/>
      <c r="AP12" s="1457"/>
      <c r="AQ12" s="1457"/>
      <c r="AR12" s="1457"/>
      <c r="AS12" s="1457"/>
      <c r="AT12" s="1457"/>
      <c r="AU12" s="6"/>
      <c r="AV12" s="6"/>
      <c r="AW12" s="6"/>
      <c r="AX12" s="6"/>
      <c r="AY12" s="6"/>
      <c r="BD12" s="3" t="s">
        <v>2510</v>
      </c>
      <c r="BE12" s="1249">
        <f>SUMIF($AC$718:$AC$752,"&lt;=55%",$G$718:G$752)-SUM($BE$5:BE11)</f>
        <v>0</v>
      </c>
    </row>
    <row r="13" spans="1:58" ht="12.95" customHeight="1">
      <c r="A13" s="1262" t="s">
        <v>2078</v>
      </c>
      <c r="B13" s="1262"/>
      <c r="C13" s="1262"/>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1262"/>
      <c r="AM13" s="1262"/>
      <c r="AN13" s="1262"/>
      <c r="AO13" s="1262"/>
      <c r="AP13" s="1262"/>
      <c r="AQ13" s="1262"/>
      <c r="AR13" s="1262"/>
      <c r="AS13" s="1262"/>
      <c r="AT13" s="1262"/>
      <c r="AU13" s="899"/>
      <c r="AV13" s="899"/>
      <c r="AW13" s="899"/>
      <c r="AX13" s="899"/>
      <c r="AY13" s="899"/>
      <c r="BD13" s="1248" t="s">
        <v>2502</v>
      </c>
      <c r="BE13" s="1249">
        <f>SUMIF($AC$718:$AC$752,"&lt;=60%",$G$718:G$752)-SUM($BE$5:BE12)</f>
        <v>0</v>
      </c>
    </row>
    <row r="14" spans="1:58" ht="12.95" customHeight="1">
      <c r="A14" s="1262"/>
      <c r="B14" s="1262"/>
      <c r="C14" s="1262"/>
      <c r="D14" s="1262"/>
      <c r="E14" s="1262"/>
      <c r="F14" s="1262"/>
      <c r="G14" s="1262"/>
      <c r="H14" s="1262"/>
      <c r="I14" s="1262"/>
      <c r="J14" s="1262"/>
      <c r="K14" s="1262"/>
      <c r="L14" s="1262"/>
      <c r="M14" s="1262"/>
      <c r="N14" s="1262"/>
      <c r="O14" s="1262"/>
      <c r="P14" s="1262"/>
      <c r="Q14" s="1262"/>
      <c r="R14" s="1262"/>
      <c r="S14" s="1262"/>
      <c r="T14" s="1262"/>
      <c r="U14" s="1262"/>
      <c r="V14" s="1262"/>
      <c r="W14" s="1262"/>
      <c r="X14" s="1262"/>
      <c r="Y14" s="1262"/>
      <c r="Z14" s="1262"/>
      <c r="AA14" s="1262"/>
      <c r="AB14" s="1262"/>
      <c r="AC14" s="1262"/>
      <c r="AD14" s="1262"/>
      <c r="AE14" s="1262"/>
      <c r="AF14" s="1262"/>
      <c r="AG14" s="1262"/>
      <c r="AH14" s="1262"/>
      <c r="AI14" s="1262"/>
      <c r="AJ14" s="1262"/>
      <c r="AK14" s="1262"/>
      <c r="AL14" s="1262"/>
      <c r="AM14" s="1262"/>
      <c r="AN14" s="1262"/>
      <c r="AO14" s="1262"/>
      <c r="AP14" s="1262"/>
      <c r="AQ14" s="1262"/>
      <c r="AR14" s="1262"/>
      <c r="AS14" s="1262"/>
      <c r="AT14" s="1262"/>
      <c r="AU14" s="899"/>
      <c r="AV14" s="899"/>
      <c r="AW14" s="899"/>
      <c r="AX14" s="899"/>
      <c r="AY14" s="899"/>
      <c r="BD14" s="1247" t="s">
        <v>2503</v>
      </c>
      <c r="BE14" s="1249">
        <f>SUMIF($AC$718:$AC$752,"&lt;=70%",$G$718:G$752)-SUM($BE$5:BE13)</f>
        <v>61</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2504</v>
      </c>
      <c r="BE15" s="1249">
        <f>SUMIF($AC$718:$AC$752,"&lt;=80%",$G$718:G$752)-SUM($BE$5:BE14)</f>
        <v>0</v>
      </c>
    </row>
    <row r="16" spans="1:58" ht="12.95" customHeight="1">
      <c r="A16" s="57" t="s">
        <v>2079</v>
      </c>
      <c r="C16" s="4"/>
      <c r="D16" s="4"/>
      <c r="E16" s="4"/>
      <c r="F16" s="4"/>
      <c r="G16" s="4"/>
      <c r="H16" s="1462" t="s">
        <v>2609</v>
      </c>
      <c r="I16" s="1463"/>
      <c r="J16" s="1463"/>
      <c r="K16" s="1463"/>
      <c r="L16" s="1463"/>
      <c r="M16" s="1463"/>
      <c r="N16" s="1463"/>
      <c r="O16" s="1463"/>
      <c r="P16" s="1463"/>
      <c r="Q16" s="1463"/>
      <c r="R16" s="1463"/>
      <c r="S16" s="1463"/>
      <c r="T16" s="1463"/>
      <c r="U16" s="1463"/>
      <c r="V16" s="1463"/>
      <c r="W16" s="1463"/>
      <c r="X16" s="1463"/>
      <c r="Y16" s="1463"/>
      <c r="Z16" s="1463"/>
      <c r="AA16" s="1463"/>
      <c r="AB16" s="1463"/>
      <c r="AC16" s="1463"/>
      <c r="AD16" s="1463"/>
      <c r="AE16" s="1463"/>
      <c r="AF16" s="1463"/>
      <c r="AG16" s="1463"/>
      <c r="AH16" s="1463"/>
      <c r="AI16" s="1463"/>
      <c r="AJ16" s="1463"/>
      <c r="BD16" s="1248" t="s">
        <v>656</v>
      </c>
      <c r="BE16" s="1249" t="str">
        <f>Application!H18</f>
        <v>Marinwood Plaza</v>
      </c>
    </row>
    <row r="17" spans="1:58" ht="12.95" customHeight="1">
      <c r="BD17" s="1247" t="s">
        <v>2517</v>
      </c>
      <c r="BE17" s="1249">
        <f>Application!AA934</f>
        <v>4000000</v>
      </c>
    </row>
    <row r="18" spans="1:58" ht="12.95" customHeight="1">
      <c r="A18" s="57" t="s">
        <v>101</v>
      </c>
      <c r="C18" s="4"/>
      <c r="D18" s="4"/>
      <c r="E18" s="4"/>
      <c r="F18" s="4"/>
      <c r="G18" s="4"/>
      <c r="H18" s="1460" t="s">
        <v>2610</v>
      </c>
      <c r="I18" s="1433"/>
      <c r="J18" s="1433"/>
      <c r="K18" s="1433"/>
      <c r="L18" s="1433"/>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c r="BD18" s="1248" t="s">
        <v>2518</v>
      </c>
      <c r="BE18" s="1249">
        <f>'CalHFA Addendum'!N11</f>
        <v>4000000</v>
      </c>
    </row>
    <row r="19" spans="1:58" ht="12.95" customHeight="1">
      <c r="BD19" s="1247" t="s">
        <v>2519</v>
      </c>
      <c r="BE19" s="1249">
        <f>Application!M26</f>
        <v>3125255</v>
      </c>
    </row>
    <row r="20" spans="1:58" ht="12.95" customHeight="1">
      <c r="A20" s="1458" t="s">
        <v>873</v>
      </c>
      <c r="B20" s="1458"/>
      <c r="C20" s="1458"/>
      <c r="D20" s="1458"/>
      <c r="E20" s="1458"/>
      <c r="F20" s="1458"/>
      <c r="G20" s="1458"/>
      <c r="H20" s="1458"/>
      <c r="I20" s="1458"/>
      <c r="J20" s="1458"/>
      <c r="K20" s="1458"/>
      <c r="L20" s="1458"/>
      <c r="M20" s="1458"/>
      <c r="N20" s="1458"/>
      <c r="O20" s="1458"/>
      <c r="P20" s="1458"/>
      <c r="Q20" s="1458"/>
      <c r="R20" s="1458"/>
      <c r="S20" s="1458"/>
      <c r="T20" s="1458"/>
      <c r="U20" s="1458"/>
      <c r="V20" s="1458"/>
      <c r="W20" s="1458"/>
      <c r="X20" s="1458"/>
      <c r="Y20" s="1458"/>
      <c r="Z20" s="1458"/>
      <c r="AA20" s="1458"/>
      <c r="AB20" s="1458"/>
      <c r="AC20" s="1458"/>
      <c r="AD20" s="1458"/>
      <c r="AE20" s="1458"/>
      <c r="AF20" s="1458"/>
      <c r="AG20" s="1458"/>
      <c r="AH20" s="1458"/>
      <c r="AI20" s="1458"/>
      <c r="AJ20" s="1458"/>
      <c r="AK20" s="1458"/>
      <c r="AL20" s="1458"/>
      <c r="AM20" s="1458"/>
      <c r="AN20" s="1458"/>
      <c r="AO20" s="1458"/>
      <c r="AP20" s="1458"/>
      <c r="AQ20" s="1458"/>
      <c r="AR20" s="1458"/>
      <c r="AS20" s="1458"/>
      <c r="AT20" s="1458"/>
      <c r="AU20" s="900"/>
      <c r="AV20" s="900"/>
      <c r="AW20" s="900"/>
      <c r="AX20" s="900"/>
      <c r="AY20" s="900"/>
      <c r="BD20" s="1248" t="s">
        <v>2520</v>
      </c>
      <c r="BE20" s="1249">
        <f>Application!M27</f>
        <v>0</v>
      </c>
    </row>
    <row r="21" spans="1:58" ht="12.95" customHeight="1">
      <c r="A21" s="1464" t="s">
        <v>1009</v>
      </c>
      <c r="B21" s="1464"/>
      <c r="C21" s="1464"/>
      <c r="D21" s="1464"/>
      <c r="E21" s="1464"/>
      <c r="F21" s="1464"/>
      <c r="G21" s="1464"/>
      <c r="H21" s="1464"/>
      <c r="I21" s="1464"/>
      <c r="J21" s="1464"/>
      <c r="K21" s="1464"/>
      <c r="L21" s="1464"/>
      <c r="M21" s="1464"/>
      <c r="N21" s="1464"/>
      <c r="O21" s="1464"/>
      <c r="P21" s="1464"/>
      <c r="Q21" s="1464"/>
      <c r="R21" s="1464"/>
      <c r="S21" s="1464"/>
      <c r="T21" s="1464"/>
      <c r="U21" s="1464"/>
      <c r="V21" s="1464"/>
      <c r="W21" s="1464"/>
      <c r="X21" s="1464"/>
      <c r="Y21" s="1464"/>
      <c r="Z21" s="1464"/>
      <c r="AA21" s="1464"/>
      <c r="AB21" s="1464"/>
      <c r="AC21" s="1464"/>
      <c r="AD21" s="1464"/>
      <c r="AE21" s="1464"/>
      <c r="AF21" s="1464"/>
      <c r="AG21" s="1464"/>
      <c r="AH21" s="1464"/>
      <c r="AI21" s="1464"/>
      <c r="AJ21" s="1464"/>
      <c r="AK21" s="1464"/>
      <c r="AL21" s="1464"/>
      <c r="AM21" s="901"/>
      <c r="AN21" s="901"/>
      <c r="AO21" s="901"/>
      <c r="AP21" s="901"/>
      <c r="AQ21" s="901"/>
      <c r="AR21" s="901"/>
      <c r="AS21" s="901"/>
      <c r="AT21" s="901"/>
      <c r="AU21" s="901"/>
      <c r="AV21" s="901"/>
      <c r="AW21" s="901"/>
      <c r="AX21" s="901"/>
      <c r="AY21" s="901"/>
      <c r="BD21" s="1247" t="s">
        <v>2521</v>
      </c>
      <c r="BE21" s="1249">
        <f>Application!AM554</f>
        <v>36000000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73932184</v>
      </c>
      <c r="BF22" s="3" t="s">
        <v>2594</v>
      </c>
    </row>
    <row r="23" spans="1:58" ht="12.95" customHeight="1">
      <c r="A23" s="1294" t="s">
        <v>2147</v>
      </c>
      <c r="B23" s="1294"/>
      <c r="C23" s="1294"/>
      <c r="D23" s="1294"/>
      <c r="E23" s="1294"/>
      <c r="F23" s="1294"/>
      <c r="G23" s="1294"/>
      <c r="H23" s="1294"/>
      <c r="I23" s="1294"/>
      <c r="J23" s="1294"/>
      <c r="K23" s="1294"/>
      <c r="L23" s="1294"/>
      <c r="M23" s="1294"/>
      <c r="N23" s="1294"/>
      <c r="O23" s="1294"/>
      <c r="P23" s="1294"/>
      <c r="Q23" s="1294"/>
      <c r="R23" s="1294"/>
      <c r="S23" s="1294"/>
      <c r="T23" s="1294"/>
      <c r="U23" s="1294"/>
      <c r="V23" s="1294"/>
      <c r="W23" s="1294"/>
      <c r="X23" s="1294"/>
      <c r="Y23" s="1294"/>
      <c r="Z23" s="1294"/>
      <c r="AA23" s="1294"/>
      <c r="AB23" s="1294"/>
      <c r="AC23" s="1294"/>
      <c r="AD23" s="1294"/>
      <c r="AE23" s="1294"/>
      <c r="AF23" s="1294"/>
      <c r="AG23" s="1294"/>
      <c r="AH23" s="1294"/>
      <c r="AI23" s="1294"/>
      <c r="AJ23" s="1294"/>
      <c r="AK23" s="1294"/>
      <c r="AL23" s="1294"/>
      <c r="AM23" s="1294"/>
      <c r="AN23" s="1294"/>
      <c r="AO23" s="1294"/>
      <c r="AP23" s="1294"/>
      <c r="AQ23" s="1294"/>
      <c r="AR23" s="1294"/>
      <c r="AS23" s="1294"/>
      <c r="AT23" s="1294"/>
      <c r="AU23" s="18"/>
      <c r="AV23" s="18"/>
      <c r="AW23" s="18"/>
      <c r="AX23" s="18"/>
      <c r="AY23" s="18"/>
      <c r="AZ23" s="18"/>
      <c r="BD23" s="1247" t="s">
        <v>2522</v>
      </c>
      <c r="BE23" s="1249">
        <f>'Sources and Uses Budget'!B4</f>
        <v>8800000</v>
      </c>
    </row>
    <row r="24" spans="1:58" ht="12.95" customHeight="1">
      <c r="A24" s="1294"/>
      <c r="B24" s="1294"/>
      <c r="C24" s="1294"/>
      <c r="D24" s="1294"/>
      <c r="E24" s="1294"/>
      <c r="F24" s="1294"/>
      <c r="G24" s="1294"/>
      <c r="H24" s="1294"/>
      <c r="I24" s="1294"/>
      <c r="J24" s="1294"/>
      <c r="K24" s="1294"/>
      <c r="L24" s="1294"/>
      <c r="M24" s="1294"/>
      <c r="N24" s="1294"/>
      <c r="O24" s="1294"/>
      <c r="P24" s="1294"/>
      <c r="Q24" s="1294"/>
      <c r="R24" s="1294"/>
      <c r="S24" s="1294"/>
      <c r="T24" s="1294"/>
      <c r="U24" s="1294"/>
      <c r="V24" s="1294"/>
      <c r="W24" s="1294"/>
      <c r="X24" s="1294"/>
      <c r="Y24" s="1294"/>
      <c r="Z24" s="1294"/>
      <c r="AA24" s="1294"/>
      <c r="AB24" s="1294"/>
      <c r="AC24" s="1294"/>
      <c r="AD24" s="1294"/>
      <c r="AE24" s="1294"/>
      <c r="AF24" s="1294"/>
      <c r="AG24" s="1294"/>
      <c r="AH24" s="1294"/>
      <c r="AI24" s="1294"/>
      <c r="AJ24" s="1294"/>
      <c r="AK24" s="1294"/>
      <c r="AL24" s="1294"/>
      <c r="AM24" s="1294"/>
      <c r="AN24" s="1294"/>
      <c r="AO24" s="1294"/>
      <c r="AP24" s="1294"/>
      <c r="AQ24" s="1294"/>
      <c r="AR24" s="1294"/>
      <c r="AS24" s="1294"/>
      <c r="AT24" s="1294"/>
      <c r="AU24" s="18"/>
      <c r="AV24" s="18"/>
      <c r="AW24" s="18"/>
      <c r="AX24" s="18"/>
      <c r="AY24" s="18"/>
      <c r="AZ24" s="18"/>
      <c r="BD24" s="1248" t="s">
        <v>2523</v>
      </c>
      <c r="BE24" s="1249">
        <f>Application!AG450</f>
        <v>117682</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2524</v>
      </c>
      <c r="BE25" s="1249" t="str">
        <f>Application!D208</f>
        <v>40%/60% Average Income</v>
      </c>
    </row>
    <row r="26" spans="1:58" ht="12.95" customHeight="1">
      <c r="A26" s="4"/>
      <c r="C26" s="4"/>
      <c r="D26" s="4"/>
      <c r="E26" s="4"/>
      <c r="F26" s="4"/>
      <c r="G26" s="4"/>
      <c r="H26" s="4"/>
      <c r="I26" s="4"/>
      <c r="J26" s="4"/>
      <c r="K26" s="4"/>
      <c r="L26" s="4"/>
      <c r="M26" s="1461">
        <f>'Basis &amp; Credits'!AB56</f>
        <v>3125255</v>
      </c>
      <c r="N26" s="1461"/>
      <c r="O26" s="1461"/>
      <c r="P26" s="1461"/>
      <c r="Q26" s="1461"/>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6">
        <f>'Basis &amp; Credits'!AB78</f>
        <v>0</v>
      </c>
      <c r="N27" s="1356"/>
      <c r="O27" s="1356"/>
      <c r="P27" s="1356"/>
      <c r="Q27" s="1356"/>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2525</v>
      </c>
      <c r="BE28" s="1249" t="b">
        <f>Application!M357="Yes"</f>
        <v>0</v>
      </c>
    </row>
    <row r="29" spans="1:58" ht="12.95" customHeight="1">
      <c r="A29" s="1425" t="s">
        <v>2148</v>
      </c>
      <c r="B29" s="1425"/>
      <c r="C29" s="1425"/>
      <c r="D29" s="1425"/>
      <c r="E29" s="1425"/>
      <c r="F29" s="1425"/>
      <c r="G29" s="1425"/>
      <c r="H29" s="1425"/>
      <c r="I29" s="1425"/>
      <c r="J29" s="1425"/>
      <c r="K29" s="1425"/>
      <c r="L29" s="1425"/>
      <c r="M29" s="1425"/>
      <c r="N29" s="1425"/>
      <c r="O29" s="1425"/>
      <c r="P29" s="1425"/>
      <c r="Q29" s="1425"/>
      <c r="R29" s="1425"/>
      <c r="S29" s="1425"/>
      <c r="T29" s="1425"/>
      <c r="U29" s="1425"/>
      <c r="V29" s="1425"/>
      <c r="W29" s="1425"/>
      <c r="X29" s="1425"/>
      <c r="Y29" s="1425"/>
      <c r="Z29" s="1425"/>
      <c r="AA29" s="1425"/>
      <c r="AB29" s="1425"/>
      <c r="AC29" s="1425"/>
      <c r="AD29" s="1425"/>
      <c r="AE29" s="1425"/>
      <c r="AF29" s="1425"/>
      <c r="AG29" s="1425"/>
      <c r="AH29" s="1425"/>
      <c r="AI29" s="1425"/>
      <c r="AJ29" s="1425"/>
      <c r="AK29" s="1425"/>
      <c r="AL29" s="1425"/>
      <c r="AM29" s="1425"/>
      <c r="AN29" s="1425"/>
      <c r="AO29" s="1425"/>
      <c r="AP29" s="1425"/>
      <c r="AQ29" s="1425"/>
      <c r="AR29" s="1425"/>
      <c r="AS29" s="1425"/>
      <c r="AT29" s="1425"/>
      <c r="BD29" s="1247" t="s">
        <v>2526</v>
      </c>
      <c r="BE29" s="1249" t="b">
        <f>Application!M358="Yes"</f>
        <v>0</v>
      </c>
    </row>
    <row r="30" spans="1:58" ht="12.95" customHeight="1">
      <c r="A30" s="1425"/>
      <c r="B30" s="1425"/>
      <c r="C30" s="1425"/>
      <c r="D30" s="1425"/>
      <c r="E30" s="1425"/>
      <c r="F30" s="1425"/>
      <c r="G30" s="1425"/>
      <c r="H30" s="1425"/>
      <c r="I30" s="1425"/>
      <c r="J30" s="1425"/>
      <c r="K30" s="1425"/>
      <c r="L30" s="1425"/>
      <c r="M30" s="1425"/>
      <c r="N30" s="1425"/>
      <c r="O30" s="1425"/>
      <c r="P30" s="1425"/>
      <c r="Q30" s="1425"/>
      <c r="R30" s="1425"/>
      <c r="S30" s="1425"/>
      <c r="T30" s="1425"/>
      <c r="U30" s="1425"/>
      <c r="V30" s="1425"/>
      <c r="W30" s="1425"/>
      <c r="X30" s="1425"/>
      <c r="Y30" s="1425"/>
      <c r="Z30" s="1425"/>
      <c r="AA30" s="1425"/>
      <c r="AB30" s="1425"/>
      <c r="AC30" s="1425"/>
      <c r="AD30" s="1425"/>
      <c r="AE30" s="1425"/>
      <c r="AF30" s="1425"/>
      <c r="AG30" s="1425"/>
      <c r="AH30" s="1425"/>
      <c r="AI30" s="1425"/>
      <c r="AJ30" s="1425"/>
      <c r="AK30" s="1425"/>
      <c r="AL30" s="1425"/>
      <c r="AM30" s="1425"/>
      <c r="AN30" s="1425"/>
      <c r="AO30" s="1425"/>
      <c r="AP30" s="1425"/>
      <c r="AQ30" s="1425"/>
      <c r="AR30" s="1425"/>
      <c r="AS30" s="1425"/>
      <c r="AT30" s="1425"/>
      <c r="AZ30" s="20"/>
      <c r="BD30" s="1248" t="s">
        <v>28</v>
      </c>
      <c r="BE30" s="1249" t="b">
        <f>Application!AJ355="Yes"</f>
        <v>0</v>
      </c>
    </row>
    <row r="31" spans="1:58" ht="12.95" customHeight="1">
      <c r="A31" s="1425"/>
      <c r="B31" s="1425"/>
      <c r="C31" s="1425"/>
      <c r="D31" s="1425"/>
      <c r="E31" s="1425"/>
      <c r="F31" s="1425"/>
      <c r="G31" s="1425"/>
      <c r="H31" s="1425"/>
      <c r="I31" s="1425"/>
      <c r="J31" s="1425"/>
      <c r="K31" s="1425"/>
      <c r="L31" s="1425"/>
      <c r="M31" s="1425"/>
      <c r="N31" s="1425"/>
      <c r="O31" s="1425"/>
      <c r="P31" s="1425"/>
      <c r="Q31" s="1425"/>
      <c r="R31" s="1425"/>
      <c r="S31" s="1425"/>
      <c r="T31" s="1425"/>
      <c r="U31" s="1425"/>
      <c r="V31" s="1425"/>
      <c r="W31" s="1425"/>
      <c r="X31" s="1425"/>
      <c r="Y31" s="1425"/>
      <c r="Z31" s="1425"/>
      <c r="AA31" s="1425"/>
      <c r="AB31" s="1425"/>
      <c r="AC31" s="1425"/>
      <c r="AD31" s="1425"/>
      <c r="AE31" s="1425"/>
      <c r="AF31" s="1425"/>
      <c r="AG31" s="1425"/>
      <c r="AH31" s="1425"/>
      <c r="AI31" s="1425"/>
      <c r="AJ31" s="1425"/>
      <c r="AK31" s="1425"/>
      <c r="AL31" s="1425"/>
      <c r="AM31" s="1425"/>
      <c r="AN31" s="1425"/>
      <c r="AO31" s="1425"/>
      <c r="AP31" s="1425"/>
      <c r="AQ31" s="1425"/>
      <c r="AR31" s="1425"/>
      <c r="AS31" s="1425"/>
      <c r="AT31" s="1425"/>
      <c r="AU31" s="20"/>
      <c r="AV31" s="20"/>
      <c r="AW31" s="20"/>
      <c r="AX31" s="20"/>
      <c r="AY31" s="20"/>
      <c r="AZ31" s="20"/>
      <c r="BD31" s="1247" t="s">
        <v>2527</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2528</v>
      </c>
      <c r="BE32" s="1249">
        <f>IF(ISNUMBER(Application!W465),W465,0)</f>
        <v>0</v>
      </c>
    </row>
    <row r="33" spans="1:57" ht="12.95" customHeight="1">
      <c r="A33" s="519" t="s">
        <v>1278</v>
      </c>
      <c r="C33" s="519"/>
      <c r="D33" s="519"/>
      <c r="E33" s="519"/>
      <c r="F33" s="519"/>
      <c r="G33" s="519"/>
      <c r="H33" s="519"/>
      <c r="I33" s="519"/>
      <c r="J33" s="519"/>
      <c r="K33" s="519"/>
      <c r="L33" s="519"/>
      <c r="M33" s="519"/>
      <c r="N33" s="519"/>
      <c r="O33" s="1351" t="s">
        <v>669</v>
      </c>
      <c r="P33" s="1351"/>
      <c r="Q33" s="1459" t="s">
        <v>2149</v>
      </c>
      <c r="R33" s="1459"/>
      <c r="S33" s="1459"/>
      <c r="T33" s="1459"/>
      <c r="U33" s="1459"/>
      <c r="V33" s="1459"/>
      <c r="W33" s="1459"/>
      <c r="X33" s="1459"/>
      <c r="Y33" s="1459"/>
      <c r="Z33" s="1459"/>
      <c r="AA33" s="1459"/>
      <c r="AB33" s="1459"/>
      <c r="AC33" s="1459"/>
      <c r="AD33" s="1459"/>
      <c r="AE33" s="1459"/>
      <c r="AF33" s="1459"/>
      <c r="AG33" s="1459"/>
      <c r="AH33" s="1459"/>
      <c r="AI33" s="1459"/>
      <c r="AJ33" s="1459"/>
      <c r="AK33" s="1459"/>
      <c r="AL33" s="1459"/>
      <c r="AM33" s="1459"/>
      <c r="AN33" s="1459"/>
      <c r="AO33" s="1459"/>
      <c r="AP33" s="1459"/>
      <c r="AQ33" s="1459"/>
      <c r="AR33" s="1459"/>
      <c r="AS33" s="1459"/>
      <c r="AT33" s="1459"/>
      <c r="AU33" s="20"/>
      <c r="AV33" s="20"/>
      <c r="AW33" s="20"/>
      <c r="AX33" s="20"/>
      <c r="AY33" s="20"/>
      <c r="BD33" s="1247" t="s">
        <v>2595</v>
      </c>
      <c r="BE33" s="1249" t="str">
        <f>Application!D220</f>
        <v>Northern Region: Butte, Marin, Napa, Shasta, Solano, and Sonoma Counties</v>
      </c>
    </row>
    <row r="34" spans="1:57" ht="12.95" customHeight="1">
      <c r="A34" s="1425" t="s">
        <v>2150</v>
      </c>
      <c r="B34" s="1425"/>
      <c r="C34" s="1425"/>
      <c r="D34" s="1425"/>
      <c r="E34" s="1425"/>
      <c r="F34" s="1425"/>
      <c r="G34" s="1425"/>
      <c r="H34" s="1425"/>
      <c r="I34" s="1425"/>
      <c r="J34" s="1425"/>
      <c r="K34" s="1425"/>
      <c r="L34" s="1425"/>
      <c r="M34" s="1425"/>
      <c r="N34" s="1425"/>
      <c r="O34" s="1425"/>
      <c r="P34" s="1425"/>
      <c r="Q34" s="1425"/>
      <c r="R34" s="1425"/>
      <c r="S34" s="1425"/>
      <c r="T34" s="1425"/>
      <c r="U34" s="1425"/>
      <c r="V34" s="1425"/>
      <c r="W34" s="1425"/>
      <c r="X34" s="1425"/>
      <c r="Y34" s="1425"/>
      <c r="Z34" s="1425"/>
      <c r="AA34" s="1425"/>
      <c r="AB34" s="1425"/>
      <c r="AC34" s="1425"/>
      <c r="AD34" s="1425"/>
      <c r="AE34" s="1425"/>
      <c r="AF34" s="1425"/>
      <c r="AG34" s="1425"/>
      <c r="AH34" s="1425"/>
      <c r="AI34" s="1425"/>
      <c r="AJ34" s="1425"/>
      <c r="AK34" s="1425"/>
      <c r="AL34" s="1425"/>
      <c r="AM34" s="1425"/>
      <c r="AN34" s="1425"/>
      <c r="AO34" s="1425"/>
      <c r="AP34" s="1425"/>
      <c r="AQ34" s="1425"/>
      <c r="AR34" s="1425"/>
      <c r="AS34" s="1425"/>
      <c r="AT34" s="1425"/>
      <c r="AU34" s="20"/>
      <c r="AV34" s="20"/>
      <c r="AW34" s="20"/>
      <c r="AX34" s="20"/>
      <c r="AY34" s="20"/>
      <c r="AZ34" s="20"/>
      <c r="BD34" s="1248" t="s">
        <v>2529</v>
      </c>
      <c r="BE34" s="1249" t="str">
        <f>Application!I185</f>
        <v>121, 155, 175, and 197 Marinwood Avenue</v>
      </c>
    </row>
    <row r="35" spans="1:57" ht="12.95" customHeight="1">
      <c r="A35" s="1425"/>
      <c r="B35" s="1425"/>
      <c r="C35" s="1425"/>
      <c r="D35" s="1425"/>
      <c r="E35" s="1425"/>
      <c r="F35" s="1425"/>
      <c r="G35" s="1425"/>
      <c r="H35" s="1425"/>
      <c r="I35" s="1425"/>
      <c r="J35" s="1425"/>
      <c r="K35" s="1425"/>
      <c r="L35" s="1425"/>
      <c r="M35" s="1425"/>
      <c r="N35" s="1425"/>
      <c r="O35" s="1425"/>
      <c r="P35" s="1425"/>
      <c r="Q35" s="1425"/>
      <c r="R35" s="1425"/>
      <c r="S35" s="1425"/>
      <c r="T35" s="1425"/>
      <c r="U35" s="1425"/>
      <c r="V35" s="1425"/>
      <c r="W35" s="1425"/>
      <c r="X35" s="1425"/>
      <c r="Y35" s="1425"/>
      <c r="Z35" s="1425"/>
      <c r="AA35" s="1425"/>
      <c r="AB35" s="1425"/>
      <c r="AC35" s="1425"/>
      <c r="AD35" s="1425"/>
      <c r="AE35" s="1425"/>
      <c r="AF35" s="1425"/>
      <c r="AG35" s="1425"/>
      <c r="AH35" s="1425"/>
      <c r="AI35" s="1425"/>
      <c r="AJ35" s="1425"/>
      <c r="AK35" s="1425"/>
      <c r="AL35" s="1425"/>
      <c r="AM35" s="1425"/>
      <c r="AN35" s="1425"/>
      <c r="AO35" s="1425"/>
      <c r="AP35" s="1425"/>
      <c r="AQ35" s="1425"/>
      <c r="AR35" s="1425"/>
      <c r="AS35" s="1425"/>
      <c r="AT35" s="1425"/>
      <c r="AU35" s="20"/>
      <c r="AV35" s="20"/>
      <c r="AW35" s="20"/>
      <c r="AX35" s="20"/>
      <c r="AY35" s="20"/>
      <c r="AZ35" s="20"/>
      <c r="BD35" s="1247" t="s">
        <v>2530</v>
      </c>
      <c r="BE35" s="1249" t="str">
        <f>IF(Application!E187="","",Application!E187)</f>
        <v/>
      </c>
    </row>
    <row r="36" spans="1:57" ht="12.95" customHeight="1">
      <c r="A36" s="1425"/>
      <c r="B36" s="1425"/>
      <c r="C36" s="1425"/>
      <c r="D36" s="1425"/>
      <c r="E36" s="1425"/>
      <c r="F36" s="1425"/>
      <c r="G36" s="1425"/>
      <c r="H36" s="1425"/>
      <c r="I36" s="1425"/>
      <c r="J36" s="1425"/>
      <c r="K36" s="1425"/>
      <c r="L36" s="1425"/>
      <c r="M36" s="1425"/>
      <c r="N36" s="1425"/>
      <c r="O36" s="1425"/>
      <c r="P36" s="1425"/>
      <c r="Q36" s="1425"/>
      <c r="R36" s="1425"/>
      <c r="S36" s="1425"/>
      <c r="T36" s="1425"/>
      <c r="U36" s="1425"/>
      <c r="V36" s="1425"/>
      <c r="W36" s="1425"/>
      <c r="X36" s="1425"/>
      <c r="Y36" s="1425"/>
      <c r="Z36" s="1425"/>
      <c r="AA36" s="1425"/>
      <c r="AB36" s="1425"/>
      <c r="AC36" s="1425"/>
      <c r="AD36" s="1425"/>
      <c r="AE36" s="1425"/>
      <c r="AF36" s="1425"/>
      <c r="AG36" s="1425"/>
      <c r="AH36" s="1425"/>
      <c r="AI36" s="1425"/>
      <c r="AJ36" s="1425"/>
      <c r="AK36" s="1425"/>
      <c r="AL36" s="1425"/>
      <c r="AM36" s="1425"/>
      <c r="AN36" s="1425"/>
      <c r="AO36" s="1425"/>
      <c r="AP36" s="1425"/>
      <c r="AQ36" s="1425"/>
      <c r="AR36" s="1425"/>
      <c r="AS36" s="1425"/>
      <c r="AT36" s="1425"/>
      <c r="AU36" s="20"/>
      <c r="AV36" s="20"/>
      <c r="AW36" s="20"/>
      <c r="AX36" s="20"/>
      <c r="AY36" s="20"/>
      <c r="AZ36" s="20"/>
      <c r="BD36" s="1248" t="s">
        <v>2531</v>
      </c>
      <c r="BE36" s="1249" t="str">
        <f>Application!I189</f>
        <v xml:space="preserve">San Rafael </v>
      </c>
    </row>
    <row r="37" spans="1:57" ht="12.95" customHeight="1">
      <c r="A37" s="1425"/>
      <c r="B37" s="1425"/>
      <c r="C37" s="1425"/>
      <c r="D37" s="1425"/>
      <c r="E37" s="1425"/>
      <c r="F37" s="1425"/>
      <c r="G37" s="1425"/>
      <c r="H37" s="1425"/>
      <c r="I37" s="1425"/>
      <c r="J37" s="1425"/>
      <c r="K37" s="1425"/>
      <c r="L37" s="1425"/>
      <c r="M37" s="1425"/>
      <c r="N37" s="1425"/>
      <c r="O37" s="1425"/>
      <c r="P37" s="1425"/>
      <c r="Q37" s="1425"/>
      <c r="R37" s="1425"/>
      <c r="S37" s="1425"/>
      <c r="T37" s="1425"/>
      <c r="U37" s="1425"/>
      <c r="V37" s="1425"/>
      <c r="W37" s="1425"/>
      <c r="X37" s="1425"/>
      <c r="Y37" s="1425"/>
      <c r="Z37" s="1425"/>
      <c r="AA37" s="1425"/>
      <c r="AB37" s="1425"/>
      <c r="AC37" s="1425"/>
      <c r="AD37" s="1425"/>
      <c r="AE37" s="1425"/>
      <c r="AF37" s="1425"/>
      <c r="AG37" s="1425"/>
      <c r="AH37" s="1425"/>
      <c r="AI37" s="1425"/>
      <c r="AJ37" s="1425"/>
      <c r="AK37" s="1425"/>
      <c r="AL37" s="1425"/>
      <c r="AM37" s="1425"/>
      <c r="AN37" s="1425"/>
      <c r="AO37" s="1425"/>
      <c r="AP37" s="1425"/>
      <c r="AQ37" s="1425"/>
      <c r="AR37" s="1425"/>
      <c r="AS37" s="1425"/>
      <c r="AT37" s="1425"/>
      <c r="AZ37" s="20"/>
      <c r="BD37" s="1247" t="s">
        <v>2532</v>
      </c>
      <c r="BE37" s="1249" t="str">
        <f>Application!T189</f>
        <v>Marin</v>
      </c>
    </row>
    <row r="38" spans="1:57" ht="12.95" customHeight="1">
      <c r="A38" s="3"/>
      <c r="AZ38" s="20"/>
      <c r="BD38" s="1248" t="s">
        <v>2533</v>
      </c>
      <c r="BE38" s="1249">
        <f>Application!I190</f>
        <v>94903</v>
      </c>
    </row>
    <row r="39" spans="1:57" ht="12.95" customHeight="1">
      <c r="A39" s="1264" t="s">
        <v>2151</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c r="BD39" s="1247" t="s">
        <v>2534</v>
      </c>
      <c r="BE39" s="1249">
        <f>Application!AG437</f>
        <v>125</v>
      </c>
    </row>
    <row r="40" spans="1:57"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c r="BD40" s="1248" t="s">
        <v>383</v>
      </c>
      <c r="BE40" s="1249">
        <f>Application!AG440</f>
        <v>124</v>
      </c>
    </row>
    <row r="41" spans="1:57"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c r="BD41" s="1247" t="s">
        <v>286</v>
      </c>
      <c r="BE41" s="1249">
        <f>Application!AG438</f>
        <v>0</v>
      </c>
    </row>
    <row r="42" spans="1:57"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c r="BD42" s="1248" t="s">
        <v>2535</v>
      </c>
      <c r="BE42" s="1251">
        <f>Application!AC753</f>
        <v>0.57580645161290323</v>
      </c>
    </row>
    <row r="43" spans="1:57"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c r="BD43" s="1247" t="s">
        <v>2536</v>
      </c>
      <c r="BE43" s="1251">
        <f>Application!AH753</f>
        <v>0.57591977964268359</v>
      </c>
    </row>
    <row r="44" spans="1:57"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c r="BD44" s="1248" t="s">
        <v>2537</v>
      </c>
      <c r="BE44" s="1249">
        <f>Application!AC454</f>
        <v>591457.47199999995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2538</v>
      </c>
      <c r="BE45" s="1249">
        <f>Application!AE424</f>
        <v>4</v>
      </c>
    </row>
    <row r="46" spans="1:57" ht="12.95" customHeight="1">
      <c r="A46" s="1294" t="s">
        <v>2152</v>
      </c>
      <c r="B46" s="1294"/>
      <c r="C46" s="1294"/>
      <c r="D46" s="1294"/>
      <c r="E46" s="1294"/>
      <c r="F46" s="1294"/>
      <c r="G46" s="1294"/>
      <c r="H46" s="1294"/>
      <c r="I46" s="1294"/>
      <c r="J46" s="1294"/>
      <c r="K46" s="1294"/>
      <c r="L46" s="1294"/>
      <c r="M46" s="1294"/>
      <c r="N46" s="1294"/>
      <c r="O46" s="1294"/>
      <c r="P46" s="1294"/>
      <c r="Q46" s="1294"/>
      <c r="R46" s="1294"/>
      <c r="S46" s="1294"/>
      <c r="T46" s="1294"/>
      <c r="U46" s="1294"/>
      <c r="V46" s="1294"/>
      <c r="W46" s="1294"/>
      <c r="X46" s="1294"/>
      <c r="Y46" s="1294"/>
      <c r="Z46" s="1294"/>
      <c r="AA46" s="1294"/>
      <c r="AB46" s="1294"/>
      <c r="AC46" s="1294"/>
      <c r="AD46" s="1294"/>
      <c r="AE46" s="1294"/>
      <c r="AF46" s="1294"/>
      <c r="AG46" s="1294"/>
      <c r="AH46" s="1294"/>
      <c r="AI46" s="1294"/>
      <c r="AJ46" s="1294"/>
      <c r="AK46" s="1294"/>
      <c r="AL46" s="1294"/>
      <c r="AM46" s="1294"/>
      <c r="AN46" s="1294"/>
      <c r="AO46" s="1294"/>
      <c r="AP46" s="1294"/>
      <c r="AQ46" s="1294"/>
      <c r="AR46" s="1294"/>
      <c r="AS46" s="1294"/>
      <c r="AT46" s="1294"/>
      <c r="AU46" s="20"/>
      <c r="AV46" s="20"/>
      <c r="AW46" s="20"/>
      <c r="AX46" s="20"/>
      <c r="AY46" s="20"/>
      <c r="AZ46" s="20"/>
      <c r="BD46" s="1248" t="s">
        <v>2539</v>
      </c>
      <c r="BE46" s="1249" t="b">
        <f>Application!T195="Yes"</f>
        <v>1</v>
      </c>
    </row>
    <row r="47" spans="1:57" ht="12.95" customHeight="1">
      <c r="A47" s="1294"/>
      <c r="B47" s="1294"/>
      <c r="C47" s="1294"/>
      <c r="D47" s="1294"/>
      <c r="E47" s="1294"/>
      <c r="F47" s="1294"/>
      <c r="G47" s="1294"/>
      <c r="H47" s="1294"/>
      <c r="I47" s="1294"/>
      <c r="J47" s="1294"/>
      <c r="K47" s="1294"/>
      <c r="L47" s="1294"/>
      <c r="M47" s="1294"/>
      <c r="N47" s="1294"/>
      <c r="O47" s="1294"/>
      <c r="P47" s="1294"/>
      <c r="Q47" s="1294"/>
      <c r="R47" s="1294"/>
      <c r="S47" s="1294"/>
      <c r="T47" s="1294"/>
      <c r="U47" s="1294"/>
      <c r="V47" s="1294"/>
      <c r="W47" s="1294"/>
      <c r="X47" s="1294"/>
      <c r="Y47" s="1294"/>
      <c r="Z47" s="1294"/>
      <c r="AA47" s="1294"/>
      <c r="AB47" s="1294"/>
      <c r="AC47" s="1294"/>
      <c r="AD47" s="1294"/>
      <c r="AE47" s="1294"/>
      <c r="AF47" s="1294"/>
      <c r="AG47" s="1294"/>
      <c r="AH47" s="1294"/>
      <c r="AI47" s="1294"/>
      <c r="AJ47" s="1294"/>
      <c r="AK47" s="1294"/>
      <c r="AL47" s="1294"/>
      <c r="AM47" s="1294"/>
      <c r="AN47" s="1294"/>
      <c r="AO47" s="1294"/>
      <c r="AP47" s="1294"/>
      <c r="AQ47" s="1294"/>
      <c r="AR47" s="1294"/>
      <c r="AS47" s="1294"/>
      <c r="AT47" s="1294"/>
      <c r="AU47" s="20"/>
      <c r="AV47" s="20"/>
      <c r="AW47" s="20"/>
      <c r="AX47" s="20"/>
      <c r="AY47" s="20"/>
      <c r="AZ47" s="20"/>
      <c r="BD47" s="1247" t="s">
        <v>2540</v>
      </c>
      <c r="BE47" s="1249" t="b">
        <f>Application!T196="Yes"</f>
        <v>0</v>
      </c>
    </row>
    <row r="48" spans="1:57" ht="12.95" customHeight="1">
      <c r="A48" s="1294"/>
      <c r="B48" s="1294"/>
      <c r="C48" s="1294"/>
      <c r="D48" s="1294"/>
      <c r="E48" s="1294"/>
      <c r="F48" s="1294"/>
      <c r="G48" s="1294"/>
      <c r="H48" s="1294"/>
      <c r="I48" s="1294"/>
      <c r="J48" s="1294"/>
      <c r="K48" s="1294"/>
      <c r="L48" s="1294"/>
      <c r="M48" s="1294"/>
      <c r="N48" s="1294"/>
      <c r="O48" s="1294"/>
      <c r="P48" s="1294"/>
      <c r="Q48" s="1294"/>
      <c r="R48" s="1294"/>
      <c r="S48" s="1294"/>
      <c r="T48" s="1294"/>
      <c r="U48" s="1294"/>
      <c r="V48" s="1294"/>
      <c r="W48" s="1294"/>
      <c r="X48" s="1294"/>
      <c r="Y48" s="1294"/>
      <c r="Z48" s="1294"/>
      <c r="AA48" s="1294"/>
      <c r="AB48" s="1294"/>
      <c r="AC48" s="1294"/>
      <c r="AD48" s="1294"/>
      <c r="AE48" s="1294"/>
      <c r="AF48" s="1294"/>
      <c r="AG48" s="1294"/>
      <c r="AH48" s="1294"/>
      <c r="AI48" s="1294"/>
      <c r="AJ48" s="1294"/>
      <c r="AK48" s="1294"/>
      <c r="AL48" s="1294"/>
      <c r="AM48" s="1294"/>
      <c r="AN48" s="1294"/>
      <c r="AO48" s="1294"/>
      <c r="AP48" s="1294"/>
      <c r="AQ48" s="1294"/>
      <c r="AR48" s="1294"/>
      <c r="AS48" s="1294"/>
      <c r="AT48" s="1294"/>
      <c r="AU48" s="20"/>
      <c r="AV48" s="20"/>
      <c r="AW48" s="20"/>
      <c r="AX48" s="20"/>
      <c r="AY48" s="20"/>
      <c r="AZ48" s="20"/>
      <c r="BD48" s="1248" t="s">
        <v>2541</v>
      </c>
      <c r="BE48" s="1249" t="str">
        <f>Application!M243</f>
        <v>Marinwood GP, L.L.C.</v>
      </c>
    </row>
    <row r="49" spans="1:57" ht="12.95" customHeight="1">
      <c r="A49" s="1294"/>
      <c r="B49" s="1294"/>
      <c r="C49" s="1294"/>
      <c r="D49" s="1294"/>
      <c r="E49" s="1294"/>
      <c r="F49" s="1294"/>
      <c r="G49" s="1294"/>
      <c r="H49" s="1294"/>
      <c r="I49" s="1294"/>
      <c r="J49" s="1294"/>
      <c r="K49" s="1294"/>
      <c r="L49" s="1294"/>
      <c r="M49" s="1294"/>
      <c r="N49" s="1294"/>
      <c r="O49" s="1294"/>
      <c r="P49" s="1294"/>
      <c r="Q49" s="1294"/>
      <c r="R49" s="1294"/>
      <c r="S49" s="1294"/>
      <c r="T49" s="1294"/>
      <c r="U49" s="1294"/>
      <c r="V49" s="1294"/>
      <c r="W49" s="1294"/>
      <c r="X49" s="1294"/>
      <c r="Y49" s="1294"/>
      <c r="Z49" s="1294"/>
      <c r="AA49" s="1294"/>
      <c r="AB49" s="1294"/>
      <c r="AC49" s="1294"/>
      <c r="AD49" s="1294"/>
      <c r="AE49" s="1294"/>
      <c r="AF49" s="1294"/>
      <c r="AG49" s="1294"/>
      <c r="AH49" s="1294"/>
      <c r="AI49" s="1294"/>
      <c r="AJ49" s="1294"/>
      <c r="AK49" s="1294"/>
      <c r="AL49" s="1294"/>
      <c r="AM49" s="1294"/>
      <c r="AN49" s="1294"/>
      <c r="AO49" s="1294"/>
      <c r="AP49" s="1294"/>
      <c r="AQ49" s="1294"/>
      <c r="AR49" s="1294"/>
      <c r="AS49" s="1294"/>
      <c r="AT49" s="1294"/>
      <c r="AU49" s="20"/>
      <c r="AV49" s="20"/>
      <c r="AW49" s="20"/>
      <c r="AX49" s="20"/>
      <c r="AY49" s="20"/>
      <c r="AZ49" s="20"/>
      <c r="BD49" s="1247" t="s">
        <v>2542</v>
      </c>
      <c r="BE49" s="1249" t="str">
        <f>Application!M246</f>
        <v>Kevin Fitzpatrick</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2543</v>
      </c>
      <c r="BE50" s="1249" t="str">
        <f>Application!AA249</f>
        <v>Impact Residential Development, LLC</v>
      </c>
    </row>
    <row r="51" spans="1:57" ht="12.95" customHeight="1">
      <c r="A51" s="1264" t="s">
        <v>2153</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c r="BD51" s="1247" t="s">
        <v>2544</v>
      </c>
      <c r="BE51" s="1249" t="str">
        <f>Application!M251</f>
        <v>PACH San Jose Holding LLC</v>
      </c>
    </row>
    <row r="52" spans="1:57"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c r="BD52" s="1248" t="s">
        <v>2545</v>
      </c>
      <c r="BE52" s="1249" t="str">
        <f>Application!M254</f>
        <v>Mark Wiese</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2546</v>
      </c>
      <c r="BE53" s="1249" t="str">
        <f>Application!AA257</f>
        <v>Pacific Housing, Inc.</v>
      </c>
    </row>
    <row r="54" spans="1:57" ht="12.95" customHeight="1">
      <c r="A54" s="1264" t="s">
        <v>2154</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c r="BD54" s="1248" t="s">
        <v>2547</v>
      </c>
      <c r="BE54" s="1249">
        <f>Application!M259</f>
        <v>0</v>
      </c>
    </row>
    <row r="55" spans="1:57"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c r="BD55" s="1247" t="s">
        <v>2548</v>
      </c>
      <c r="BE55" s="1249">
        <f>Application!M262</f>
        <v>0</v>
      </c>
    </row>
    <row r="56" spans="1:57"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c r="BD56" s="1248" t="s">
        <v>2549</v>
      </c>
      <c r="BE56" s="1249">
        <f>Application!AA265</f>
        <v>0</v>
      </c>
    </row>
    <row r="57" spans="1:57"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c r="BD57" s="1247" t="s">
        <v>2550</v>
      </c>
      <c r="BE57" s="1249" t="str">
        <f>Application!H287</f>
        <v xml:space="preserve">Impact Residential Development LLC										</v>
      </c>
    </row>
    <row r="58" spans="1:57"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c r="BD58" s="1248" t="s">
        <v>2551</v>
      </c>
      <c r="BE58" s="1249" t="str">
        <f>Application!H288</f>
        <v>2340 Collins Ave.</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2552</v>
      </c>
      <c r="BE59" s="1249" t="str">
        <f>Application!H289</f>
        <v>Miami Florida, 33139</v>
      </c>
    </row>
    <row r="60" spans="1:57" ht="12.95" customHeight="1">
      <c r="A60" s="1264" t="s">
        <v>2155</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c r="BD60" s="1248" t="s">
        <v>2553</v>
      </c>
      <c r="BE60" s="1249" t="str">
        <f>Application!H290</f>
        <v>Kevin Fitzpatrick</v>
      </c>
    </row>
    <row r="61" spans="1:57"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c r="BD61" s="1247" t="s">
        <v>2554</v>
      </c>
      <c r="BE61" s="1249" t="str">
        <f>Application!H293</f>
        <v>kfitzpatrick@impactresidential.com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2555</v>
      </c>
      <c r="BE62" s="1252">
        <f>'Basis &amp; Credits'!AB50</f>
        <v>0.92990706358361153</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2556</v>
      </c>
      <c r="BE64" s="1249" t="str">
        <f>Application!X180</f>
        <v>No</v>
      </c>
    </row>
    <row r="65" spans="1:57" ht="12.95" customHeight="1">
      <c r="A65" s="1424" t="s">
        <v>2157</v>
      </c>
      <c r="B65" s="1424"/>
      <c r="C65" s="1424"/>
      <c r="D65" s="1424"/>
      <c r="E65" s="1424"/>
      <c r="F65" s="1424"/>
      <c r="G65" s="1424"/>
      <c r="H65" s="1424"/>
      <c r="I65" s="1424"/>
      <c r="J65" s="1424"/>
      <c r="K65" s="1424"/>
      <c r="L65" s="1424"/>
      <c r="M65" s="1424"/>
      <c r="N65" s="1424"/>
      <c r="O65" s="1424"/>
      <c r="P65" s="1424"/>
      <c r="Q65" s="1424"/>
      <c r="R65" s="1424"/>
      <c r="S65" s="1424"/>
      <c r="T65" s="1424"/>
      <c r="U65" s="1424"/>
      <c r="V65" s="1424"/>
      <c r="W65" s="1424"/>
      <c r="X65" s="1424"/>
      <c r="Y65" s="1424"/>
      <c r="Z65" s="1424"/>
      <c r="AA65" s="1424"/>
      <c r="AB65" s="1424"/>
      <c r="AC65" s="1424"/>
      <c r="AD65" s="1424"/>
      <c r="AE65" s="1424"/>
      <c r="AF65" s="1424"/>
      <c r="AG65" s="1424"/>
      <c r="AH65" s="1424"/>
      <c r="AI65" s="1424"/>
      <c r="AJ65" s="1424"/>
      <c r="AK65" s="1424"/>
      <c r="AL65" s="1424"/>
      <c r="AM65" s="1424"/>
      <c r="AN65" s="1424"/>
      <c r="AO65" s="1424"/>
      <c r="AP65" s="1424"/>
      <c r="AQ65" s="1424"/>
      <c r="AR65" s="1424"/>
      <c r="AS65" s="1424"/>
      <c r="AT65" s="1424"/>
      <c r="AU65" s="21"/>
      <c r="AV65" s="21"/>
      <c r="AW65" s="21"/>
      <c r="AX65" s="21"/>
      <c r="AY65" s="21"/>
      <c r="AZ65" s="20"/>
      <c r="BD65" s="1247" t="s">
        <v>2592</v>
      </c>
      <c r="BE65" s="1249" t="str">
        <f>Z205</f>
        <v>$500M</v>
      </c>
    </row>
    <row r="66" spans="1:57" ht="12.95" customHeight="1">
      <c r="A66" s="1424"/>
      <c r="B66" s="1424"/>
      <c r="C66" s="1424"/>
      <c r="D66" s="1424"/>
      <c r="E66" s="1424"/>
      <c r="F66" s="1424"/>
      <c r="G66" s="1424"/>
      <c r="H66" s="1424"/>
      <c r="I66" s="1424"/>
      <c r="J66" s="1424"/>
      <c r="K66" s="1424"/>
      <c r="L66" s="1424"/>
      <c r="M66" s="1424"/>
      <c r="N66" s="1424"/>
      <c r="O66" s="1424"/>
      <c r="P66" s="1424"/>
      <c r="Q66" s="1424"/>
      <c r="R66" s="1424"/>
      <c r="S66" s="1424"/>
      <c r="T66" s="1424"/>
      <c r="U66" s="1424"/>
      <c r="V66" s="1424"/>
      <c r="W66" s="1424"/>
      <c r="X66" s="1424"/>
      <c r="Y66" s="1424"/>
      <c r="Z66" s="1424"/>
      <c r="AA66" s="1424"/>
      <c r="AB66" s="1424"/>
      <c r="AC66" s="1424"/>
      <c r="AD66" s="1424"/>
      <c r="AE66" s="1424"/>
      <c r="AF66" s="1424"/>
      <c r="AG66" s="1424"/>
      <c r="AH66" s="1424"/>
      <c r="AI66" s="1424"/>
      <c r="AJ66" s="1424"/>
      <c r="AK66" s="1424"/>
      <c r="AL66" s="1424"/>
      <c r="AM66" s="1424"/>
      <c r="AN66" s="1424"/>
      <c r="AO66" s="1424"/>
      <c r="AP66" s="1424"/>
      <c r="AQ66" s="1424"/>
      <c r="AR66" s="1424"/>
      <c r="AS66" s="1424"/>
      <c r="AT66" s="1424"/>
      <c r="AU66" s="21"/>
      <c r="AV66" s="21"/>
      <c r="AW66" s="21"/>
      <c r="AX66" s="21"/>
      <c r="AY66" s="21"/>
      <c r="AZ66" s="20"/>
      <c r="BD66" s="1248" t="s">
        <v>2557</v>
      </c>
      <c r="BE66" s="1249" t="b">
        <f>Application!Z205="State Farmworker Credit"</f>
        <v>0</v>
      </c>
    </row>
    <row r="67" spans="1:57" ht="12.95" customHeight="1">
      <c r="A67" s="1424"/>
      <c r="B67" s="1424"/>
      <c r="C67" s="1424"/>
      <c r="D67" s="1424"/>
      <c r="E67" s="1424"/>
      <c r="F67" s="1424"/>
      <c r="G67" s="1424"/>
      <c r="H67" s="1424"/>
      <c r="I67" s="1424"/>
      <c r="J67" s="1424"/>
      <c r="K67" s="1424"/>
      <c r="L67" s="1424"/>
      <c r="M67" s="1424"/>
      <c r="N67" s="1424"/>
      <c r="O67" s="1424"/>
      <c r="P67" s="1424"/>
      <c r="Q67" s="1424"/>
      <c r="R67" s="1424"/>
      <c r="S67" s="1424"/>
      <c r="T67" s="1424"/>
      <c r="U67" s="1424"/>
      <c r="V67" s="1424"/>
      <c r="W67" s="1424"/>
      <c r="X67" s="1424"/>
      <c r="Y67" s="1424"/>
      <c r="Z67" s="1424"/>
      <c r="AA67" s="1424"/>
      <c r="AB67" s="1424"/>
      <c r="AC67" s="1424"/>
      <c r="AD67" s="1424"/>
      <c r="AE67" s="1424"/>
      <c r="AF67" s="1424"/>
      <c r="AG67" s="1424"/>
      <c r="AH67" s="1424"/>
      <c r="AI67" s="1424"/>
      <c r="AJ67" s="1424"/>
      <c r="AK67" s="1424"/>
      <c r="AL67" s="1424"/>
      <c r="AM67" s="1424"/>
      <c r="AN67" s="1424"/>
      <c r="AO67" s="1424"/>
      <c r="AP67" s="1424"/>
      <c r="AQ67" s="1424"/>
      <c r="AR67" s="1424"/>
      <c r="AS67" s="1424"/>
      <c r="AT67" s="1424"/>
      <c r="AZ67" s="20"/>
      <c r="BD67" s="1247" t="s">
        <v>2558</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2559</v>
      </c>
      <c r="BE68" s="1249">
        <f>'Sources and Uses Budget'!D105</f>
        <v>150000</v>
      </c>
    </row>
    <row r="69" spans="1:57" ht="12.95" customHeight="1">
      <c r="A69" s="1424" t="s">
        <v>2158</v>
      </c>
      <c r="B69" s="1424"/>
      <c r="C69" s="1424"/>
      <c r="D69" s="1424"/>
      <c r="E69" s="1424"/>
      <c r="F69" s="1424"/>
      <c r="G69" s="1424"/>
      <c r="H69" s="1424"/>
      <c r="I69" s="1424"/>
      <c r="J69" s="1424"/>
      <c r="K69" s="1424"/>
      <c r="L69" s="1424"/>
      <c r="M69" s="1424"/>
      <c r="N69" s="1424"/>
      <c r="O69" s="1424"/>
      <c r="P69" s="1424"/>
      <c r="Q69" s="1424"/>
      <c r="R69" s="1424"/>
      <c r="S69" s="1424"/>
      <c r="T69" s="1424"/>
      <c r="U69" s="1424"/>
      <c r="V69" s="1424"/>
      <c r="W69" s="1424"/>
      <c r="X69" s="1424"/>
      <c r="Y69" s="1424"/>
      <c r="Z69" s="1424"/>
      <c r="AA69" s="1424"/>
      <c r="AB69" s="1424"/>
      <c r="AC69" s="1424"/>
      <c r="AD69" s="1424"/>
      <c r="AE69" s="1424"/>
      <c r="AF69" s="1424"/>
      <c r="AG69" s="1424"/>
      <c r="AH69" s="1424"/>
      <c r="AI69" s="1424"/>
      <c r="AJ69" s="1424"/>
      <c r="AK69" s="1424"/>
      <c r="AL69" s="1424"/>
      <c r="AM69" s="1424"/>
      <c r="AN69" s="1424"/>
      <c r="AO69" s="1424"/>
      <c r="AP69" s="1424"/>
      <c r="AQ69" s="1424"/>
      <c r="AR69" s="1424"/>
      <c r="AS69" s="1424"/>
      <c r="AT69" s="1424"/>
      <c r="AZ69" s="20"/>
      <c r="BD69" s="1247" t="s">
        <v>2560</v>
      </c>
      <c r="BE69" s="1249" t="str">
        <f>Application!W700</f>
        <v xml:space="preserve">CalHFA										</v>
      </c>
    </row>
    <row r="70" spans="1:57" ht="12.95" customHeight="1">
      <c r="A70" s="1424"/>
      <c r="B70" s="1424"/>
      <c r="C70" s="1424"/>
      <c r="D70" s="1424"/>
      <c r="E70" s="1424"/>
      <c r="F70" s="1424"/>
      <c r="G70" s="1424"/>
      <c r="H70" s="1424"/>
      <c r="I70" s="1424"/>
      <c r="J70" s="1424"/>
      <c r="K70" s="1424"/>
      <c r="L70" s="1424"/>
      <c r="M70" s="1424"/>
      <c r="N70" s="1424"/>
      <c r="O70" s="1424"/>
      <c r="P70" s="1424"/>
      <c r="Q70" s="1424"/>
      <c r="R70" s="1424"/>
      <c r="S70" s="1424"/>
      <c r="T70" s="1424"/>
      <c r="U70" s="1424"/>
      <c r="V70" s="1424"/>
      <c r="W70" s="1424"/>
      <c r="X70" s="1424"/>
      <c r="Y70" s="1424"/>
      <c r="Z70" s="1424"/>
      <c r="AA70" s="1424"/>
      <c r="AB70" s="1424"/>
      <c r="AC70" s="1424"/>
      <c r="AD70" s="1424"/>
      <c r="AE70" s="1424"/>
      <c r="AF70" s="1424"/>
      <c r="AG70" s="1424"/>
      <c r="AH70" s="1424"/>
      <c r="AI70" s="1424"/>
      <c r="AJ70" s="1424"/>
      <c r="AK70" s="1424"/>
      <c r="AL70" s="1424"/>
      <c r="AM70" s="1424"/>
      <c r="AN70" s="1424"/>
      <c r="AO70" s="1424"/>
      <c r="AP70" s="1424"/>
      <c r="AQ70" s="1424"/>
      <c r="AR70" s="1424"/>
      <c r="AS70" s="1424"/>
      <c r="AT70" s="1424"/>
      <c r="AU70" s="20"/>
      <c r="AV70" s="20"/>
      <c r="AW70" s="20"/>
      <c r="AX70" s="20"/>
      <c r="AY70" s="20"/>
      <c r="AZ70" s="20"/>
      <c r="BD70" s="1248" t="s">
        <v>2561</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2562</v>
      </c>
      <c r="BE71" s="1249">
        <f>'Points System'!AF804</f>
        <v>0</v>
      </c>
    </row>
    <row r="72" spans="1:57" ht="12.95" customHeight="1">
      <c r="A72" s="1425" t="s">
        <v>2159</v>
      </c>
      <c r="B72" s="1425"/>
      <c r="C72" s="1425"/>
      <c r="D72" s="1425"/>
      <c r="E72" s="1425"/>
      <c r="F72" s="1425"/>
      <c r="G72" s="1425"/>
      <c r="H72" s="1425"/>
      <c r="I72" s="1425"/>
      <c r="J72" s="1425"/>
      <c r="K72" s="1425"/>
      <c r="L72" s="1425"/>
      <c r="M72" s="1425"/>
      <c r="N72" s="1425"/>
      <c r="O72" s="1425"/>
      <c r="P72" s="1425"/>
      <c r="Q72" s="1425"/>
      <c r="R72" s="1425"/>
      <c r="S72" s="1425"/>
      <c r="T72" s="1425"/>
      <c r="U72" s="1425"/>
      <c r="V72" s="1425"/>
      <c r="W72" s="1425"/>
      <c r="X72" s="1425"/>
      <c r="Y72" s="1425"/>
      <c r="Z72" s="1425"/>
      <c r="AA72" s="1425"/>
      <c r="AB72" s="1425"/>
      <c r="AC72" s="1425"/>
      <c r="AD72" s="1425"/>
      <c r="AE72" s="1425"/>
      <c r="AF72" s="1425"/>
      <c r="AG72" s="1425"/>
      <c r="AH72" s="1425"/>
      <c r="AI72" s="1425"/>
      <c r="AJ72" s="1425"/>
      <c r="AK72" s="1425"/>
      <c r="AL72" s="1425"/>
      <c r="AM72" s="1425"/>
      <c r="AN72" s="1425"/>
      <c r="AO72" s="1425"/>
      <c r="AP72" s="1425"/>
      <c r="AQ72" s="1425"/>
      <c r="AR72" s="1425"/>
      <c r="AS72" s="1425"/>
      <c r="AT72" s="1425"/>
      <c r="AU72" s="20"/>
      <c r="AV72" s="20"/>
      <c r="AW72" s="20"/>
      <c r="AX72" s="20"/>
      <c r="AY72" s="20"/>
      <c r="AZ72" s="20"/>
      <c r="BD72" s="1248" t="s">
        <v>2563</v>
      </c>
      <c r="BE72" s="1249">
        <f>'Points System'!AF805</f>
        <v>10</v>
      </c>
    </row>
    <row r="73" spans="1:57" ht="12.95" customHeight="1">
      <c r="A73" s="1425"/>
      <c r="B73" s="1425"/>
      <c r="C73" s="1425"/>
      <c r="D73" s="1425"/>
      <c r="E73" s="1425"/>
      <c r="F73" s="1425"/>
      <c r="G73" s="1425"/>
      <c r="H73" s="1425"/>
      <c r="I73" s="1425"/>
      <c r="J73" s="1425"/>
      <c r="K73" s="1425"/>
      <c r="L73" s="1425"/>
      <c r="M73" s="1425"/>
      <c r="N73" s="1425"/>
      <c r="O73" s="1425"/>
      <c r="P73" s="1425"/>
      <c r="Q73" s="1425"/>
      <c r="R73" s="1425"/>
      <c r="S73" s="1425"/>
      <c r="T73" s="1425"/>
      <c r="U73" s="1425"/>
      <c r="V73" s="1425"/>
      <c r="W73" s="1425"/>
      <c r="X73" s="1425"/>
      <c r="Y73" s="1425"/>
      <c r="Z73" s="1425"/>
      <c r="AA73" s="1425"/>
      <c r="AB73" s="1425"/>
      <c r="AC73" s="1425"/>
      <c r="AD73" s="1425"/>
      <c r="AE73" s="1425"/>
      <c r="AF73" s="1425"/>
      <c r="AG73" s="1425"/>
      <c r="AH73" s="1425"/>
      <c r="AI73" s="1425"/>
      <c r="AJ73" s="1425"/>
      <c r="AK73" s="1425"/>
      <c r="AL73" s="1425"/>
      <c r="AM73" s="1425"/>
      <c r="AN73" s="1425"/>
      <c r="AO73" s="1425"/>
      <c r="AP73" s="1425"/>
      <c r="AQ73" s="1425"/>
      <c r="AR73" s="1425"/>
      <c r="AS73" s="1425"/>
      <c r="AT73" s="1425"/>
      <c r="AU73" s="20"/>
      <c r="AV73" s="20"/>
      <c r="AW73" s="20"/>
      <c r="AX73" s="20"/>
      <c r="AY73" s="20"/>
      <c r="AZ73" s="20"/>
      <c r="BD73" s="1247" t="s">
        <v>2564</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2565</v>
      </c>
      <c r="BE74" s="1249">
        <f>'Points System'!AF807</f>
        <v>10</v>
      </c>
    </row>
    <row r="75" spans="1:57" ht="12.95" customHeight="1">
      <c r="A75" s="1784" t="s">
        <v>2160</v>
      </c>
      <c r="B75" s="1784"/>
      <c r="C75" s="1784"/>
      <c r="D75" s="1784"/>
      <c r="E75" s="1784"/>
      <c r="F75" s="1784"/>
      <c r="G75" s="1784"/>
      <c r="H75" s="1784"/>
      <c r="I75" s="1784"/>
      <c r="J75" s="1784"/>
      <c r="K75" s="1784"/>
      <c r="L75" s="1784"/>
      <c r="M75" s="1784"/>
      <c r="N75" s="1784"/>
      <c r="O75" s="1784"/>
      <c r="P75" s="1784"/>
      <c r="Q75" s="1784"/>
      <c r="R75" s="1784"/>
      <c r="S75" s="1784"/>
      <c r="T75" s="1784"/>
      <c r="U75" s="1784"/>
      <c r="V75" s="1784"/>
      <c r="W75" s="1784"/>
      <c r="X75" s="1784"/>
      <c r="Y75" s="1784"/>
      <c r="Z75" s="1784"/>
      <c r="AA75" s="1784"/>
      <c r="AB75" s="1784"/>
      <c r="AC75" s="1784"/>
      <c r="AD75" s="1784"/>
      <c r="AE75" s="1784"/>
      <c r="AF75" s="1784"/>
      <c r="AG75" s="1784"/>
      <c r="AH75" s="1784"/>
      <c r="AI75" s="1784"/>
      <c r="AJ75" s="1784"/>
      <c r="AK75" s="1784"/>
      <c r="AL75" s="1784"/>
      <c r="AM75" s="1784"/>
      <c r="AN75" s="1784"/>
      <c r="AO75" s="1784"/>
      <c r="AP75" s="1784"/>
      <c r="AQ75" s="1784"/>
      <c r="AR75" s="1784"/>
      <c r="AS75" s="1784"/>
      <c r="AT75" s="1784"/>
      <c r="AU75" s="20"/>
      <c r="AV75" s="20"/>
      <c r="AW75" s="20"/>
      <c r="AX75" s="20"/>
      <c r="AY75" s="20"/>
      <c r="AZ75" s="20"/>
      <c r="BD75" s="1247" t="s">
        <v>2566</v>
      </c>
      <c r="BE75" s="1249">
        <f>'Points System'!AF808</f>
        <v>10</v>
      </c>
    </row>
    <row r="76" spans="1:57" ht="12.95" customHeight="1">
      <c r="A76" s="1784"/>
      <c r="B76" s="1784"/>
      <c r="C76" s="1784"/>
      <c r="D76" s="1784"/>
      <c r="E76" s="1784"/>
      <c r="F76" s="1784"/>
      <c r="G76" s="1784"/>
      <c r="H76" s="1784"/>
      <c r="I76" s="1784"/>
      <c r="J76" s="1784"/>
      <c r="K76" s="1784"/>
      <c r="L76" s="1784"/>
      <c r="M76" s="1784"/>
      <c r="N76" s="1784"/>
      <c r="O76" s="1784"/>
      <c r="P76" s="1784"/>
      <c r="Q76" s="1784"/>
      <c r="R76" s="1784"/>
      <c r="S76" s="1784"/>
      <c r="T76" s="1784"/>
      <c r="U76" s="1784"/>
      <c r="V76" s="1784"/>
      <c r="W76" s="1784"/>
      <c r="X76" s="1784"/>
      <c r="Y76" s="1784"/>
      <c r="Z76" s="1784"/>
      <c r="AA76" s="1784"/>
      <c r="AB76" s="1784"/>
      <c r="AC76" s="1784"/>
      <c r="AD76" s="1784"/>
      <c r="AE76" s="1784"/>
      <c r="AF76" s="1784"/>
      <c r="AG76" s="1784"/>
      <c r="AH76" s="1784"/>
      <c r="AI76" s="1784"/>
      <c r="AJ76" s="1784"/>
      <c r="AK76" s="1784"/>
      <c r="AL76" s="1784"/>
      <c r="AM76" s="1784"/>
      <c r="AN76" s="1784"/>
      <c r="AO76" s="1784"/>
      <c r="AP76" s="1784"/>
      <c r="AQ76" s="1784"/>
      <c r="AR76" s="1784"/>
      <c r="AS76" s="1784"/>
      <c r="AT76" s="1784"/>
      <c r="AU76" s="20"/>
      <c r="AV76" s="20"/>
      <c r="AW76" s="20"/>
      <c r="AX76" s="20"/>
      <c r="AY76" s="20"/>
      <c r="AZ76" s="17"/>
      <c r="BD76" s="1248" t="s">
        <v>2567</v>
      </c>
      <c r="BE76" s="1249">
        <f>'Points System'!AF811</f>
        <v>10</v>
      </c>
    </row>
    <row r="77" spans="1:57" ht="12.95" customHeight="1">
      <c r="A77" s="1784"/>
      <c r="B77" s="1784"/>
      <c r="C77" s="1784"/>
      <c r="D77" s="1784"/>
      <c r="E77" s="1784"/>
      <c r="F77" s="1784"/>
      <c r="G77" s="1784"/>
      <c r="H77" s="1784"/>
      <c r="I77" s="1784"/>
      <c r="J77" s="1784"/>
      <c r="K77" s="1784"/>
      <c r="L77" s="1784"/>
      <c r="M77" s="1784"/>
      <c r="N77" s="1784"/>
      <c r="O77" s="1784"/>
      <c r="P77" s="1784"/>
      <c r="Q77" s="1784"/>
      <c r="R77" s="1784"/>
      <c r="S77" s="1784"/>
      <c r="T77" s="1784"/>
      <c r="U77" s="1784"/>
      <c r="V77" s="1784"/>
      <c r="W77" s="1784"/>
      <c r="X77" s="1784"/>
      <c r="Y77" s="1784"/>
      <c r="Z77" s="1784"/>
      <c r="AA77" s="1784"/>
      <c r="AB77" s="1784"/>
      <c r="AC77" s="1784"/>
      <c r="AD77" s="1784"/>
      <c r="AE77" s="1784"/>
      <c r="AF77" s="1784"/>
      <c r="AG77" s="1784"/>
      <c r="AH77" s="1784"/>
      <c r="AI77" s="1784"/>
      <c r="AJ77" s="1784"/>
      <c r="AK77" s="1784"/>
      <c r="AL77" s="1784"/>
      <c r="AM77" s="1784"/>
      <c r="AN77" s="1784"/>
      <c r="AO77" s="1784"/>
      <c r="AP77" s="1784"/>
      <c r="AQ77" s="1784"/>
      <c r="AR77" s="1784"/>
      <c r="AS77" s="1784"/>
      <c r="AT77" s="1784"/>
      <c r="AU77" s="20"/>
      <c r="AV77" s="20"/>
      <c r="AW77" s="20"/>
      <c r="AX77" s="20"/>
      <c r="AY77" s="20"/>
      <c r="AZ77" s="17"/>
      <c r="BD77" s="1247" t="s">
        <v>2568</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2569</v>
      </c>
      <c r="BE78" s="1249">
        <f>'Points System'!AF814</f>
        <v>10</v>
      </c>
    </row>
    <row r="79" spans="1:57" ht="12.95" customHeight="1">
      <c r="A79" s="1424" t="s">
        <v>2161</v>
      </c>
      <c r="B79" s="1424"/>
      <c r="C79" s="1424"/>
      <c r="D79" s="1424"/>
      <c r="E79" s="1424"/>
      <c r="F79" s="1424"/>
      <c r="G79" s="1424"/>
      <c r="H79" s="1424"/>
      <c r="I79" s="1424"/>
      <c r="J79" s="1424"/>
      <c r="K79" s="1424"/>
      <c r="L79" s="1424"/>
      <c r="M79" s="1424"/>
      <c r="N79" s="1424"/>
      <c r="O79" s="1424"/>
      <c r="P79" s="1424"/>
      <c r="Q79" s="1424"/>
      <c r="R79" s="1424"/>
      <c r="S79" s="1424"/>
      <c r="T79" s="1424"/>
      <c r="U79" s="1424"/>
      <c r="V79" s="1424"/>
      <c r="W79" s="1424"/>
      <c r="X79" s="1424"/>
      <c r="Y79" s="1424"/>
      <c r="Z79" s="1424"/>
      <c r="AA79" s="1424"/>
      <c r="AB79" s="1424"/>
      <c r="AC79" s="1424"/>
      <c r="AD79" s="1424"/>
      <c r="AE79" s="1424"/>
      <c r="AF79" s="1424"/>
      <c r="AG79" s="1424"/>
      <c r="AH79" s="1424"/>
      <c r="AI79" s="1424"/>
      <c r="AJ79" s="1424"/>
      <c r="AK79" s="1424"/>
      <c r="AL79" s="1424"/>
      <c r="AM79" s="1424"/>
      <c r="AN79" s="1424"/>
      <c r="AO79" s="1424"/>
      <c r="AP79" s="1424"/>
      <c r="AQ79" s="1424"/>
      <c r="AR79" s="1424"/>
      <c r="AS79" s="1424"/>
      <c r="AT79" s="1424"/>
      <c r="AU79" s="20"/>
      <c r="AV79" s="20"/>
      <c r="AW79" s="20"/>
      <c r="AX79" s="20"/>
      <c r="AY79" s="20"/>
      <c r="AZ79" s="20"/>
      <c r="BD79" s="1247" t="s">
        <v>2570</v>
      </c>
      <c r="BE79" s="1249">
        <f>'Points System'!AF815</f>
        <v>10</v>
      </c>
    </row>
    <row r="80" spans="1:57" ht="12.95" customHeight="1">
      <c r="A80" s="1424"/>
      <c r="B80" s="1424"/>
      <c r="C80" s="1424"/>
      <c r="D80" s="1424"/>
      <c r="E80" s="1424"/>
      <c r="F80" s="1424"/>
      <c r="G80" s="1424"/>
      <c r="H80" s="1424"/>
      <c r="I80" s="1424"/>
      <c r="J80" s="1424"/>
      <c r="K80" s="1424"/>
      <c r="L80" s="1424"/>
      <c r="M80" s="1424"/>
      <c r="N80" s="1424"/>
      <c r="O80" s="1424"/>
      <c r="P80" s="1424"/>
      <c r="Q80" s="1424"/>
      <c r="R80" s="1424"/>
      <c r="S80" s="1424"/>
      <c r="T80" s="1424"/>
      <c r="U80" s="1424"/>
      <c r="V80" s="1424"/>
      <c r="W80" s="1424"/>
      <c r="X80" s="1424"/>
      <c r="Y80" s="1424"/>
      <c r="Z80" s="1424"/>
      <c r="AA80" s="1424"/>
      <c r="AB80" s="1424"/>
      <c r="AC80" s="1424"/>
      <c r="AD80" s="1424"/>
      <c r="AE80" s="1424"/>
      <c r="AF80" s="1424"/>
      <c r="AG80" s="1424"/>
      <c r="AH80" s="1424"/>
      <c r="AI80" s="1424"/>
      <c r="AJ80" s="1424"/>
      <c r="AK80" s="1424"/>
      <c r="AL80" s="1424"/>
      <c r="AM80" s="1424"/>
      <c r="AN80" s="1424"/>
      <c r="AO80" s="1424"/>
      <c r="AP80" s="1424"/>
      <c r="AQ80" s="1424"/>
      <c r="AR80" s="1424"/>
      <c r="AS80" s="1424"/>
      <c r="AT80" s="1424"/>
      <c r="AU80" s="20"/>
      <c r="AV80" s="20"/>
      <c r="AW80" s="20"/>
      <c r="AX80" s="20"/>
      <c r="AY80" s="20"/>
      <c r="AZ80" s="20"/>
      <c r="BD80" s="1248" t="s">
        <v>2571</v>
      </c>
      <c r="BE80" s="1249">
        <f>'Points System'!AF817</f>
        <v>10</v>
      </c>
    </row>
    <row r="81" spans="1:57" ht="12.95" customHeight="1">
      <c r="A81" s="1424"/>
      <c r="B81" s="1424"/>
      <c r="C81" s="1424"/>
      <c r="D81" s="1424"/>
      <c r="E81" s="1424"/>
      <c r="F81" s="1424"/>
      <c r="G81" s="1424"/>
      <c r="H81" s="1424"/>
      <c r="I81" s="1424"/>
      <c r="J81" s="1424"/>
      <c r="K81" s="1424"/>
      <c r="L81" s="1424"/>
      <c r="M81" s="1424"/>
      <c r="N81" s="1424"/>
      <c r="O81" s="1424"/>
      <c r="P81" s="1424"/>
      <c r="Q81" s="1424"/>
      <c r="R81" s="1424"/>
      <c r="S81" s="1424"/>
      <c r="T81" s="1424"/>
      <c r="U81" s="1424"/>
      <c r="V81" s="1424"/>
      <c r="W81" s="1424"/>
      <c r="X81" s="1424"/>
      <c r="Y81" s="1424"/>
      <c r="Z81" s="1424"/>
      <c r="AA81" s="1424"/>
      <c r="AB81" s="1424"/>
      <c r="AC81" s="1424"/>
      <c r="AD81" s="1424"/>
      <c r="AE81" s="1424"/>
      <c r="AF81" s="1424"/>
      <c r="AG81" s="1424"/>
      <c r="AH81" s="1424"/>
      <c r="AI81" s="1424"/>
      <c r="AJ81" s="1424"/>
      <c r="AK81" s="1424"/>
      <c r="AL81" s="1424"/>
      <c r="AM81" s="1424"/>
      <c r="AN81" s="1424"/>
      <c r="AO81" s="1424"/>
      <c r="AP81" s="1424"/>
      <c r="AQ81" s="1424"/>
      <c r="AR81" s="1424"/>
      <c r="AS81" s="1424"/>
      <c r="AT81" s="1424"/>
      <c r="AU81" s="20"/>
      <c r="AV81" s="20"/>
      <c r="AW81" s="20"/>
      <c r="AX81" s="20"/>
      <c r="AY81" s="20"/>
      <c r="AZ81" s="20"/>
      <c r="BD81" s="1247" t="s">
        <v>2572</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2573</v>
      </c>
      <c r="BE82" s="1249">
        <f>'Points System'!AF819</f>
        <v>10</v>
      </c>
    </row>
    <row r="83" spans="1:57" ht="12.95" customHeight="1">
      <c r="A83" s="1264" t="s">
        <v>2162</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c r="BD83" s="1247" t="s">
        <v>2574</v>
      </c>
      <c r="BE83" s="1253">
        <f>'Tie Breaker'!H5</f>
        <v>1.1716514280936454</v>
      </c>
    </row>
    <row r="84" spans="1:57"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c r="BD84" s="1248" t="s">
        <v>2575</v>
      </c>
      <c r="BE84" s="1249" t="str">
        <f>Application!O153</f>
        <v>County of Marin</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2576</v>
      </c>
      <c r="BE85" s="1249" t="str">
        <f>Application!O154</f>
        <v>Sarah Jones</v>
      </c>
    </row>
    <row r="86" spans="1:57" ht="12.95" customHeight="1">
      <c r="A86" s="1264" t="s">
        <v>2163</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c r="BD86" s="1248" t="s">
        <v>2577</v>
      </c>
      <c r="BE86" s="1249" t="str">
        <f>Application!O155</f>
        <v>City Manager</v>
      </c>
    </row>
    <row r="87" spans="1:57"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c r="BD87" s="1247" t="s">
        <v>2578</v>
      </c>
      <c r="BE87" s="1249" t="str">
        <f>Application!O156</f>
        <v>3501 Civic Center Drive, Suite 308</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2579</v>
      </c>
      <c r="BE88" s="1249" t="str">
        <f>Application!O157</f>
        <v>San Rafael, CA</v>
      </c>
    </row>
    <row r="89" spans="1:57" ht="12.95" customHeight="1">
      <c r="A89" s="1791" t="s">
        <v>2164</v>
      </c>
      <c r="B89" s="1791"/>
      <c r="C89" s="1791"/>
      <c r="D89" s="1791"/>
      <c r="E89" s="1791"/>
      <c r="F89" s="1791"/>
      <c r="G89" s="1791"/>
      <c r="H89" s="1791"/>
      <c r="I89" s="1791"/>
      <c r="J89" s="1791"/>
      <c r="K89" s="1791"/>
      <c r="L89" s="1791"/>
      <c r="M89" s="1791"/>
      <c r="N89" s="1791"/>
      <c r="O89" s="1791"/>
      <c r="P89" s="1791"/>
      <c r="Q89" s="1791"/>
      <c r="R89" s="1791"/>
      <c r="S89" s="1791"/>
      <c r="T89" s="1791"/>
      <c r="U89" s="1791"/>
      <c r="V89" s="1791"/>
      <c r="W89" s="1791"/>
      <c r="X89" s="1791"/>
      <c r="Y89" s="1791"/>
      <c r="Z89" s="1791"/>
      <c r="AA89" s="1791"/>
      <c r="AB89" s="1791"/>
      <c r="AC89" s="1791"/>
      <c r="AD89" s="1791"/>
      <c r="AE89" s="1791"/>
      <c r="AF89" s="1791"/>
      <c r="AG89" s="1791"/>
      <c r="AH89" s="1791"/>
      <c r="AI89" s="1791"/>
      <c r="AJ89" s="1791"/>
      <c r="AK89" s="1791"/>
      <c r="AL89" s="1791"/>
      <c r="AM89" s="1791"/>
      <c r="AN89" s="1791"/>
      <c r="AO89" s="1791"/>
      <c r="AP89" s="1791"/>
      <c r="AQ89" s="1791"/>
      <c r="AR89" s="1791"/>
      <c r="AS89" s="1791"/>
      <c r="AT89" s="1791"/>
      <c r="AU89" s="17"/>
      <c r="AV89" s="17"/>
      <c r="AW89" s="17"/>
      <c r="AX89" s="17"/>
      <c r="AY89" s="17"/>
      <c r="AZ89" s="20"/>
      <c r="BD89" s="1247" t="s">
        <v>2580</v>
      </c>
      <c r="BE89" s="1249">
        <f>Application!O158</f>
        <v>94903</v>
      </c>
    </row>
    <row r="90" spans="1:57" ht="12.95" customHeight="1">
      <c r="A90" s="1791"/>
      <c r="B90" s="1791"/>
      <c r="C90" s="1791"/>
      <c r="D90" s="1791"/>
      <c r="E90" s="1791"/>
      <c r="F90" s="1791"/>
      <c r="G90" s="1791"/>
      <c r="H90" s="1791"/>
      <c r="I90" s="1791"/>
      <c r="J90" s="1791"/>
      <c r="K90" s="1791"/>
      <c r="L90" s="1791"/>
      <c r="M90" s="1791"/>
      <c r="N90" s="1791"/>
      <c r="O90" s="1791"/>
      <c r="P90" s="1791"/>
      <c r="Q90" s="1791"/>
      <c r="R90" s="1791"/>
      <c r="S90" s="1791"/>
      <c r="T90" s="1791"/>
      <c r="U90" s="1791"/>
      <c r="V90" s="1791"/>
      <c r="W90" s="1791"/>
      <c r="X90" s="1791"/>
      <c r="Y90" s="1791"/>
      <c r="Z90" s="1791"/>
      <c r="AA90" s="1791"/>
      <c r="AB90" s="1791"/>
      <c r="AC90" s="1791"/>
      <c r="AD90" s="1791"/>
      <c r="AE90" s="1791"/>
      <c r="AF90" s="1791"/>
      <c r="AG90" s="1791"/>
      <c r="AH90" s="1791"/>
      <c r="AI90" s="1791"/>
      <c r="AJ90" s="1791"/>
      <c r="AK90" s="1791"/>
      <c r="AL90" s="1791"/>
      <c r="AM90" s="1791"/>
      <c r="AN90" s="1791"/>
      <c r="AO90" s="1791"/>
      <c r="AP90" s="1791"/>
      <c r="AQ90" s="1791"/>
      <c r="AR90" s="1791"/>
      <c r="AS90" s="1791"/>
      <c r="AT90" s="1791"/>
      <c r="AU90" s="17"/>
      <c r="AV90" s="17"/>
      <c r="AW90" s="17"/>
      <c r="AX90" s="17"/>
      <c r="AY90" s="17"/>
      <c r="AZ90" s="20"/>
      <c r="BD90" s="1248" t="s">
        <v>2581</v>
      </c>
      <c r="BE90" s="1249" t="str">
        <f>Application!H16</f>
        <v>Marinwood Propco,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2582</v>
      </c>
      <c r="BE91" s="1249" t="str">
        <f>Application!M233</f>
        <v xml:space="preserve">2340 Collins Ave.																		</v>
      </c>
    </row>
    <row r="92" spans="1:57" ht="12.95" customHeight="1">
      <c r="A92" s="1784" t="s">
        <v>2165</v>
      </c>
      <c r="B92" s="1784"/>
      <c r="C92" s="1784"/>
      <c r="D92" s="1784"/>
      <c r="E92" s="1784"/>
      <c r="F92" s="1784"/>
      <c r="G92" s="1784"/>
      <c r="H92" s="1784"/>
      <c r="I92" s="1784"/>
      <c r="J92" s="1784"/>
      <c r="K92" s="1784"/>
      <c r="L92" s="1784"/>
      <c r="M92" s="1784"/>
      <c r="N92" s="1784"/>
      <c r="O92" s="1784"/>
      <c r="P92" s="1784"/>
      <c r="Q92" s="1784"/>
      <c r="R92" s="1784"/>
      <c r="S92" s="1784"/>
      <c r="T92" s="1784"/>
      <c r="U92" s="1784"/>
      <c r="V92" s="1784"/>
      <c r="W92" s="1784"/>
      <c r="X92" s="1784"/>
      <c r="Y92" s="1784"/>
      <c r="Z92" s="1784"/>
      <c r="AA92" s="1784"/>
      <c r="AB92" s="1784"/>
      <c r="AC92" s="1784"/>
      <c r="AD92" s="1784"/>
      <c r="AE92" s="1784"/>
      <c r="AF92" s="1784"/>
      <c r="AG92" s="1784"/>
      <c r="AH92" s="1784"/>
      <c r="AI92" s="1784"/>
      <c r="AJ92" s="1784"/>
      <c r="AK92" s="1784"/>
      <c r="AL92" s="1784"/>
      <c r="AM92" s="1784"/>
      <c r="AN92" s="1784"/>
      <c r="AO92" s="1784"/>
      <c r="AP92" s="1784"/>
      <c r="AQ92" s="1784"/>
      <c r="AR92" s="1784"/>
      <c r="AS92" s="1784"/>
      <c r="AT92" s="1784"/>
      <c r="AU92" s="20"/>
      <c r="AV92" s="20"/>
      <c r="AW92" s="20"/>
      <c r="AX92" s="20"/>
      <c r="AY92" s="20"/>
      <c r="AZ92" s="20"/>
      <c r="BD92" s="1248" t="s">
        <v>2583</v>
      </c>
      <c r="BE92" s="1249" t="str">
        <f>Application!M234</f>
        <v>Miami</v>
      </c>
    </row>
    <row r="93" spans="1:57" ht="12.95" customHeight="1">
      <c r="A93" s="1784"/>
      <c r="B93" s="1784"/>
      <c r="C93" s="1784"/>
      <c r="D93" s="1784"/>
      <c r="E93" s="1784"/>
      <c r="F93" s="1784"/>
      <c r="G93" s="1784"/>
      <c r="H93" s="1784"/>
      <c r="I93" s="1784"/>
      <c r="J93" s="1784"/>
      <c r="K93" s="1784"/>
      <c r="L93" s="1784"/>
      <c r="M93" s="1784"/>
      <c r="N93" s="1784"/>
      <c r="O93" s="1784"/>
      <c r="P93" s="1784"/>
      <c r="Q93" s="1784"/>
      <c r="R93" s="1784"/>
      <c r="S93" s="1784"/>
      <c r="T93" s="1784"/>
      <c r="U93" s="1784"/>
      <c r="V93" s="1784"/>
      <c r="W93" s="1784"/>
      <c r="X93" s="1784"/>
      <c r="Y93" s="1784"/>
      <c r="Z93" s="1784"/>
      <c r="AA93" s="1784"/>
      <c r="AB93" s="1784"/>
      <c r="AC93" s="1784"/>
      <c r="AD93" s="1784"/>
      <c r="AE93" s="1784"/>
      <c r="AF93" s="1784"/>
      <c r="AG93" s="1784"/>
      <c r="AH93" s="1784"/>
      <c r="AI93" s="1784"/>
      <c r="AJ93" s="1784"/>
      <c r="AK93" s="1784"/>
      <c r="AL93" s="1784"/>
      <c r="AM93" s="1784"/>
      <c r="AN93" s="1784"/>
      <c r="AO93" s="1784"/>
      <c r="AP93" s="1784"/>
      <c r="AQ93" s="1784"/>
      <c r="AR93" s="1784"/>
      <c r="AS93" s="1784"/>
      <c r="AT93" s="1784"/>
      <c r="AU93" s="20"/>
      <c r="AV93" s="20"/>
      <c r="AW93" s="20"/>
      <c r="AX93" s="20"/>
      <c r="AY93" s="20"/>
      <c r="AZ93" s="20"/>
      <c r="BD93" s="1247" t="s">
        <v>2584</v>
      </c>
      <c r="BE93" s="1249" t="str">
        <f>Application!W234</f>
        <v>FL</v>
      </c>
    </row>
    <row r="94" spans="1:57" ht="12.95" customHeight="1">
      <c r="A94" s="1784"/>
      <c r="B94" s="1784"/>
      <c r="C94" s="1784"/>
      <c r="D94" s="1784"/>
      <c r="E94" s="1784"/>
      <c r="F94" s="1784"/>
      <c r="G94" s="1784"/>
      <c r="H94" s="1784"/>
      <c r="I94" s="1784"/>
      <c r="J94" s="1784"/>
      <c r="K94" s="1784"/>
      <c r="L94" s="1784"/>
      <c r="M94" s="1784"/>
      <c r="N94" s="1784"/>
      <c r="O94" s="1784"/>
      <c r="P94" s="1784"/>
      <c r="Q94" s="1784"/>
      <c r="R94" s="1784"/>
      <c r="S94" s="1784"/>
      <c r="T94" s="1784"/>
      <c r="U94" s="1784"/>
      <c r="V94" s="1784"/>
      <c r="W94" s="1784"/>
      <c r="X94" s="1784"/>
      <c r="Y94" s="1784"/>
      <c r="Z94" s="1784"/>
      <c r="AA94" s="1784"/>
      <c r="AB94" s="1784"/>
      <c r="AC94" s="1784"/>
      <c r="AD94" s="1784"/>
      <c r="AE94" s="1784"/>
      <c r="AF94" s="1784"/>
      <c r="AG94" s="1784"/>
      <c r="AH94" s="1784"/>
      <c r="AI94" s="1784"/>
      <c r="AJ94" s="1784"/>
      <c r="AK94" s="1784"/>
      <c r="AL94" s="1784"/>
      <c r="AM94" s="1784"/>
      <c r="AN94" s="1784"/>
      <c r="AO94" s="1784"/>
      <c r="AP94" s="1784"/>
      <c r="AQ94" s="1784"/>
      <c r="AR94" s="1784"/>
      <c r="AS94" s="1784"/>
      <c r="AT94" s="1784"/>
      <c r="AU94" s="20"/>
      <c r="AV94" s="20"/>
      <c r="AW94" s="20"/>
      <c r="AX94" s="20"/>
      <c r="AY94" s="20"/>
      <c r="AZ94" s="20"/>
      <c r="BD94" s="1248" t="s">
        <v>2585</v>
      </c>
      <c r="BE94" s="1249">
        <f>Application!AC234</f>
        <v>33139</v>
      </c>
    </row>
    <row r="95" spans="1:57" ht="12.95" customHeight="1">
      <c r="A95" s="1784"/>
      <c r="B95" s="1784"/>
      <c r="C95" s="1784"/>
      <c r="D95" s="1784"/>
      <c r="E95" s="1784"/>
      <c r="F95" s="1784"/>
      <c r="G95" s="1784"/>
      <c r="H95" s="1784"/>
      <c r="I95" s="1784"/>
      <c r="J95" s="1784"/>
      <c r="K95" s="1784"/>
      <c r="L95" s="1784"/>
      <c r="M95" s="1784"/>
      <c r="N95" s="1784"/>
      <c r="O95" s="1784"/>
      <c r="P95" s="1784"/>
      <c r="Q95" s="1784"/>
      <c r="R95" s="1784"/>
      <c r="S95" s="1784"/>
      <c r="T95" s="1784"/>
      <c r="U95" s="1784"/>
      <c r="V95" s="1784"/>
      <c r="W95" s="1784"/>
      <c r="X95" s="1784"/>
      <c r="Y95" s="1784"/>
      <c r="Z95" s="1784"/>
      <c r="AA95" s="1784"/>
      <c r="AB95" s="1784"/>
      <c r="AC95" s="1784"/>
      <c r="AD95" s="1784"/>
      <c r="AE95" s="1784"/>
      <c r="AF95" s="1784"/>
      <c r="AG95" s="1784"/>
      <c r="AH95" s="1784"/>
      <c r="AI95" s="1784"/>
      <c r="AJ95" s="1784"/>
      <c r="AK95" s="1784"/>
      <c r="AL95" s="1784"/>
      <c r="AM95" s="1784"/>
      <c r="AN95" s="1784"/>
      <c r="AO95" s="1784"/>
      <c r="AP95" s="1784"/>
      <c r="AQ95" s="1784"/>
      <c r="AR95" s="1784"/>
      <c r="AS95" s="1784"/>
      <c r="AT95" s="1784"/>
      <c r="AU95" s="20"/>
      <c r="AV95" s="20"/>
      <c r="AW95" s="20"/>
      <c r="AX95" s="20"/>
      <c r="AY95" s="20"/>
      <c r="AZ95" s="20"/>
      <c r="BD95" s="1247" t="s">
        <v>2586</v>
      </c>
      <c r="BE95" s="1249" t="str">
        <f>Application!M235</f>
        <v>Jessica Mullins</v>
      </c>
    </row>
    <row r="96" spans="1:57" ht="12.95" customHeight="1">
      <c r="A96" s="1784"/>
      <c r="B96" s="1784"/>
      <c r="C96" s="1784"/>
      <c r="D96" s="1784"/>
      <c r="E96" s="1784"/>
      <c r="F96" s="1784"/>
      <c r="G96" s="1784"/>
      <c r="H96" s="1784"/>
      <c r="I96" s="1784"/>
      <c r="J96" s="1784"/>
      <c r="K96" s="1784"/>
      <c r="L96" s="1784"/>
      <c r="M96" s="1784"/>
      <c r="N96" s="1784"/>
      <c r="O96" s="1784"/>
      <c r="P96" s="1784"/>
      <c r="Q96" s="1784"/>
      <c r="R96" s="1784"/>
      <c r="S96" s="1784"/>
      <c r="T96" s="1784"/>
      <c r="U96" s="1784"/>
      <c r="V96" s="1784"/>
      <c r="W96" s="1784"/>
      <c r="X96" s="1784"/>
      <c r="Y96" s="1784"/>
      <c r="Z96" s="1784"/>
      <c r="AA96" s="1784"/>
      <c r="AB96" s="1784"/>
      <c r="AC96" s="1784"/>
      <c r="AD96" s="1784"/>
      <c r="AE96" s="1784"/>
      <c r="AF96" s="1784"/>
      <c r="AG96" s="1784"/>
      <c r="AH96" s="1784"/>
      <c r="AI96" s="1784"/>
      <c r="AJ96" s="1784"/>
      <c r="AK96" s="1784"/>
      <c r="AL96" s="1784"/>
      <c r="AM96" s="1784"/>
      <c r="AN96" s="1784"/>
      <c r="AO96" s="1784"/>
      <c r="AP96" s="1784"/>
      <c r="AQ96" s="1784"/>
      <c r="AR96" s="1784"/>
      <c r="AS96" s="1784"/>
      <c r="AT96" s="1784"/>
      <c r="AU96" s="20"/>
      <c r="AV96" s="20"/>
      <c r="AW96" s="20"/>
      <c r="AX96" s="20"/>
      <c r="AY96" s="20"/>
      <c r="AZ96" s="20"/>
      <c r="BD96" s="1248" t="s">
        <v>2587</v>
      </c>
      <c r="BE96" s="1249" t="str">
        <f>Application!M237</f>
        <v>jmullins@impactresidential.com</v>
      </c>
    </row>
    <row r="97" spans="1:57" ht="12.95" customHeight="1">
      <c r="A97" s="1784"/>
      <c r="B97" s="1784"/>
      <c r="C97" s="1784"/>
      <c r="D97" s="1784"/>
      <c r="E97" s="1784"/>
      <c r="F97" s="1784"/>
      <c r="G97" s="1784"/>
      <c r="H97" s="1784"/>
      <c r="I97" s="1784"/>
      <c r="J97" s="1784"/>
      <c r="K97" s="1784"/>
      <c r="L97" s="1784"/>
      <c r="M97" s="1784"/>
      <c r="N97" s="1784"/>
      <c r="O97" s="1784"/>
      <c r="P97" s="1784"/>
      <c r="Q97" s="1784"/>
      <c r="R97" s="1784"/>
      <c r="S97" s="1784"/>
      <c r="T97" s="1784"/>
      <c r="U97" s="1784"/>
      <c r="V97" s="1784"/>
      <c r="W97" s="1784"/>
      <c r="X97" s="1784"/>
      <c r="Y97" s="1784"/>
      <c r="Z97" s="1784"/>
      <c r="AA97" s="1784"/>
      <c r="AB97" s="1784"/>
      <c r="AC97" s="1784"/>
      <c r="AD97" s="1784"/>
      <c r="AE97" s="1784"/>
      <c r="AF97" s="1784"/>
      <c r="AG97" s="1784"/>
      <c r="AH97" s="1784"/>
      <c r="AI97" s="1784"/>
      <c r="AJ97" s="1784"/>
      <c r="AK97" s="1784"/>
      <c r="AL97" s="1784"/>
      <c r="AM97" s="1784"/>
      <c r="AN97" s="1784"/>
      <c r="AO97" s="1784"/>
      <c r="AP97" s="1784"/>
      <c r="AQ97" s="1784"/>
      <c r="AR97" s="1784"/>
      <c r="AS97" s="1784"/>
      <c r="AT97" s="1784"/>
      <c r="AU97" s="20"/>
      <c r="AV97" s="20"/>
      <c r="AW97" s="20"/>
      <c r="AX97" s="20"/>
      <c r="AY97" s="20"/>
      <c r="AZ97" s="20"/>
      <c r="BD97" s="1247" t="s">
        <v>2588</v>
      </c>
      <c r="BE97" s="1249" t="str">
        <f>Application!M248</f>
        <v>kfitzpatrick@impactresidential.com</v>
      </c>
    </row>
    <row r="98" spans="1:57" ht="12.95" customHeight="1">
      <c r="A98" s="1784"/>
      <c r="B98" s="1784"/>
      <c r="C98" s="1784"/>
      <c r="D98" s="1784"/>
      <c r="E98" s="1784"/>
      <c r="F98" s="1784"/>
      <c r="G98" s="1784"/>
      <c r="H98" s="1784"/>
      <c r="I98" s="1784"/>
      <c r="J98" s="1784"/>
      <c r="K98" s="1784"/>
      <c r="L98" s="1784"/>
      <c r="M98" s="1784"/>
      <c r="N98" s="1784"/>
      <c r="O98" s="1784"/>
      <c r="P98" s="1784"/>
      <c r="Q98" s="1784"/>
      <c r="R98" s="1784"/>
      <c r="S98" s="1784"/>
      <c r="T98" s="1784"/>
      <c r="U98" s="1784"/>
      <c r="V98" s="1784"/>
      <c r="W98" s="1784"/>
      <c r="X98" s="1784"/>
      <c r="Y98" s="1784"/>
      <c r="Z98" s="1784"/>
      <c r="AA98" s="1784"/>
      <c r="AB98" s="1784"/>
      <c r="AC98" s="1784"/>
      <c r="AD98" s="1784"/>
      <c r="AE98" s="1784"/>
      <c r="AF98" s="1784"/>
      <c r="AG98" s="1784"/>
      <c r="AH98" s="1784"/>
      <c r="AI98" s="1784"/>
      <c r="AJ98" s="1784"/>
      <c r="AK98" s="1784"/>
      <c r="AL98" s="1784"/>
      <c r="AM98" s="1784"/>
      <c r="AN98" s="1784"/>
      <c r="AO98" s="1784"/>
      <c r="AP98" s="1784"/>
      <c r="AQ98" s="1784"/>
      <c r="AR98" s="1784"/>
      <c r="AS98" s="1784"/>
      <c r="AT98" s="1784"/>
      <c r="AU98" s="20"/>
      <c r="AV98" s="20"/>
      <c r="AW98" s="20"/>
      <c r="AX98" s="20"/>
      <c r="AY98" s="20"/>
      <c r="AZ98" s="20"/>
      <c r="BD98" s="1248" t="s">
        <v>2589</v>
      </c>
      <c r="BE98" s="1249" t="str">
        <f>Application!M256</f>
        <v>mwiese@pacifichousing.org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2590</v>
      </c>
      <c r="BE99" s="1249">
        <f>Application!M264</f>
        <v>0</v>
      </c>
    </row>
    <row r="100" spans="1:57" ht="12.95" customHeight="1">
      <c r="A100" s="1792" t="s">
        <v>2166</v>
      </c>
      <c r="B100" s="1792"/>
      <c r="C100" s="1792"/>
      <c r="D100" s="1792"/>
      <c r="E100" s="1792"/>
      <c r="F100" s="1792"/>
      <c r="G100" s="1792"/>
      <c r="H100" s="1792"/>
      <c r="I100" s="1792"/>
      <c r="J100" s="1792"/>
      <c r="K100" s="1792"/>
      <c r="L100" s="1792"/>
      <c r="M100" s="1792"/>
      <c r="N100" s="1792"/>
      <c r="O100" s="1792"/>
      <c r="P100" s="1792"/>
      <c r="Q100" s="1792"/>
      <c r="R100" s="1792"/>
      <c r="S100" s="1792"/>
      <c r="T100" s="1792"/>
      <c r="U100" s="1792"/>
      <c r="V100" s="1792"/>
      <c r="W100" s="1792"/>
      <c r="X100" s="1792"/>
      <c r="Y100" s="1792"/>
      <c r="Z100" s="1792"/>
      <c r="AA100" s="1792"/>
      <c r="AB100" s="1792"/>
      <c r="AC100" s="1792"/>
      <c r="AD100" s="1792"/>
      <c r="AE100" s="1792"/>
      <c r="AF100" s="1792"/>
      <c r="AG100" s="1792"/>
      <c r="AH100" s="1792"/>
      <c r="AI100" s="1792"/>
      <c r="AJ100" s="1792"/>
      <c r="AK100" s="1792"/>
      <c r="AL100" s="1792"/>
      <c r="AM100" s="1792"/>
      <c r="AN100" s="1792"/>
      <c r="AO100" s="1792"/>
      <c r="AP100" s="1792"/>
      <c r="AQ100" s="1792"/>
      <c r="AR100" s="1792"/>
      <c r="AS100" s="1792"/>
      <c r="AT100" s="1792"/>
      <c r="AU100" s="20"/>
      <c r="AV100" s="20"/>
      <c r="AW100" s="20"/>
      <c r="AX100" s="20"/>
      <c r="AY100" s="20"/>
      <c r="AZ100" s="20"/>
      <c r="BD100" s="1248" t="s">
        <v>2591</v>
      </c>
      <c r="BE100" s="1249" t="str">
        <f>Application!L279</f>
        <v>Jack@tableaudev.com</v>
      </c>
    </row>
    <row r="101" spans="1:57" ht="12.95" customHeight="1">
      <c r="A101" s="1792"/>
      <c r="B101" s="1792"/>
      <c r="C101" s="1792"/>
      <c r="D101" s="1792"/>
      <c r="E101" s="1792"/>
      <c r="F101" s="1792"/>
      <c r="G101" s="1792"/>
      <c r="H101" s="1792"/>
      <c r="I101" s="1792"/>
      <c r="J101" s="1792"/>
      <c r="K101" s="1792"/>
      <c r="L101" s="1792"/>
      <c r="M101" s="1792"/>
      <c r="N101" s="1792"/>
      <c r="O101" s="1792"/>
      <c r="P101" s="1792"/>
      <c r="Q101" s="1792"/>
      <c r="R101" s="1792"/>
      <c r="S101" s="1792"/>
      <c r="T101" s="1792"/>
      <c r="U101" s="1792"/>
      <c r="V101" s="1792"/>
      <c r="W101" s="1792"/>
      <c r="X101" s="1792"/>
      <c r="Y101" s="1792"/>
      <c r="Z101" s="1792"/>
      <c r="AA101" s="1792"/>
      <c r="AB101" s="1792"/>
      <c r="AC101" s="1792"/>
      <c r="AD101" s="1792"/>
      <c r="AE101" s="1792"/>
      <c r="AF101" s="1792"/>
      <c r="AG101" s="1792"/>
      <c r="AH101" s="1792"/>
      <c r="AI101" s="1792"/>
      <c r="AJ101" s="1792"/>
      <c r="AK101" s="1792"/>
      <c r="AL101" s="1792"/>
      <c r="AM101" s="1792"/>
      <c r="AN101" s="1792"/>
      <c r="AO101" s="1792"/>
      <c r="AP101" s="1792"/>
      <c r="AQ101" s="1792"/>
      <c r="AR101" s="1792"/>
      <c r="AS101" s="1792"/>
      <c r="AT101" s="1792"/>
      <c r="AU101" s="20"/>
      <c r="AV101" s="20"/>
      <c r="AW101" s="20"/>
      <c r="AX101" s="20"/>
      <c r="AY101" s="20"/>
      <c r="AZ101" s="20"/>
      <c r="BD101" s="3" t="s">
        <v>2596</v>
      </c>
      <c r="BE101">
        <f>'Sources and Uses Budget'!C105</f>
        <v>73782184</v>
      </c>
    </row>
    <row r="102" spans="1:57" ht="12.95" customHeight="1">
      <c r="A102" s="1792"/>
      <c r="B102" s="1792"/>
      <c r="C102" s="1792"/>
      <c r="D102" s="1792"/>
      <c r="E102" s="1792"/>
      <c r="F102" s="1792"/>
      <c r="G102" s="1792"/>
      <c r="H102" s="1792"/>
      <c r="I102" s="1792"/>
      <c r="J102" s="1792"/>
      <c r="K102" s="1792"/>
      <c r="L102" s="1792"/>
      <c r="M102" s="1792"/>
      <c r="N102" s="1792"/>
      <c r="O102" s="1792"/>
      <c r="P102" s="1792"/>
      <c r="Q102" s="1792"/>
      <c r="R102" s="1792"/>
      <c r="S102" s="1792"/>
      <c r="T102" s="1792"/>
      <c r="U102" s="1792"/>
      <c r="V102" s="1792"/>
      <c r="W102" s="1792"/>
      <c r="X102" s="1792"/>
      <c r="Y102" s="1792"/>
      <c r="Z102" s="1792"/>
      <c r="AA102" s="1792"/>
      <c r="AB102" s="1792"/>
      <c r="AC102" s="1792"/>
      <c r="AD102" s="1792"/>
      <c r="AE102" s="1792"/>
      <c r="AF102" s="1792"/>
      <c r="AG102" s="1792"/>
      <c r="AH102" s="1792"/>
      <c r="AI102" s="1792"/>
      <c r="AJ102" s="1792"/>
      <c r="AK102" s="1792"/>
      <c r="AL102" s="1792"/>
      <c r="AM102" s="1792"/>
      <c r="AN102" s="1792"/>
      <c r="AO102" s="1792"/>
      <c r="AP102" s="1792"/>
      <c r="AQ102" s="1792"/>
      <c r="AR102" s="1792"/>
      <c r="AS102" s="1792"/>
      <c r="AT102" s="1792"/>
      <c r="AU102" s="20"/>
      <c r="AV102" s="20"/>
      <c r="AW102" s="20"/>
      <c r="AX102" s="20"/>
      <c r="AY102" s="20"/>
      <c r="AZ102" s="20"/>
      <c r="BD102" s="3" t="s">
        <v>2597</v>
      </c>
      <c r="BE102" t="b">
        <f>T197="Yes"</f>
        <v>0</v>
      </c>
    </row>
    <row r="103" spans="1:57" ht="12.95" customHeight="1">
      <c r="A103" s="1792"/>
      <c r="B103" s="1792"/>
      <c r="C103" s="1792"/>
      <c r="D103" s="1792"/>
      <c r="E103" s="1792"/>
      <c r="F103" s="1792"/>
      <c r="G103" s="1792"/>
      <c r="H103" s="1792"/>
      <c r="I103" s="1792"/>
      <c r="J103" s="1792"/>
      <c r="K103" s="1792"/>
      <c r="L103" s="1792"/>
      <c r="M103" s="1792"/>
      <c r="N103" s="1792"/>
      <c r="O103" s="1792"/>
      <c r="P103" s="1792"/>
      <c r="Q103" s="1792"/>
      <c r="R103" s="1792"/>
      <c r="S103" s="1792"/>
      <c r="T103" s="1792"/>
      <c r="U103" s="1792"/>
      <c r="V103" s="1792"/>
      <c r="W103" s="1792"/>
      <c r="X103" s="1792"/>
      <c r="Y103" s="1792"/>
      <c r="Z103" s="1792"/>
      <c r="AA103" s="1792"/>
      <c r="AB103" s="1792"/>
      <c r="AC103" s="1792"/>
      <c r="AD103" s="1792"/>
      <c r="AE103" s="1792"/>
      <c r="AF103" s="1792"/>
      <c r="AG103" s="1792"/>
      <c r="AH103" s="1792"/>
      <c r="AI103" s="1792"/>
      <c r="AJ103" s="1792"/>
      <c r="AK103" s="1792"/>
      <c r="AL103" s="1792"/>
      <c r="AM103" s="1792"/>
      <c r="AN103" s="1792"/>
      <c r="AO103" s="1792"/>
      <c r="AP103" s="1792"/>
      <c r="AQ103" s="1792"/>
      <c r="AR103" s="1792"/>
      <c r="AS103" s="1792"/>
      <c r="AT103" s="1792"/>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2" t="s">
        <v>2167</v>
      </c>
      <c r="B105" s="1792"/>
      <c r="C105" s="1792"/>
      <c r="D105" s="1792"/>
      <c r="E105" s="1792"/>
      <c r="F105" s="1792"/>
      <c r="G105" s="1792"/>
      <c r="H105" s="1792"/>
      <c r="I105" s="1792"/>
      <c r="J105" s="1792"/>
      <c r="K105" s="1792"/>
      <c r="L105" s="1792"/>
      <c r="M105" s="1792"/>
      <c r="N105" s="1792"/>
      <c r="O105" s="1792"/>
      <c r="P105" s="1792"/>
      <c r="Q105" s="1792"/>
      <c r="R105" s="1792"/>
      <c r="S105" s="1792"/>
      <c r="T105" s="1792"/>
      <c r="U105" s="1792"/>
      <c r="V105" s="1792"/>
      <c r="W105" s="1792"/>
      <c r="X105" s="1792"/>
      <c r="Y105" s="1792"/>
      <c r="Z105" s="1792"/>
      <c r="AA105" s="1792"/>
      <c r="AB105" s="1792"/>
      <c r="AC105" s="1792"/>
      <c r="AD105" s="1792"/>
      <c r="AE105" s="1792"/>
      <c r="AF105" s="1792"/>
      <c r="AG105" s="1792"/>
      <c r="AH105" s="1792"/>
      <c r="AI105" s="1792"/>
      <c r="AJ105" s="1792"/>
      <c r="AK105" s="1792"/>
      <c r="AL105" s="1792"/>
      <c r="AM105" s="1792"/>
      <c r="AN105" s="1792"/>
      <c r="AO105" s="1792"/>
      <c r="AP105" s="1792"/>
      <c r="AQ105" s="1792"/>
      <c r="AR105" s="1792"/>
      <c r="AS105" s="1792"/>
      <c r="AT105" s="1792"/>
      <c r="AU105" s="20"/>
      <c r="AV105" s="20"/>
      <c r="AW105" s="20"/>
      <c r="AX105" s="20"/>
      <c r="AY105" s="20"/>
    </row>
    <row r="106" spans="1:57" ht="12.95" customHeight="1">
      <c r="A106" s="1792"/>
      <c r="B106" s="1792"/>
      <c r="C106" s="1792"/>
      <c r="D106" s="1792"/>
      <c r="E106" s="1792"/>
      <c r="F106" s="1792"/>
      <c r="G106" s="1792"/>
      <c r="H106" s="1792"/>
      <c r="I106" s="1792"/>
      <c r="J106" s="1792"/>
      <c r="K106" s="1792"/>
      <c r="L106" s="1792"/>
      <c r="M106" s="1792"/>
      <c r="N106" s="1792"/>
      <c r="O106" s="1792"/>
      <c r="P106" s="1792"/>
      <c r="Q106" s="1792"/>
      <c r="R106" s="1792"/>
      <c r="S106" s="1792"/>
      <c r="T106" s="1792"/>
      <c r="U106" s="1792"/>
      <c r="V106" s="1792"/>
      <c r="W106" s="1792"/>
      <c r="X106" s="1792"/>
      <c r="Y106" s="1792"/>
      <c r="Z106" s="1792"/>
      <c r="AA106" s="1792"/>
      <c r="AB106" s="1792"/>
      <c r="AC106" s="1792"/>
      <c r="AD106" s="1792"/>
      <c r="AE106" s="1792"/>
      <c r="AF106" s="1792"/>
      <c r="AG106" s="1792"/>
      <c r="AH106" s="1792"/>
      <c r="AI106" s="1792"/>
      <c r="AJ106" s="1792"/>
      <c r="AK106" s="1792"/>
      <c r="AL106" s="1792"/>
      <c r="AM106" s="1792"/>
      <c r="AN106" s="1792"/>
      <c r="AO106" s="1792"/>
      <c r="AP106" s="1792"/>
      <c r="AQ106" s="1792"/>
      <c r="AR106" s="1792"/>
      <c r="AS106" s="1792"/>
      <c r="AT106" s="1792"/>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75"/>
      <c r="H113" s="1775"/>
      <c r="I113" s="3" t="s">
        <v>181</v>
      </c>
      <c r="L113" s="1775"/>
      <c r="M113" s="1775"/>
      <c r="N113" s="1775"/>
      <c r="O113" s="1775"/>
      <c r="P113" s="1782" t="s">
        <v>2241</v>
      </c>
      <c r="Q113" s="1782"/>
      <c r="R113" s="1782"/>
      <c r="S113" s="178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87"/>
      <c r="D115" s="1787"/>
      <c r="E115" s="1787"/>
      <c r="F115" s="1787"/>
      <c r="G115" s="1787"/>
      <c r="H115" s="1787"/>
      <c r="I115" s="1787"/>
      <c r="J115" s="1787"/>
      <c r="K115" s="1787"/>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75"/>
      <c r="Z117" s="1775"/>
      <c r="AA117" s="1775"/>
      <c r="AB117" s="1775"/>
      <c r="AC117" s="1775"/>
      <c r="AD117" s="1775"/>
      <c r="AE117" s="1775"/>
      <c r="AF117" s="1775"/>
      <c r="AG117" s="1775"/>
      <c r="AH117" s="1775"/>
      <c r="AI117" s="1775"/>
      <c r="AJ117" s="1775"/>
      <c r="AK117" s="1775"/>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75"/>
      <c r="Z120" s="1775"/>
      <c r="AA120" s="1775"/>
      <c r="AB120" s="1775"/>
      <c r="AC120" s="1775"/>
      <c r="AD120" s="1775"/>
      <c r="AE120" s="1775"/>
      <c r="AF120" s="1775"/>
      <c r="AG120" s="1775"/>
      <c r="AH120" s="1775"/>
      <c r="AI120" s="1775"/>
      <c r="AJ120" s="1775"/>
      <c r="AK120" s="177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61" t="s">
        <v>469</v>
      </c>
      <c r="CV122" s="1662"/>
      <c r="CW122" s="14"/>
      <c r="CX122" s="14" t="s">
        <v>634</v>
      </c>
      <c r="CY122" s="14"/>
      <c r="CZ122" s="14"/>
      <c r="DA122" s="14"/>
      <c r="DB122" s="14"/>
      <c r="DC122" s="14"/>
      <c r="DD122" s="14"/>
      <c r="DE122" s="14"/>
      <c r="DF122" s="14"/>
      <c r="DG122" s="1658" t="str">
        <f>T189</f>
        <v>Marin</v>
      </c>
      <c r="DH122" s="1659"/>
      <c r="DI122" s="1659"/>
      <c r="DJ122" s="1659"/>
      <c r="DK122" s="1659"/>
      <c r="DL122" s="1659"/>
      <c r="DM122" s="1660"/>
    </row>
    <row r="123" spans="1:117" ht="12.95" customHeight="1">
      <c r="A123" s="3"/>
      <c r="B123" s="3"/>
      <c r="T123" s="3"/>
      <c r="U123" s="3"/>
      <c r="V123" s="3"/>
      <c r="W123" s="3"/>
      <c r="X123" s="3"/>
      <c r="Y123" s="1775"/>
      <c r="Z123" s="1775"/>
      <c r="AA123" s="1775"/>
      <c r="AB123" s="1775"/>
      <c r="AC123" s="1775"/>
      <c r="AD123" s="1775"/>
      <c r="AE123" s="1775"/>
      <c r="AF123" s="1775"/>
      <c r="AG123" s="1775"/>
      <c r="AH123" s="1775"/>
      <c r="AI123" s="1775"/>
      <c r="AJ123" s="1775"/>
      <c r="AK123" s="177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4"/>
      <c r="G150" s="1334"/>
      <c r="H150" s="1334"/>
      <c r="I150" s="1334"/>
      <c r="J150" s="1334"/>
      <c r="K150" s="1334"/>
      <c r="L150" s="1334"/>
      <c r="M150" s="1334"/>
      <c r="N150" s="1334"/>
      <c r="O150" s="1334"/>
      <c r="P150" s="1334"/>
      <c r="Q150" s="1334"/>
      <c r="R150" s="1334"/>
      <c r="S150" s="1334"/>
      <c r="T150" s="133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2464</v>
      </c>
    </row>
    <row r="152" spans="1:108" ht="12.95" customHeight="1">
      <c r="BM152">
        <v>4</v>
      </c>
      <c r="BN152" s="3" t="s">
        <v>2463</v>
      </c>
    </row>
    <row r="153" spans="1:108" ht="12.95" customHeight="1">
      <c r="D153" t="s">
        <v>645</v>
      </c>
      <c r="O153" s="1460" t="s">
        <v>2611</v>
      </c>
      <c r="P153" s="1433"/>
      <c r="Q153" s="1433"/>
      <c r="R153" s="1433"/>
      <c r="S153" s="1433"/>
      <c r="T153" s="1433"/>
      <c r="U153" s="1433"/>
      <c r="V153" s="1433"/>
      <c r="W153" s="1433"/>
      <c r="X153" s="1433"/>
      <c r="Y153" s="1433"/>
      <c r="Z153" s="1433"/>
      <c r="AA153" s="1433"/>
      <c r="AB153" s="1433"/>
      <c r="AC153" s="1433"/>
      <c r="AD153" s="1433"/>
      <c r="AE153" s="1433"/>
      <c r="AF153" s="1433"/>
      <c r="AG153" s="1433"/>
      <c r="AH153" s="1433"/>
      <c r="BM153">
        <v>5</v>
      </c>
      <c r="BN153" s="3" t="s">
        <v>2465</v>
      </c>
      <c r="CR153" s="31" t="s">
        <v>2598</v>
      </c>
      <c r="CS153" s="32"/>
      <c r="CT153" s="32"/>
      <c r="CU153" s="32"/>
      <c r="CV153" s="32"/>
      <c r="CW153" s="32"/>
      <c r="CX153" s="14"/>
      <c r="CY153" s="31" t="s">
        <v>2599</v>
      </c>
      <c r="CZ153" s="14"/>
      <c r="DA153" s="14"/>
      <c r="DB153" s="14"/>
      <c r="DC153" s="14"/>
      <c r="DD153" s="14"/>
    </row>
    <row r="154" spans="1:108" ht="12.95" customHeight="1">
      <c r="D154" s="303" t="s">
        <v>439</v>
      </c>
      <c r="O154" s="1416" t="s">
        <v>2612</v>
      </c>
      <c r="P154" s="1440"/>
      <c r="Q154" s="1440"/>
      <c r="R154" s="1440"/>
      <c r="S154" s="1440"/>
      <c r="T154" s="1440"/>
      <c r="U154" s="1440"/>
      <c r="V154" s="1440"/>
      <c r="W154" s="1440"/>
      <c r="X154" s="1440"/>
      <c r="Y154" s="1440"/>
      <c r="Z154" s="1440"/>
      <c r="AA154" s="1440"/>
      <c r="AB154" s="1440"/>
      <c r="AC154" s="1440"/>
      <c r="AD154" s="1440"/>
      <c r="AE154" s="1440"/>
      <c r="AF154" s="1440"/>
      <c r="AG154" s="1440"/>
      <c r="AH154" s="1440"/>
      <c r="BM154">
        <v>6</v>
      </c>
      <c r="BN154" s="3" t="s">
        <v>2466</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783" t="s">
        <v>440</v>
      </c>
      <c r="P155" s="1783"/>
      <c r="Q155" s="1783"/>
      <c r="R155" s="1783"/>
      <c r="S155" s="1783"/>
      <c r="T155" s="1783"/>
      <c r="U155" s="1783"/>
      <c r="V155" s="1783"/>
      <c r="W155" s="1783"/>
      <c r="X155" s="1783"/>
      <c r="Y155" s="1783"/>
      <c r="Z155" s="1783"/>
      <c r="AA155" s="1783"/>
      <c r="AB155" s="1783"/>
      <c r="AC155" s="1783"/>
      <c r="AD155" s="1783"/>
      <c r="AE155" s="1783"/>
      <c r="AF155" s="1783"/>
      <c r="AG155" s="1783"/>
      <c r="AH155" s="1783"/>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485" t="s">
        <v>2613</v>
      </c>
      <c r="P156" s="1485"/>
      <c r="Q156" s="1485"/>
      <c r="R156" s="1485"/>
      <c r="S156" s="1485"/>
      <c r="T156" s="1485"/>
      <c r="U156" s="1485"/>
      <c r="V156" s="1485"/>
      <c r="W156" s="1485"/>
      <c r="X156" s="1485"/>
      <c r="Y156" s="1485"/>
      <c r="Z156" s="1485"/>
      <c r="AA156" s="1485"/>
      <c r="AB156" s="1485"/>
      <c r="AC156" s="1485"/>
      <c r="AD156" s="1485"/>
      <c r="AE156" s="1485"/>
      <c r="AF156" s="1485"/>
      <c r="AG156" s="1485"/>
      <c r="AH156" s="1485"/>
      <c r="BT156" t="s">
        <v>306</v>
      </c>
      <c r="CB156" s="195" t="s">
        <v>2225</v>
      </c>
      <c r="CC156" s="196"/>
      <c r="CD156" s="196"/>
      <c r="CE156" s="196"/>
      <c r="CF156" s="196"/>
      <c r="CG156" s="196"/>
      <c r="CH156" s="196"/>
      <c r="CI156" s="3"/>
      <c r="CJ156" s="195" t="s">
        <v>2606</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60" t="s">
        <v>2614</v>
      </c>
      <c r="P157" s="1433"/>
      <c r="Q157" s="1433"/>
      <c r="R157" s="1433"/>
      <c r="S157" s="1433"/>
      <c r="T157" s="1433"/>
      <c r="U157" s="1433"/>
      <c r="V157" s="1433"/>
      <c r="W157" s="1433"/>
      <c r="X157" s="1433"/>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95">
        <v>94903</v>
      </c>
      <c r="P158" s="1795"/>
      <c r="Q158" s="1795"/>
      <c r="R158" s="1795"/>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76" t="s">
        <v>2615</v>
      </c>
      <c r="P159" s="1776"/>
      <c r="Q159" s="1776"/>
      <c r="R159" s="1776"/>
      <c r="S159" s="1776"/>
      <c r="T159" s="1776"/>
      <c r="V159" s="97" t="s">
        <v>270</v>
      </c>
      <c r="W159" s="1796"/>
      <c r="X159" s="1796"/>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776" t="s">
        <v>591</v>
      </c>
      <c r="P160" s="1776"/>
      <c r="Q160" s="1776"/>
      <c r="R160" s="1776"/>
      <c r="S160" s="1776"/>
      <c r="T160" s="1776"/>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80" t="s">
        <v>2616</v>
      </c>
      <c r="P161" s="1780"/>
      <c r="Q161" s="1780"/>
      <c r="R161" s="1780"/>
      <c r="S161" s="1780"/>
      <c r="T161" s="1780"/>
      <c r="U161" s="1780"/>
      <c r="V161" s="1780"/>
      <c r="W161" s="1780"/>
      <c r="X161" s="1780"/>
      <c r="Y161" s="1780"/>
      <c r="Z161" s="1780"/>
      <c r="AA161" s="1780"/>
      <c r="AB161" s="1780"/>
      <c r="AC161" s="1780"/>
      <c r="AD161" s="1780"/>
      <c r="AE161" s="1780"/>
      <c r="AF161" s="1780"/>
      <c r="AG161" s="1780"/>
      <c r="AH161" s="1780"/>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788" t="s">
        <v>2217</v>
      </c>
      <c r="E164" s="1788"/>
      <c r="F164" s="1788"/>
      <c r="G164" s="1788"/>
      <c r="H164" s="1788"/>
      <c r="I164" s="1788"/>
      <c r="J164" s="1788"/>
      <c r="K164" s="1788"/>
      <c r="L164" s="1788"/>
      <c r="M164" s="1788"/>
      <c r="N164" s="1788"/>
      <c r="O164" s="1788"/>
      <c r="P164" s="1788"/>
      <c r="Q164" s="1788"/>
      <c r="R164" s="1788"/>
      <c r="S164" s="1788"/>
      <c r="T164" s="1788"/>
      <c r="U164" s="1788"/>
      <c r="V164" s="1788"/>
      <c r="W164" s="1788"/>
      <c r="X164" s="1788"/>
      <c r="Y164" s="1788"/>
      <c r="Z164" s="1788"/>
      <c r="AA164" s="1788"/>
      <c r="AB164" s="1788"/>
      <c r="AC164" s="1788"/>
      <c r="AD164" s="1788"/>
      <c r="AE164" s="1788"/>
      <c r="AF164" s="1788"/>
      <c r="AG164" s="1788"/>
      <c r="AH164" s="1788"/>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98" t="s">
        <v>539</v>
      </c>
      <c r="B169" s="1498"/>
      <c r="C169" s="1498"/>
      <c r="D169" s="1498"/>
      <c r="E169" s="1498"/>
      <c r="F169" s="1498"/>
      <c r="G169" s="1498"/>
      <c r="H169" s="1498"/>
      <c r="I169" s="1498"/>
      <c r="J169" s="1498"/>
      <c r="K169" s="1498"/>
      <c r="L169" s="1498"/>
      <c r="M169" s="1498"/>
      <c r="N169" s="1498"/>
      <c r="O169" s="1498"/>
      <c r="P169" s="1498"/>
      <c r="Q169" s="1498"/>
      <c r="R169" s="1498"/>
      <c r="S169" s="1498"/>
      <c r="T169" s="1498"/>
      <c r="U169" s="1498"/>
      <c r="V169" s="1498"/>
      <c r="W169" s="1498"/>
      <c r="X169" s="1498"/>
      <c r="Y169" s="1498"/>
      <c r="Z169" s="1498"/>
      <c r="AA169" s="1498"/>
      <c r="AB169" s="1498"/>
      <c r="AC169" s="1498"/>
      <c r="AD169" s="1498"/>
      <c r="AE169" s="1498"/>
      <c r="AF169" s="1498"/>
      <c r="AG169" s="1498"/>
      <c r="AH169" s="1498"/>
      <c r="AI169" s="1498"/>
      <c r="AJ169" s="1498"/>
      <c r="AK169" s="1498"/>
      <c r="AL169" s="1498"/>
      <c r="AM169" s="1498"/>
      <c r="AN169" s="1498"/>
      <c r="AO169" s="1498"/>
      <c r="AP169" s="1498"/>
      <c r="AQ169" s="1498"/>
      <c r="AR169" s="1498"/>
      <c r="AS169" s="1498"/>
      <c r="AT169" s="1498"/>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98"/>
      <c r="B170" s="1498"/>
      <c r="C170" s="1498"/>
      <c r="D170" s="1498"/>
      <c r="E170" s="1498"/>
      <c r="F170" s="1498"/>
      <c r="G170" s="1498"/>
      <c r="H170" s="1498"/>
      <c r="I170" s="1498"/>
      <c r="J170" s="1498"/>
      <c r="K170" s="1498"/>
      <c r="L170" s="1498"/>
      <c r="M170" s="1498"/>
      <c r="N170" s="1498"/>
      <c r="O170" s="1498"/>
      <c r="P170" s="1498"/>
      <c r="Q170" s="1498"/>
      <c r="R170" s="1498"/>
      <c r="S170" s="1498"/>
      <c r="T170" s="1498"/>
      <c r="U170" s="1498"/>
      <c r="V170" s="1498"/>
      <c r="W170" s="1498"/>
      <c r="X170" s="1498"/>
      <c r="Y170" s="1498"/>
      <c r="Z170" s="1498"/>
      <c r="AA170" s="1498"/>
      <c r="AB170" s="1498"/>
      <c r="AC170" s="1498"/>
      <c r="AD170" s="1498"/>
      <c r="AE170" s="1498"/>
      <c r="AF170" s="1498"/>
      <c r="AG170" s="1498"/>
      <c r="AH170" s="1498"/>
      <c r="AI170" s="1498"/>
      <c r="AJ170" s="1498"/>
      <c r="AK170" s="1498"/>
      <c r="AL170" s="1498"/>
      <c r="AM170" s="1498"/>
      <c r="AN170" s="1498"/>
      <c r="AO170" s="1498"/>
      <c r="AP170" s="1498"/>
      <c r="AQ170" s="1498"/>
      <c r="AR170" s="1498"/>
      <c r="AS170" s="1498"/>
      <c r="AT170" s="1498"/>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790" t="s">
        <v>370</v>
      </c>
      <c r="K173" s="1790"/>
      <c r="L173" s="1790"/>
      <c r="M173" s="1790"/>
      <c r="N173" s="1790"/>
      <c r="O173" s="1790"/>
      <c r="P173" s="1790"/>
      <c r="Q173" s="1790"/>
      <c r="R173" s="1790"/>
      <c r="S173" s="1790"/>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485" t="s">
        <v>2102</v>
      </c>
      <c r="K174" s="1485"/>
      <c r="L174" s="1485"/>
      <c r="M174" s="1485"/>
      <c r="N174" s="1485"/>
      <c r="O174" s="1485"/>
      <c r="P174" s="1485"/>
      <c r="Q174" s="1485"/>
      <c r="R174" s="1485"/>
      <c r="S174" s="1485"/>
      <c r="T174" s="1485"/>
      <c r="U174" s="1485"/>
      <c r="V174" s="1485"/>
      <c r="W174" s="1485"/>
      <c r="X174" s="1485"/>
      <c r="Y174" s="1485"/>
      <c r="Z174" s="1485"/>
      <c r="AA174" s="1485"/>
      <c r="AB174" s="1485"/>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51" t="s">
        <v>669</v>
      </c>
      <c r="V175" s="1351"/>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2080</v>
      </c>
      <c r="T176" s="27" t="s">
        <v>304</v>
      </c>
      <c r="U176" s="1444"/>
      <c r="V176" s="1444"/>
      <c r="W176" s="1" t="s">
        <v>305</v>
      </c>
      <c r="X176" s="1779"/>
      <c r="Y176" s="1779"/>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51" t="s">
        <v>669</v>
      </c>
      <c r="S177" s="1351"/>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2080</v>
      </c>
      <c r="AE178" s="27" t="s">
        <v>304</v>
      </c>
      <c r="AF178" s="1778"/>
      <c r="AG178" s="1778"/>
      <c r="AH178" s="1" t="s">
        <v>305</v>
      </c>
      <c r="AI178" s="1799"/>
      <c r="AJ178" s="1799"/>
      <c r="AK178" s="1799"/>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2081</v>
      </c>
      <c r="X180" s="1351" t="s">
        <v>669</v>
      </c>
      <c r="Y180" s="1351"/>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474" t="str">
        <f>H18</f>
        <v>Marinwood Plaza</v>
      </c>
      <c r="J184" s="1474"/>
      <c r="K184" s="1474"/>
      <c r="L184" s="1474"/>
      <c r="M184" s="1474"/>
      <c r="N184" s="1474"/>
      <c r="O184" s="1474"/>
      <c r="P184" s="1474"/>
      <c r="Q184" s="1474"/>
      <c r="R184" s="1474"/>
      <c r="S184" s="1474"/>
      <c r="T184" s="1474"/>
      <c r="U184" s="1474"/>
      <c r="V184" s="1474"/>
      <c r="W184" s="1474"/>
      <c r="X184" s="1474"/>
      <c r="Y184" s="1474"/>
      <c r="Z184" s="1474"/>
      <c r="AA184" s="1474"/>
      <c r="AB184" s="1474"/>
      <c r="AC184" s="1474"/>
      <c r="AD184" s="1474"/>
      <c r="AE184" s="1474"/>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480" t="s">
        <v>2617</v>
      </c>
      <c r="J185" s="1480"/>
      <c r="K185" s="1480"/>
      <c r="L185" s="1480"/>
      <c r="M185" s="1480"/>
      <c r="N185" s="1480"/>
      <c r="O185" s="1480"/>
      <c r="P185" s="1480"/>
      <c r="Q185" s="1480"/>
      <c r="R185" s="1480"/>
      <c r="S185" s="1480"/>
      <c r="T185" s="1480"/>
      <c r="U185" s="1480"/>
      <c r="V185" s="1480"/>
      <c r="W185" s="1480"/>
      <c r="X185" s="1480"/>
      <c r="Y185" s="1480"/>
      <c r="Z185" s="1480"/>
      <c r="AA185" s="1480"/>
      <c r="AB185" s="1480"/>
      <c r="AC185" s="1480"/>
      <c r="AD185" s="1480"/>
      <c r="AE185" s="1480"/>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771"/>
      <c r="F187" s="1771"/>
      <c r="G187" s="1771"/>
      <c r="H187" s="1771"/>
      <c r="I187" s="1771"/>
      <c r="J187" s="1771"/>
      <c r="K187" s="1771"/>
      <c r="L187" s="1771"/>
      <c r="M187" s="1771"/>
      <c r="N187" s="1771"/>
      <c r="O187" s="1771"/>
      <c r="P187" s="1771"/>
      <c r="Q187" s="1771"/>
      <c r="R187" s="1771"/>
      <c r="S187" s="1771"/>
      <c r="T187" s="1771"/>
      <c r="U187" s="1771"/>
      <c r="V187" s="1771"/>
      <c r="W187" s="1771"/>
      <c r="X187" s="1771"/>
      <c r="Y187" s="1771"/>
      <c r="Z187" s="1771"/>
      <c r="AA187" s="1771"/>
      <c r="AB187" s="1771"/>
      <c r="AC187" s="1771"/>
      <c r="AD187" s="1771"/>
      <c r="AE187" s="1771"/>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60"/>
      <c r="F188" s="1760"/>
      <c r="G188" s="1760"/>
      <c r="H188" s="1760"/>
      <c r="I188" s="1760"/>
      <c r="J188" s="1760"/>
      <c r="K188" s="1760"/>
      <c r="L188" s="1760"/>
      <c r="M188" s="1760"/>
      <c r="N188" s="1760"/>
      <c r="O188" s="1760"/>
      <c r="P188" s="1760"/>
      <c r="Q188" s="1760"/>
      <c r="R188" s="1760"/>
      <c r="S188" s="1760"/>
      <c r="T188" s="1760"/>
      <c r="U188" s="1760"/>
      <c r="V188" s="1760"/>
      <c r="W188" s="1760"/>
      <c r="X188" s="1760"/>
      <c r="Y188" s="1760"/>
      <c r="Z188" s="1760"/>
      <c r="AA188" s="1760"/>
      <c r="AB188" s="1760"/>
      <c r="AC188" s="1760"/>
      <c r="AD188" s="1760"/>
      <c r="AE188" s="1760"/>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460" t="s">
        <v>2804</v>
      </c>
      <c r="J189" s="1485"/>
      <c r="K189" s="1485"/>
      <c r="L189" s="1485"/>
      <c r="M189" s="1485"/>
      <c r="N189" s="1485"/>
      <c r="O189" s="1485"/>
      <c r="P189" s="1485"/>
      <c r="Q189" t="s">
        <v>582</v>
      </c>
      <c r="T189" s="1485" t="s">
        <v>496</v>
      </c>
      <c r="U189" s="1485"/>
      <c r="V189" s="1485"/>
      <c r="W189" s="1485"/>
      <c r="X189" s="1485"/>
      <c r="Y189" s="1485"/>
      <c r="Z189" s="1485"/>
      <c r="AA189" s="1485"/>
      <c r="AB189" s="1485"/>
      <c r="AC189" s="1485"/>
      <c r="AD189" s="1485"/>
      <c r="AE189" s="1485"/>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480">
        <v>94903</v>
      </c>
      <c r="J190" s="1480"/>
      <c r="K190" s="1480"/>
      <c r="L190" s="1480"/>
      <c r="M190" s="1480"/>
      <c r="N190" s="1480"/>
      <c r="O190" t="s">
        <v>585</v>
      </c>
      <c r="T190" s="1793">
        <v>1070</v>
      </c>
      <c r="U190" s="1793"/>
      <c r="V190" s="1793"/>
      <c r="W190" s="1793"/>
      <c r="X190" s="1793"/>
      <c r="Y190" s="1793"/>
      <c r="Z190" s="1793"/>
      <c r="AA190" s="1793"/>
      <c r="AB190" s="1793"/>
      <c r="AC190" s="1793"/>
      <c r="AD190" s="1793"/>
      <c r="AE190" s="1793"/>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771" t="s">
        <v>2618</v>
      </c>
      <c r="O191" s="1771"/>
      <c r="P191" s="1771"/>
      <c r="Q191" s="1771"/>
      <c r="R191" s="1771"/>
      <c r="S191" s="1771"/>
      <c r="T191" s="1771"/>
      <c r="U191" s="1771"/>
      <c r="V191" s="1771"/>
      <c r="W191" s="1771"/>
      <c r="X191" s="1771"/>
      <c r="Y191" s="1771"/>
      <c r="Z191" s="1771"/>
      <c r="AA191" s="1771"/>
      <c r="AB191" s="1771"/>
      <c r="AC191" s="1771"/>
      <c r="AD191" s="1771"/>
      <c r="AE191" s="1771"/>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60"/>
      <c r="O192" s="1760"/>
      <c r="P192" s="1760"/>
      <c r="Q192" s="1760"/>
      <c r="R192" s="1760"/>
      <c r="S192" s="1760"/>
      <c r="T192" s="1760"/>
      <c r="U192" s="1760"/>
      <c r="V192" s="1760"/>
      <c r="W192" s="1760"/>
      <c r="X192" s="1760"/>
      <c r="Y192" s="1760"/>
      <c r="Z192" s="1760"/>
      <c r="AA192" s="1760"/>
      <c r="AB192" s="1760"/>
      <c r="AC192" s="1760"/>
      <c r="AD192" s="1760"/>
      <c r="AE192" s="1760"/>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81" t="s">
        <v>1970</v>
      </c>
      <c r="U193" s="1781"/>
      <c r="V193" s="1781"/>
      <c r="W193" s="1781"/>
      <c r="X193" s="1781"/>
      <c r="Y193" s="1781"/>
      <c r="Z193" s="1781"/>
      <c r="AA193" s="1781"/>
      <c r="AB193" s="1781"/>
      <c r="AC193" s="1781"/>
      <c r="AD193" s="1781"/>
      <c r="AE193" s="1781"/>
      <c r="AF193" s="1781"/>
      <c r="AG193" s="1781"/>
      <c r="AH193" s="1781"/>
      <c r="AI193" s="1781"/>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51" t="s">
        <v>669</v>
      </c>
      <c r="AI194" s="1351"/>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51" t="s">
        <v>545</v>
      </c>
      <c r="U195" s="1351"/>
      <c r="W195" t="s">
        <v>684</v>
      </c>
      <c r="AH195" s="1351">
        <v>2</v>
      </c>
      <c r="AI195" s="1351"/>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27" t="s">
        <v>669</v>
      </c>
      <c r="U196" s="1427"/>
      <c r="W196" t="s">
        <v>685</v>
      </c>
      <c r="AH196" s="1351">
        <v>12</v>
      </c>
      <c r="AI196" s="1351"/>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27" t="s">
        <v>669</v>
      </c>
      <c r="U197" s="1427"/>
      <c r="W197" t="s">
        <v>686</v>
      </c>
      <c r="AH197" s="1351">
        <v>2</v>
      </c>
      <c r="AI197" s="1351"/>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27" t="s">
        <v>669</v>
      </c>
      <c r="U198" s="1427"/>
      <c r="V198"/>
      <c r="X198" s="1425" t="s">
        <v>2512</v>
      </c>
      <c r="Y198" s="1425"/>
      <c r="Z198" s="1425"/>
      <c r="AA198" s="1425"/>
      <c r="AB198" s="1425"/>
      <c r="AC198" s="1425"/>
      <c r="AD198" s="1425"/>
      <c r="AE198" s="1425"/>
      <c r="AF198" s="1425"/>
      <c r="AG198" s="1425"/>
      <c r="AH198" s="1425"/>
      <c r="AI198" s="1425"/>
      <c r="AJ198" s="1425"/>
      <c r="AK198" s="1425"/>
      <c r="AL198" s="1425"/>
      <c r="AM198" s="1425"/>
      <c r="AN198" s="1425"/>
      <c r="AO198" s="1425"/>
      <c r="AP198" s="1425"/>
      <c r="AQ198" s="1425"/>
      <c r="AR198" s="1425"/>
      <c r="AS198" s="1425"/>
      <c r="AT198" s="1425"/>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2515</v>
      </c>
      <c r="E199"/>
      <c r="F199"/>
      <c r="G199"/>
      <c r="H199"/>
      <c r="I199"/>
      <c r="J199"/>
      <c r="K199"/>
      <c r="L199"/>
      <c r="M199"/>
      <c r="N199"/>
      <c r="O199"/>
      <c r="P199"/>
      <c r="Q199"/>
      <c r="R199"/>
      <c r="S199"/>
      <c r="T199" s="1351" t="s">
        <v>669</v>
      </c>
      <c r="U199" s="1351"/>
      <c r="V199"/>
      <c r="W199"/>
      <c r="X199" s="1425"/>
      <c r="Y199" s="1425"/>
      <c r="Z199" s="1425"/>
      <c r="AA199" s="1425"/>
      <c r="AB199" s="1425"/>
      <c r="AC199" s="1425"/>
      <c r="AD199" s="1425"/>
      <c r="AE199" s="1425"/>
      <c r="AF199" s="1425"/>
      <c r="AG199" s="1425"/>
      <c r="AH199" s="1425"/>
      <c r="AI199" s="1425"/>
      <c r="AJ199" s="1425"/>
      <c r="AK199" s="1425"/>
      <c r="AL199" s="1425"/>
      <c r="AM199" s="1425"/>
      <c r="AN199" s="1425"/>
      <c r="AO199" s="1425"/>
      <c r="AP199" s="1425"/>
      <c r="AQ199" s="1425"/>
      <c r="AR199" s="1425"/>
      <c r="AS199" s="1425"/>
      <c r="AT199" s="1425"/>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2513</v>
      </c>
      <c r="T200" s="1351" t="s">
        <v>669</v>
      </c>
      <c r="U200" s="1351"/>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2514</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474" t="s">
        <v>384</v>
      </c>
      <c r="E204" s="1474"/>
      <c r="F204" s="1474"/>
      <c r="G204" s="1474"/>
      <c r="H204" s="1474"/>
      <c r="I204" s="1474"/>
      <c r="J204" s="1474"/>
      <c r="K204" s="1474"/>
      <c r="L204" s="1474"/>
      <c r="M204" s="1474"/>
      <c r="P204" s="1789">
        <f>M26</f>
        <v>3125255</v>
      </c>
      <c r="Q204" s="1777"/>
      <c r="R204" s="1777"/>
      <c r="S204" s="1777"/>
      <c r="T204" s="1777"/>
      <c r="U204" s="1777"/>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774" t="s">
        <v>1247</v>
      </c>
      <c r="E205" s="1474"/>
      <c r="F205" s="1474"/>
      <c r="G205" s="1474"/>
      <c r="H205" s="1474"/>
      <c r="I205" s="1474"/>
      <c r="J205" s="1474"/>
      <c r="K205" s="1474"/>
      <c r="L205" s="1474"/>
      <c r="M205" s="1474"/>
      <c r="P205" s="1777">
        <f>M27</f>
        <v>0</v>
      </c>
      <c r="Q205" s="1777"/>
      <c r="R205" s="1777"/>
      <c r="S205" s="1777"/>
      <c r="T205" s="1777"/>
      <c r="U205" s="1777"/>
      <c r="V205" s="28"/>
      <c r="W205" s="3" t="s">
        <v>1720</v>
      </c>
      <c r="Z205" s="1772" t="s">
        <v>2220</v>
      </c>
      <c r="AA205" s="1772"/>
      <c r="AB205" s="1772"/>
      <c r="AC205" s="1772"/>
      <c r="AD205" s="1772"/>
      <c r="AE205" s="1772"/>
      <c r="AF205" s="1772"/>
      <c r="AG205" s="1772"/>
      <c r="AH205" s="1772"/>
      <c r="AI205" s="1772"/>
      <c r="AJ205" s="1772"/>
      <c r="AK205" s="1772"/>
      <c r="AL205" s="1772"/>
      <c r="AM205" s="1772"/>
      <c r="AN205" s="1772"/>
      <c r="AP205" s="1334"/>
      <c r="AQ205" s="1334"/>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33" t="s">
        <v>2619</v>
      </c>
      <c r="E208" s="1433"/>
      <c r="F208" s="1433"/>
      <c r="G208" s="1433"/>
      <c r="H208" s="1433"/>
      <c r="I208" s="1433"/>
      <c r="J208" s="1433"/>
      <c r="K208" s="1433"/>
      <c r="L208" s="1433"/>
      <c r="M208" s="1433"/>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33" t="s">
        <v>1041</v>
      </c>
      <c r="E211" s="1433"/>
      <c r="F211" s="1433"/>
      <c r="G211" s="1433"/>
      <c r="H211" s="1433"/>
      <c r="I211" s="1433"/>
      <c r="J211" s="1433"/>
      <c r="K211" s="1433"/>
      <c r="L211" s="1433"/>
      <c r="M211" s="1433"/>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51">
        <v>0</v>
      </c>
      <c r="R212" s="1351"/>
      <c r="T212" s="1800">
        <f>IFERROR(Q212/AG440,0)</f>
        <v>0</v>
      </c>
      <c r="U212" s="1801"/>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2472</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86" t="s">
        <v>591</v>
      </c>
      <c r="E214" s="1786"/>
      <c r="F214" s="1786"/>
      <c r="G214" s="1786"/>
      <c r="H214" s="1786"/>
      <c r="I214" s="1786"/>
      <c r="J214" s="1786"/>
      <c r="K214" s="1786"/>
      <c r="L214" s="1786"/>
      <c r="M214" s="1786"/>
      <c r="N214" s="1786"/>
      <c r="O214" s="1786"/>
      <c r="P214" s="1786"/>
      <c r="Q214" s="1786"/>
      <c r="R214" s="1786"/>
      <c r="S214" s="1786"/>
      <c r="T214" s="1786"/>
      <c r="U214" s="1786"/>
      <c r="V214" s="1786"/>
      <c r="W214" s="1786"/>
      <c r="X214" s="1786"/>
      <c r="Y214" s="1786"/>
      <c r="Z214" s="1786"/>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85"/>
      <c r="AC215" s="1785"/>
      <c r="AD215" s="1785"/>
      <c r="AE215" s="1785"/>
      <c r="AF215" s="1785"/>
      <c r="AG215" s="1785"/>
      <c r="AH215" s="1785"/>
      <c r="AI215" s="1785"/>
      <c r="AJ215" s="1785"/>
      <c r="AK215" s="1785"/>
      <c r="AL215" s="1785"/>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85"/>
      <c r="AC216" s="1785"/>
      <c r="AD216" s="1785"/>
      <c r="AE216" s="1785"/>
      <c r="AF216" s="1785"/>
      <c r="AG216" s="1785"/>
      <c r="AH216" s="1785"/>
      <c r="AI216" s="1785"/>
      <c r="AJ216" s="1785"/>
      <c r="AK216" s="1785"/>
      <c r="AL216" s="1785"/>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2235</v>
      </c>
      <c r="D218" s="28"/>
      <c r="AC218" s="2" t="s">
        <v>2461</v>
      </c>
      <c r="BC218" t="s">
        <v>529</v>
      </c>
    </row>
    <row r="219" spans="1:108" ht="12.95" customHeight="1">
      <c r="A219" s="2"/>
      <c r="C219" s="2"/>
      <c r="D219" s="3" t="s">
        <v>2462</v>
      </c>
      <c r="AZ219" s="3"/>
      <c r="BA219" s="3"/>
      <c r="BC219" t="s">
        <v>376</v>
      </c>
    </row>
    <row r="220" spans="1:108" ht="12.95" customHeight="1">
      <c r="A220" s="2"/>
      <c r="C220" s="2"/>
      <c r="D220" s="1433" t="s">
        <v>1065</v>
      </c>
      <c r="E220" s="1433"/>
      <c r="F220" s="1433"/>
      <c r="G220" s="1433"/>
      <c r="H220" s="1433"/>
      <c r="I220" s="1433"/>
      <c r="J220" s="1433"/>
      <c r="K220" s="1433"/>
      <c r="L220" s="1433"/>
      <c r="M220" s="1433"/>
      <c r="N220" s="1433"/>
      <c r="O220" s="1433"/>
      <c r="P220" s="1433"/>
      <c r="Q220" s="1433"/>
      <c r="R220" s="1433"/>
      <c r="S220" s="1433"/>
      <c r="T220" s="1433"/>
      <c r="U220" s="1433"/>
      <c r="V220" s="1433"/>
      <c r="W220" s="1433"/>
      <c r="X220" s="1433"/>
      <c r="Y220" s="1433"/>
      <c r="Z220" s="1433"/>
      <c r="AC220" s="1773" t="s">
        <v>2464</v>
      </c>
      <c r="AD220" s="1773"/>
      <c r="AE220" s="1773"/>
      <c r="AF220" s="1773"/>
      <c r="AG220" s="1773"/>
      <c r="AH220" s="1773"/>
      <c r="AI220" s="1773"/>
      <c r="AJ220" s="1773"/>
      <c r="AK220" s="1773"/>
      <c r="AL220" s="1773"/>
      <c r="AM220" s="1773"/>
      <c r="AN220" s="1773"/>
      <c r="AO220" s="1773"/>
      <c r="AP220" s="1773"/>
      <c r="AQ220" s="1773"/>
      <c r="BA220" s="3"/>
      <c r="BC220" t="s">
        <v>299</v>
      </c>
    </row>
    <row r="221" spans="1:108" ht="12.95" customHeight="1">
      <c r="A221" s="2"/>
      <c r="B221" s="14"/>
      <c r="C221" s="2"/>
      <c r="BA221" s="3"/>
    </row>
    <row r="222" spans="1:108" ht="12.95" customHeight="1">
      <c r="A222" s="1498" t="s">
        <v>540</v>
      </c>
      <c r="B222" s="1498"/>
      <c r="C222" s="1498"/>
      <c r="D222" s="1498"/>
      <c r="E222" s="1498"/>
      <c r="F222" s="1498"/>
      <c r="G222" s="1498"/>
      <c r="H222" s="1498"/>
      <c r="I222" s="1498"/>
      <c r="J222" s="1498"/>
      <c r="K222" s="1498"/>
      <c r="L222" s="1498"/>
      <c r="M222" s="1498"/>
      <c r="N222" s="1498"/>
      <c r="O222" s="1498"/>
      <c r="P222" s="1498"/>
      <c r="Q222" s="1498"/>
      <c r="R222" s="1498"/>
      <c r="S222" s="1498"/>
      <c r="T222" s="1498"/>
      <c r="U222" s="1498"/>
      <c r="V222" s="1498"/>
      <c r="W222" s="1498"/>
      <c r="X222" s="1498"/>
      <c r="Y222" s="1498"/>
      <c r="Z222" s="1498"/>
      <c r="AA222" s="1498"/>
      <c r="AB222" s="1498"/>
      <c r="AC222" s="1498"/>
      <c r="AD222" s="1498"/>
      <c r="AE222" s="1498"/>
      <c r="AF222" s="1498"/>
      <c r="AG222" s="1498"/>
      <c r="AH222" s="1498"/>
      <c r="AI222" s="1498"/>
      <c r="AJ222" s="1498"/>
      <c r="AK222" s="1498"/>
      <c r="AL222" s="1498"/>
      <c r="AM222" s="1498"/>
      <c r="AN222" s="1498"/>
      <c r="AO222" s="1498"/>
      <c r="AP222" s="1498"/>
      <c r="AQ222" s="1498"/>
      <c r="AR222" s="1498"/>
      <c r="AS222" s="1498"/>
      <c r="AT222" s="1498"/>
      <c r="AU222" s="95"/>
      <c r="AV222" s="95"/>
      <c r="AW222" s="95"/>
      <c r="AX222" s="95"/>
      <c r="AY222" s="95"/>
      <c r="AZ222" s="3"/>
      <c r="BA222" s="3"/>
      <c r="BP222" s="34"/>
    </row>
    <row r="223" spans="1:108" ht="12.95" customHeight="1">
      <c r="A223" s="1498"/>
      <c r="B223" s="1498"/>
      <c r="C223" s="1498"/>
      <c r="D223" s="1498"/>
      <c r="E223" s="1498"/>
      <c r="F223" s="1498"/>
      <c r="G223" s="1498"/>
      <c r="H223" s="1498"/>
      <c r="I223" s="1498"/>
      <c r="J223" s="1498"/>
      <c r="K223" s="1498"/>
      <c r="L223" s="1498"/>
      <c r="M223" s="1498"/>
      <c r="N223" s="1498"/>
      <c r="O223" s="1498"/>
      <c r="P223" s="1498"/>
      <c r="Q223" s="1498"/>
      <c r="R223" s="1498"/>
      <c r="S223" s="1498"/>
      <c r="T223" s="1498"/>
      <c r="U223" s="1498"/>
      <c r="V223" s="1498"/>
      <c r="W223" s="1498"/>
      <c r="X223" s="1498"/>
      <c r="Y223" s="1498"/>
      <c r="Z223" s="1498"/>
      <c r="AA223" s="1498"/>
      <c r="AB223" s="1498"/>
      <c r="AC223" s="1498"/>
      <c r="AD223" s="1498"/>
      <c r="AE223" s="1498"/>
      <c r="AF223" s="1498"/>
      <c r="AG223" s="1498"/>
      <c r="AH223" s="1498"/>
      <c r="AI223" s="1498"/>
      <c r="AJ223" s="1498"/>
      <c r="AK223" s="1498"/>
      <c r="AL223" s="1498"/>
      <c r="AM223" s="1498"/>
      <c r="AN223" s="1498"/>
      <c r="AO223" s="1498"/>
      <c r="AP223" s="1498"/>
      <c r="AQ223" s="1498"/>
      <c r="AR223" s="1498"/>
      <c r="AS223" s="1498"/>
      <c r="AT223" s="1498"/>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51" t="s">
        <v>591</v>
      </c>
      <c r="AJ226" s="1351"/>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51" t="s">
        <v>545</v>
      </c>
      <c r="AJ227" s="1351"/>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51" t="s">
        <v>545</v>
      </c>
      <c r="AJ228" s="1351"/>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51" t="s">
        <v>591</v>
      </c>
      <c r="AJ229" s="1351"/>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4" t="str">
        <f>H16</f>
        <v>Marinwood Propco, L.P.</v>
      </c>
      <c r="N232" s="1794"/>
      <c r="O232" s="1794"/>
      <c r="P232" s="1794"/>
      <c r="Q232" s="1794"/>
      <c r="R232" s="1794"/>
      <c r="S232" s="1794"/>
      <c r="T232" s="1794"/>
      <c r="U232" s="1794"/>
      <c r="V232" s="1794"/>
      <c r="W232" s="1794"/>
      <c r="X232" s="1794"/>
      <c r="Y232" s="1794"/>
      <c r="Z232" s="1794"/>
      <c r="AA232" s="1794"/>
      <c r="AB232" s="1794"/>
      <c r="AC232" s="1794"/>
      <c r="AD232" s="1794"/>
      <c r="AE232" s="1794"/>
      <c r="AF232" s="1794"/>
      <c r="AG232" s="1794"/>
      <c r="AH232" s="1794"/>
      <c r="AI232" s="1794"/>
      <c r="AJ232" s="1794"/>
      <c r="AK232" s="1794"/>
      <c r="AZ232" s="4"/>
      <c r="BA232" s="3"/>
      <c r="BB232" s="205" t="s">
        <v>538</v>
      </c>
      <c r="BG232" s="241">
        <f>IF(AND(AND($M$249="nonprofit",$M$257="nonprofit",$M$265="for profit")),2,0)</f>
        <v>0</v>
      </c>
    </row>
    <row r="233" spans="1:59" ht="12.95" customHeight="1">
      <c r="D233" s="4" t="s">
        <v>85</v>
      </c>
      <c r="E233" s="4"/>
      <c r="F233" s="4"/>
      <c r="G233" s="4"/>
      <c r="H233" s="4"/>
      <c r="I233" s="4"/>
      <c r="J233" s="4"/>
      <c r="K233" s="4"/>
      <c r="M233" s="1460" t="s">
        <v>2620</v>
      </c>
      <c r="N233" s="1433"/>
      <c r="O233" s="1433"/>
      <c r="P233" s="1433"/>
      <c r="Q233" s="1433"/>
      <c r="R233" s="1433"/>
      <c r="S233" s="1433"/>
      <c r="T233" s="1433"/>
      <c r="U233" s="1433"/>
      <c r="V233" s="1433"/>
      <c r="W233" s="1433"/>
      <c r="X233" s="1433"/>
      <c r="Y233" s="1433"/>
      <c r="Z233" s="1433"/>
      <c r="AA233" s="1433"/>
      <c r="AB233" s="1433"/>
      <c r="AC233" s="1433"/>
      <c r="AD233" s="1433"/>
      <c r="AE233" s="1433"/>
      <c r="BB233" s="205" t="s">
        <v>538</v>
      </c>
      <c r="BG233" s="241">
        <f>IF(AND(AND($M$249="nonprofit",$M$257="for profit",$M$265="nonprofit")),2,0)</f>
        <v>0</v>
      </c>
    </row>
    <row r="234" spans="1:59" ht="12.95" customHeight="1">
      <c r="D234" s="4" t="s">
        <v>580</v>
      </c>
      <c r="E234" s="4"/>
      <c r="M234" s="1460" t="s">
        <v>2621</v>
      </c>
      <c r="N234" s="1433"/>
      <c r="O234" s="1433"/>
      <c r="P234" s="1433"/>
      <c r="Q234" s="1433"/>
      <c r="R234" s="1433"/>
      <c r="S234" s="1433"/>
      <c r="T234" s="1433"/>
      <c r="V234" s="33" t="s">
        <v>86</v>
      </c>
      <c r="W234" s="1416" t="s">
        <v>2622</v>
      </c>
      <c r="X234" s="1440"/>
      <c r="Y234" s="4" t="s">
        <v>583</v>
      </c>
      <c r="AC234" s="1433">
        <v>33139</v>
      </c>
      <c r="AD234" s="1433"/>
      <c r="AE234" s="1433"/>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60" t="s">
        <v>2623</v>
      </c>
      <c r="N235" s="1433"/>
      <c r="O235" s="1433"/>
      <c r="P235" s="1433"/>
      <c r="Q235" s="1433"/>
      <c r="R235" s="1433"/>
      <c r="S235" s="1433"/>
      <c r="T235" s="1433"/>
      <c r="U235" s="1433"/>
      <c r="V235" s="1433"/>
      <c r="W235" s="1433"/>
      <c r="X235" s="1433"/>
      <c r="Y235" s="1433"/>
      <c r="Z235" s="1433"/>
      <c r="AA235" s="1433"/>
      <c r="AB235" s="1433"/>
      <c r="AC235" s="1433"/>
      <c r="AD235" s="1433"/>
      <c r="AE235" s="1433"/>
      <c r="AI235" s="4"/>
      <c r="AJ235" s="4"/>
      <c r="AK235" s="4"/>
      <c r="AL235" s="4"/>
      <c r="AM235" s="4"/>
      <c r="AN235" s="4"/>
      <c r="AO235" s="4"/>
      <c r="AP235" s="4"/>
      <c r="AQ235" s="4"/>
      <c r="AR235" s="4"/>
      <c r="AS235" s="4"/>
      <c r="AT235" s="4"/>
      <c r="BB235" s="205"/>
      <c r="BG235" s="204"/>
    </row>
    <row r="236" spans="1:59" ht="12.95" customHeight="1">
      <c r="D236" s="4" t="s">
        <v>88</v>
      </c>
      <c r="E236" s="4"/>
      <c r="F236" s="4"/>
      <c r="M236" s="1478" t="s">
        <v>2624</v>
      </c>
      <c r="N236" s="1479"/>
      <c r="O236" s="1479"/>
      <c r="P236" s="1479"/>
      <c r="Q236" s="1479"/>
      <c r="R236" s="1479"/>
      <c r="S236" s="4" t="s">
        <v>205</v>
      </c>
      <c r="T236" s="4"/>
      <c r="U236" s="1440"/>
      <c r="V236" s="1440"/>
      <c r="W236" s="1440"/>
      <c r="X236" s="4" t="s">
        <v>89</v>
      </c>
      <c r="Z236" s="1479"/>
      <c r="AA236" s="1479"/>
      <c r="AB236" s="1479"/>
      <c r="AC236" s="1479"/>
      <c r="AD236" s="1479"/>
      <c r="AE236" s="1479"/>
      <c r="AU236" s="4"/>
      <c r="AV236" s="4"/>
      <c r="AW236" s="4"/>
      <c r="AX236" s="4"/>
      <c r="AY236" s="4"/>
      <c r="AZ236" s="4"/>
      <c r="BB236" s="204" t="s">
        <v>537</v>
      </c>
      <c r="BG236" s="241">
        <f>IF(AND(AND($M$249="nonprofit",$M$257="nonprofit",$M$265="(select one)")),1,0)</f>
        <v>0</v>
      </c>
    </row>
    <row r="237" spans="1:59" ht="12.95" customHeight="1">
      <c r="D237" s="4" t="s">
        <v>90</v>
      </c>
      <c r="E237" s="4"/>
      <c r="F237" s="4"/>
      <c r="M237" s="1780" t="s">
        <v>2625</v>
      </c>
      <c r="N237" s="1780"/>
      <c r="O237" s="1780"/>
      <c r="P237" s="1780"/>
      <c r="Q237" s="1780"/>
      <c r="R237" s="1780"/>
      <c r="S237" s="1780"/>
      <c r="T237" s="1780"/>
      <c r="U237" s="1780"/>
      <c r="V237" s="1780"/>
      <c r="W237" s="1780"/>
      <c r="X237" s="1780"/>
      <c r="Y237" s="1780"/>
      <c r="Z237" s="1780"/>
      <c r="AA237" s="1780"/>
      <c r="AB237" s="1780"/>
      <c r="AC237" s="1780"/>
      <c r="AD237" s="1780"/>
      <c r="AE237" s="1780"/>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480" t="s">
        <v>528</v>
      </c>
      <c r="N238" s="1480"/>
      <c r="O238" s="1480"/>
      <c r="P238" s="1480"/>
      <c r="Q238" s="1480"/>
      <c r="R238" s="1480"/>
      <c r="S238" s="1480"/>
      <c r="T238" s="1480"/>
      <c r="U238" s="204" t="s">
        <v>906</v>
      </c>
      <c r="V238" s="204"/>
      <c r="W238" s="204"/>
      <c r="X238" s="204"/>
      <c r="Y238" s="204"/>
      <c r="Z238" s="204"/>
      <c r="AA238" s="1769" t="s">
        <v>2626</v>
      </c>
      <c r="AB238" s="1770"/>
      <c r="AC238" s="1770"/>
      <c r="AD238" s="1770"/>
      <c r="AE238" s="1770"/>
      <c r="AF238" s="1770"/>
      <c r="AG238" s="1770"/>
      <c r="AH238" s="1770"/>
      <c r="AI238" s="1770"/>
      <c r="AJ238" s="1770"/>
      <c r="AK238" s="1770"/>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485"/>
      <c r="N239" s="1485"/>
      <c r="O239" s="1485"/>
      <c r="P239" s="1485"/>
      <c r="Q239" s="1485"/>
      <c r="R239" s="1485"/>
      <c r="S239" s="1485"/>
      <c r="T239" s="1485"/>
      <c r="U239" s="1485"/>
      <c r="V239" s="1485"/>
      <c r="W239" s="1485"/>
      <c r="X239" s="1485"/>
      <c r="Y239" s="1485"/>
      <c r="Z239" s="1485"/>
      <c r="AA239" s="1485"/>
      <c r="AB239" s="1485"/>
      <c r="AC239" s="1485"/>
      <c r="AD239" s="1485"/>
      <c r="AE239" s="1485"/>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62" t="s">
        <v>2627</v>
      </c>
      <c r="N243" s="1463"/>
      <c r="O243" s="1463"/>
      <c r="P243" s="1463"/>
      <c r="Q243" s="1463"/>
      <c r="R243" s="1463"/>
      <c r="S243" s="1463"/>
      <c r="T243" s="1463"/>
      <c r="U243" s="1463"/>
      <c r="V243" s="1463"/>
      <c r="W243" s="1463"/>
      <c r="X243" s="1463"/>
      <c r="Y243" s="1463"/>
      <c r="Z243" s="1463"/>
      <c r="AA243" s="1463"/>
      <c r="AB243" s="1463"/>
      <c r="AC243" s="1463"/>
      <c r="AD243" s="1463"/>
      <c r="AE243" s="1463"/>
      <c r="AF243" s="1463" t="s">
        <v>2628</v>
      </c>
      <c r="AG243" s="1463"/>
      <c r="AH243" s="1463"/>
      <c r="AI243" s="1463"/>
      <c r="AJ243" s="1463"/>
      <c r="AK243" s="1463"/>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60" t="s">
        <v>2629</v>
      </c>
      <c r="N244" s="1433"/>
      <c r="O244" s="1433"/>
      <c r="P244" s="1433"/>
      <c r="Q244" s="1433"/>
      <c r="R244" s="1433"/>
      <c r="S244" s="1433"/>
      <c r="T244" s="1433"/>
      <c r="U244" s="1433"/>
      <c r="V244" s="1433"/>
      <c r="W244" s="1433"/>
      <c r="X244" s="1433"/>
      <c r="Y244" s="1433"/>
      <c r="Z244" s="1433"/>
      <c r="AA244" s="1433"/>
      <c r="AB244" s="1433"/>
      <c r="AC244" s="1433"/>
      <c r="AD244" s="1433"/>
      <c r="AE244" s="1433"/>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460" t="s">
        <v>2621</v>
      </c>
      <c r="N245" s="1433"/>
      <c r="O245" s="1433"/>
      <c r="P245" s="1433"/>
      <c r="Q245" s="1433"/>
      <c r="R245" s="1433"/>
      <c r="S245" s="1433"/>
      <c r="T245" s="1433"/>
      <c r="V245" s="33" t="s">
        <v>86</v>
      </c>
      <c r="W245" s="1416" t="s">
        <v>2622</v>
      </c>
      <c r="X245" s="1440"/>
      <c r="Y245" s="4" t="s">
        <v>583</v>
      </c>
      <c r="AC245" s="1433">
        <v>33139</v>
      </c>
      <c r="AD245" s="1433"/>
      <c r="AE245" s="1433"/>
      <c r="AF245" s="3" t="s">
        <v>1180</v>
      </c>
      <c r="AU245" s="4"/>
      <c r="AV245" s="4"/>
      <c r="AW245" s="4"/>
      <c r="AX245" s="4"/>
      <c r="AY245" s="4"/>
      <c r="BB245" s="4" t="s">
        <v>279</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60" t="s">
        <v>2630</v>
      </c>
      <c r="N246" s="1433"/>
      <c r="O246" s="1433"/>
      <c r="P246" s="1433"/>
      <c r="Q246" s="1433"/>
      <c r="R246" s="1433"/>
      <c r="S246" s="1433"/>
      <c r="T246" s="1433"/>
      <c r="U246" s="1433"/>
      <c r="V246" s="1433"/>
      <c r="W246" s="1433"/>
      <c r="X246" s="1433"/>
      <c r="Y246" s="1433"/>
      <c r="Z246" s="1433"/>
      <c r="AA246" s="1433"/>
      <c r="AB246" s="1433"/>
      <c r="AC246" s="1433"/>
      <c r="AD246" s="1433"/>
      <c r="AE246" s="1433"/>
      <c r="AH246" s="1764">
        <v>1E-3</v>
      </c>
      <c r="AI246" s="1764"/>
      <c r="AJ246" s="1764"/>
      <c r="AK246" s="1764"/>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478" t="s">
        <v>2631</v>
      </c>
      <c r="N247" s="1479"/>
      <c r="O247" s="1479"/>
      <c r="P247" s="1479"/>
      <c r="Q247" s="1479"/>
      <c r="R247" s="1479"/>
      <c r="S247" s="4" t="s">
        <v>205</v>
      </c>
      <c r="T247" s="4"/>
      <c r="U247" s="1440"/>
      <c r="V247" s="1440"/>
      <c r="W247" s="1440"/>
      <c r="X247" s="4" t="s">
        <v>89</v>
      </c>
      <c r="Z247" s="1479"/>
      <c r="AA247" s="1479"/>
      <c r="AB247" s="1479"/>
      <c r="AC247" s="1479"/>
      <c r="AD247" s="1479"/>
      <c r="AE247" s="1479"/>
      <c r="AU247" s="4"/>
      <c r="AV247" s="4"/>
      <c r="AW247" s="4"/>
      <c r="AX247" s="4"/>
      <c r="AY247" s="4"/>
      <c r="BG247">
        <v>0</v>
      </c>
      <c r="BH247" s="3" t="str">
        <f>""</f>
        <v/>
      </c>
      <c r="BN247" s="34"/>
    </row>
    <row r="248" spans="1:67" ht="12.95" customHeight="1">
      <c r="A248" s="19"/>
      <c r="B248" s="4"/>
      <c r="C248" s="4"/>
      <c r="D248" s="4" t="s">
        <v>90</v>
      </c>
      <c r="E248" s="4"/>
      <c r="F248" s="4"/>
      <c r="M248" s="1780" t="s">
        <v>2632</v>
      </c>
      <c r="N248" s="1780"/>
      <c r="O248" s="1780"/>
      <c r="P248" s="1780"/>
      <c r="Q248" s="1780"/>
      <c r="R248" s="1780"/>
      <c r="S248" s="1780"/>
      <c r="T248" s="1780"/>
      <c r="U248" s="1780"/>
      <c r="V248" s="1780"/>
      <c r="W248" s="1780"/>
      <c r="X248" s="1780"/>
      <c r="Y248" s="1780"/>
      <c r="Z248" s="1780"/>
      <c r="AA248" s="1780"/>
      <c r="AB248" s="1780"/>
      <c r="AC248" s="1780"/>
      <c r="AD248" s="1780"/>
      <c r="AE248" s="1780"/>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480" t="s">
        <v>536</v>
      </c>
      <c r="N249" s="1480"/>
      <c r="O249" s="1480"/>
      <c r="P249" s="1480"/>
      <c r="Q249" s="1480"/>
      <c r="R249" s="1480"/>
      <c r="S249" s="1480"/>
      <c r="T249" s="1480"/>
      <c r="U249" s="204" t="s">
        <v>906</v>
      </c>
      <c r="V249" s="204"/>
      <c r="W249" s="204"/>
      <c r="X249" s="204"/>
      <c r="Y249" s="204"/>
      <c r="Z249" s="204"/>
      <c r="AA249" s="1769" t="s">
        <v>2626</v>
      </c>
      <c r="AB249" s="1770"/>
      <c r="AC249" s="1770"/>
      <c r="AD249" s="1770"/>
      <c r="AE249" s="1770"/>
      <c r="AF249" s="1770"/>
      <c r="AG249" s="1770"/>
      <c r="AH249" s="1770"/>
      <c r="AI249" s="1770"/>
      <c r="AJ249" s="1770"/>
      <c r="AK249" s="1770"/>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62" t="s">
        <v>2633</v>
      </c>
      <c r="N251" s="1463"/>
      <c r="O251" s="1463"/>
      <c r="P251" s="1463"/>
      <c r="Q251" s="1463"/>
      <c r="R251" s="1463"/>
      <c r="S251" s="1463"/>
      <c r="T251" s="1463"/>
      <c r="U251" s="1463"/>
      <c r="V251" s="1463"/>
      <c r="W251" s="1463"/>
      <c r="X251" s="1463"/>
      <c r="Y251" s="1463"/>
      <c r="Z251" s="1463"/>
      <c r="AA251" s="1463"/>
      <c r="AB251" s="1463"/>
      <c r="AC251" s="1463"/>
      <c r="AD251" s="1463"/>
      <c r="AE251" s="1463"/>
      <c r="AF251" s="1463" t="s">
        <v>306</v>
      </c>
      <c r="AG251" s="1463"/>
      <c r="AH251" s="1463"/>
      <c r="AI251" s="1463"/>
      <c r="AJ251" s="1463"/>
      <c r="AK251" s="1463"/>
      <c r="AU251" s="4"/>
      <c r="AV251" s="4"/>
      <c r="AW251" s="4"/>
      <c r="AX251" s="4"/>
      <c r="AY251" s="4"/>
      <c r="BN251" s="34"/>
    </row>
    <row r="252" spans="1:67" ht="12.95" customHeight="1">
      <c r="A252" s="19"/>
      <c r="B252" s="4"/>
      <c r="C252" s="4"/>
      <c r="D252" s="4" t="s">
        <v>85</v>
      </c>
      <c r="E252" s="4"/>
      <c r="F252" s="4"/>
      <c r="G252" s="4"/>
      <c r="H252" s="4"/>
      <c r="I252" s="4"/>
      <c r="J252" s="4"/>
      <c r="K252" s="4"/>
      <c r="L252" s="4"/>
      <c r="M252" s="1460" t="s">
        <v>2634</v>
      </c>
      <c r="N252" s="1433"/>
      <c r="O252" s="1433"/>
      <c r="P252" s="1433"/>
      <c r="Q252" s="1433"/>
      <c r="R252" s="1433"/>
      <c r="S252" s="1433"/>
      <c r="T252" s="1433"/>
      <c r="U252" s="1433"/>
      <c r="V252" s="1433"/>
      <c r="W252" s="1433"/>
      <c r="X252" s="1433"/>
      <c r="Y252" s="1433"/>
      <c r="Z252" s="1433"/>
      <c r="AA252" s="1433"/>
      <c r="AB252" s="1433"/>
      <c r="AC252" s="1433"/>
      <c r="AD252" s="1433"/>
      <c r="AE252" s="1433"/>
      <c r="AF252" s="3" t="s">
        <v>1179</v>
      </c>
      <c r="AL252" s="4"/>
      <c r="AM252" s="4"/>
      <c r="AN252" s="4"/>
      <c r="AO252" s="4"/>
      <c r="AP252" s="4"/>
      <c r="AQ252" s="4"/>
      <c r="AR252" s="4"/>
      <c r="AS252" s="4"/>
      <c r="AT252" s="4"/>
      <c r="BN252" s="34"/>
    </row>
    <row r="253" spans="1:67" ht="12.95" customHeight="1">
      <c r="A253" s="19"/>
      <c r="B253" s="4"/>
      <c r="C253" s="4"/>
      <c r="D253" s="4" t="s">
        <v>580</v>
      </c>
      <c r="E253" s="4"/>
      <c r="M253" s="1460" t="s">
        <v>2635</v>
      </c>
      <c r="N253" s="1433"/>
      <c r="O253" s="1433"/>
      <c r="P253" s="1433"/>
      <c r="Q253" s="1433"/>
      <c r="R253" s="1433"/>
      <c r="S253" s="1433"/>
      <c r="T253" s="1433"/>
      <c r="V253" s="33" t="s">
        <v>86</v>
      </c>
      <c r="W253" s="1416" t="s">
        <v>2636</v>
      </c>
      <c r="X253" s="1440"/>
      <c r="Y253" s="4" t="s">
        <v>583</v>
      </c>
      <c r="AC253" s="1433">
        <v>95816</v>
      </c>
      <c r="AD253" s="1433"/>
      <c r="AE253" s="1433"/>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60" t="s">
        <v>2637</v>
      </c>
      <c r="N254" s="1433"/>
      <c r="O254" s="1433"/>
      <c r="P254" s="1433"/>
      <c r="Q254" s="1433"/>
      <c r="R254" s="1433"/>
      <c r="S254" s="1433"/>
      <c r="T254" s="1433"/>
      <c r="U254" s="1433"/>
      <c r="V254" s="1433"/>
      <c r="W254" s="1433"/>
      <c r="X254" s="1433"/>
      <c r="Y254" s="1433"/>
      <c r="Z254" s="1433"/>
      <c r="AA254" s="1433"/>
      <c r="AB254" s="1433"/>
      <c r="AC254" s="1433"/>
      <c r="AD254" s="1433"/>
      <c r="AE254" s="1433"/>
      <c r="AH254" s="1764">
        <v>1E-3</v>
      </c>
      <c r="AI254" s="1764"/>
      <c r="AJ254" s="1764"/>
      <c r="AK254" s="1764"/>
      <c r="AL254" s="4"/>
      <c r="AM254" s="4"/>
      <c r="AN254" s="4"/>
      <c r="AO254" s="4"/>
      <c r="AP254" s="4"/>
      <c r="AQ254" s="4"/>
      <c r="AR254" s="4"/>
      <c r="AS254" s="4"/>
      <c r="AT254" s="4"/>
    </row>
    <row r="255" spans="1:67" ht="12.95" customHeight="1">
      <c r="A255" s="19"/>
      <c r="B255" s="4"/>
      <c r="C255" s="4"/>
      <c r="D255" s="4" t="s">
        <v>88</v>
      </c>
      <c r="E255" s="4"/>
      <c r="F255" s="4"/>
      <c r="M255" s="1478" t="s">
        <v>2638</v>
      </c>
      <c r="N255" s="1479"/>
      <c r="O255" s="1479"/>
      <c r="P255" s="1479"/>
      <c r="Q255" s="1479"/>
      <c r="R255" s="1479"/>
      <c r="S255" s="4" t="s">
        <v>205</v>
      </c>
      <c r="T255" s="4"/>
      <c r="U255" s="1440"/>
      <c r="V255" s="1440"/>
      <c r="W255" s="1440"/>
      <c r="X255" s="4" t="s">
        <v>89</v>
      </c>
      <c r="Z255" s="1479"/>
      <c r="AA255" s="1479"/>
      <c r="AB255" s="1479"/>
      <c r="AC255" s="1479"/>
      <c r="AD255" s="1479"/>
      <c r="AE255" s="1479"/>
      <c r="AU255" s="4"/>
      <c r="AV255" s="4"/>
      <c r="AW255" s="4"/>
      <c r="AX255" s="4"/>
      <c r="AY255" s="4"/>
      <c r="BN255" s="34"/>
    </row>
    <row r="256" spans="1:67" ht="12.95" customHeight="1">
      <c r="A256" s="19"/>
      <c r="B256" s="4"/>
      <c r="C256" s="4"/>
      <c r="D256" s="4" t="s">
        <v>90</v>
      </c>
      <c r="E256" s="4"/>
      <c r="F256" s="4"/>
      <c r="M256" s="1780" t="s">
        <v>2639</v>
      </c>
      <c r="N256" s="1780"/>
      <c r="O256" s="1780"/>
      <c r="P256" s="1780"/>
      <c r="Q256" s="1780"/>
      <c r="R256" s="1780"/>
      <c r="S256" s="1780"/>
      <c r="T256" s="1780"/>
      <c r="U256" s="1780"/>
      <c r="V256" s="1780"/>
      <c r="W256" s="1780"/>
      <c r="X256" s="1780"/>
      <c r="Y256" s="1780"/>
      <c r="Z256" s="1780"/>
      <c r="AA256" s="1780"/>
      <c r="AB256" s="1780"/>
      <c r="AC256" s="1780"/>
      <c r="AD256" s="1780"/>
      <c r="AE256" s="1780"/>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480" t="s">
        <v>534</v>
      </c>
      <c r="N257" s="1480"/>
      <c r="O257" s="1480"/>
      <c r="P257" s="1480"/>
      <c r="Q257" s="1480"/>
      <c r="R257" s="1480"/>
      <c r="S257" s="1480"/>
      <c r="T257" s="1480"/>
      <c r="U257" s="204" t="s">
        <v>906</v>
      </c>
      <c r="V257" s="204"/>
      <c r="W257" s="204"/>
      <c r="X257" s="204"/>
      <c r="Y257" s="204"/>
      <c r="Z257" s="204"/>
      <c r="AA257" s="1769" t="s">
        <v>2640</v>
      </c>
      <c r="AB257" s="1770"/>
      <c r="AC257" s="1770"/>
      <c r="AD257" s="1770"/>
      <c r="AE257" s="1770"/>
      <c r="AF257" s="1770"/>
      <c r="AG257" s="1770"/>
      <c r="AH257" s="1770"/>
      <c r="AI257" s="1770"/>
      <c r="AJ257" s="1770"/>
      <c r="AK257" s="1770"/>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63"/>
      <c r="N259" s="1463"/>
      <c r="O259" s="1463"/>
      <c r="P259" s="1463"/>
      <c r="Q259" s="1463"/>
      <c r="R259" s="1463"/>
      <c r="S259" s="1463"/>
      <c r="T259" s="1463"/>
      <c r="U259" s="1463"/>
      <c r="V259" s="1463"/>
      <c r="W259" s="1463"/>
      <c r="X259" s="1463"/>
      <c r="Y259" s="1463"/>
      <c r="Z259" s="1463"/>
      <c r="AA259" s="1463"/>
      <c r="AB259" s="1463"/>
      <c r="AC259" s="1463"/>
      <c r="AD259" s="1463"/>
      <c r="AE259" s="1463"/>
      <c r="AF259" s="1463" t="s">
        <v>306</v>
      </c>
      <c r="AG259" s="1463"/>
      <c r="AH259" s="1463"/>
      <c r="AI259" s="1463"/>
      <c r="AJ259" s="1463"/>
      <c r="AK259" s="1463"/>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33"/>
      <c r="N260" s="1433"/>
      <c r="O260" s="1433"/>
      <c r="P260" s="1433"/>
      <c r="Q260" s="1433"/>
      <c r="R260" s="1433"/>
      <c r="S260" s="1433"/>
      <c r="T260" s="1433"/>
      <c r="U260" s="1433"/>
      <c r="V260" s="1433"/>
      <c r="W260" s="1433"/>
      <c r="X260" s="1433"/>
      <c r="Y260" s="1433"/>
      <c r="Z260" s="1433"/>
      <c r="AA260" s="1433"/>
      <c r="AB260" s="1433"/>
      <c r="AC260" s="1433"/>
      <c r="AD260" s="1433"/>
      <c r="AE260" s="1433"/>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33"/>
      <c r="N261" s="1433"/>
      <c r="O261" s="1433"/>
      <c r="P261" s="1433"/>
      <c r="Q261" s="1433"/>
      <c r="R261" s="1433"/>
      <c r="S261" s="1433"/>
      <c r="T261" s="1433"/>
      <c r="V261" s="33" t="s">
        <v>86</v>
      </c>
      <c r="W261" s="1440"/>
      <c r="X261" s="1440"/>
      <c r="Y261" s="4" t="s">
        <v>583</v>
      </c>
      <c r="AC261" s="1433"/>
      <c r="AD261" s="1433"/>
      <c r="AE261" s="1433"/>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33"/>
      <c r="N262" s="1433"/>
      <c r="O262" s="1433"/>
      <c r="P262" s="1433"/>
      <c r="Q262" s="1433"/>
      <c r="R262" s="1433"/>
      <c r="S262" s="1433"/>
      <c r="T262" s="1433"/>
      <c r="U262" s="1433"/>
      <c r="V262" s="1433"/>
      <c r="W262" s="1433"/>
      <c r="X262" s="1433"/>
      <c r="Y262" s="1433"/>
      <c r="Z262" s="1433"/>
      <c r="AA262" s="1433"/>
      <c r="AB262" s="1433"/>
      <c r="AC262" s="1433"/>
      <c r="AD262" s="1433"/>
      <c r="AE262" s="1433"/>
      <c r="AH262" s="1764"/>
      <c r="AI262" s="1764"/>
      <c r="AJ262" s="1764"/>
      <c r="AK262" s="1764"/>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79"/>
      <c r="N263" s="1479"/>
      <c r="O263" s="1479"/>
      <c r="P263" s="1479"/>
      <c r="Q263" s="1479"/>
      <c r="R263" s="1479"/>
      <c r="S263" s="4" t="s">
        <v>205</v>
      </c>
      <c r="T263" s="4"/>
      <c r="U263" s="1440"/>
      <c r="V263" s="1440"/>
      <c r="W263" s="1440"/>
      <c r="X263" s="4" t="s">
        <v>89</v>
      </c>
      <c r="Z263" s="1479"/>
      <c r="AA263" s="1479"/>
      <c r="AB263" s="1479"/>
      <c r="AC263" s="1479"/>
      <c r="AD263" s="1479"/>
      <c r="AE263" s="1479"/>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0"/>
      <c r="N264" s="1780"/>
      <c r="O264" s="1780"/>
      <c r="P264" s="1780"/>
      <c r="Q264" s="1780"/>
      <c r="R264" s="1780"/>
      <c r="S264" s="1780"/>
      <c r="T264" s="1780"/>
      <c r="U264" s="1780"/>
      <c r="V264" s="1780"/>
      <c r="W264" s="1780"/>
      <c r="X264" s="1780"/>
      <c r="Y264" s="1780"/>
      <c r="Z264" s="1780"/>
      <c r="AA264" s="1797"/>
      <c r="AB264" s="1797"/>
      <c r="AC264" s="1797"/>
      <c r="AD264" s="1797"/>
      <c r="AE264" s="179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480" t="s">
        <v>306</v>
      </c>
      <c r="N265" s="1480"/>
      <c r="O265" s="1480"/>
      <c r="P265" s="1480"/>
      <c r="Q265" s="1480"/>
      <c r="R265" s="1480"/>
      <c r="S265" s="1480"/>
      <c r="T265" s="1480"/>
      <c r="U265" s="204" t="s">
        <v>906</v>
      </c>
      <c r="V265" s="204"/>
      <c r="W265" s="204"/>
      <c r="X265" s="204"/>
      <c r="Y265" s="204"/>
      <c r="Z265" s="204"/>
      <c r="AA265" s="1762"/>
      <c r="AB265" s="1762"/>
      <c r="AC265" s="1762"/>
      <c r="AD265" s="1762"/>
      <c r="AE265" s="1762"/>
      <c r="AF265" s="1762"/>
      <c r="AG265" s="1762"/>
      <c r="AH265" s="1762"/>
      <c r="AI265" s="1762"/>
      <c r="AJ265" s="1762"/>
      <c r="AK265" s="1762"/>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63" t="str">
        <f>IFERROR(BO245,"")</f>
        <v>Joint Venture</v>
      </c>
      <c r="U267" s="1763"/>
      <c r="V267" s="1763"/>
      <c r="W267" s="1763"/>
      <c r="X267" s="1763"/>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33" t="s">
        <v>279</v>
      </c>
      <c r="E270" s="1433"/>
      <c r="F270" s="1433"/>
      <c r="G270" s="1433"/>
      <c r="H270" s="1433"/>
      <c r="J270" t="s">
        <v>278</v>
      </c>
      <c r="X270" s="1689"/>
      <c r="Y270" s="1689"/>
      <c r="Z270" s="1689"/>
      <c r="AA270" s="1689"/>
      <c r="AB270" s="1689"/>
      <c r="AC270" s="1689"/>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62" t="s">
        <v>2641</v>
      </c>
      <c r="M274" s="1463"/>
      <c r="N274" s="1463"/>
      <c r="O274" s="1463"/>
      <c r="P274" s="1463"/>
      <c r="Q274" s="1463"/>
      <c r="R274" s="1463"/>
      <c r="S274" s="1463"/>
      <c r="T274" s="1463"/>
      <c r="U274" s="1463"/>
      <c r="V274" s="1463"/>
      <c r="W274" s="1463"/>
      <c r="X274" s="1463"/>
      <c r="Y274" s="1463"/>
      <c r="Z274" s="1463"/>
      <c r="AA274" s="1463"/>
      <c r="AB274" s="1463"/>
      <c r="AC274" s="1463"/>
      <c r="AD274" s="1463"/>
      <c r="AE274" s="1463"/>
      <c r="AF274" s="1463"/>
      <c r="AG274" s="1463"/>
      <c r="AH274" s="1463"/>
      <c r="AI274" s="1463"/>
      <c r="AJ274" s="1463"/>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60" t="s">
        <v>2642</v>
      </c>
      <c r="M275" s="1433"/>
      <c r="N275" s="1433"/>
      <c r="O275" s="1433"/>
      <c r="P275" s="1433"/>
      <c r="Q275" s="1433"/>
      <c r="R275" s="1433"/>
      <c r="S275" s="1433"/>
      <c r="T275" s="1433"/>
      <c r="U275" s="1433"/>
      <c r="V275" s="1433"/>
      <c r="W275" s="1433"/>
      <c r="X275" s="1433"/>
      <c r="Y275" s="1433"/>
      <c r="Z275" s="1433"/>
      <c r="AA275" s="1433"/>
      <c r="AB275" s="1433"/>
      <c r="AC275" s="1433"/>
      <c r="AD275" s="1433"/>
      <c r="AK275" s="3"/>
      <c r="AL275" s="3"/>
      <c r="AM275" s="3"/>
      <c r="AN275" s="3"/>
      <c r="AO275" s="3"/>
      <c r="AP275" s="3"/>
      <c r="AQ275" s="3"/>
      <c r="AR275" s="3"/>
      <c r="AS275" s="3"/>
      <c r="AT275" s="3"/>
      <c r="AU275" s="3"/>
      <c r="AV275" s="3"/>
      <c r="AW275" s="3"/>
      <c r="AX275" s="3"/>
      <c r="AY275" s="3"/>
    </row>
    <row r="276" spans="1:51" ht="12.95" customHeight="1">
      <c r="D276" s="4" t="s">
        <v>580</v>
      </c>
      <c r="E276" s="4"/>
      <c r="L276" s="1460" t="s">
        <v>2643</v>
      </c>
      <c r="M276" s="1433"/>
      <c r="N276" s="1433"/>
      <c r="O276" s="1433"/>
      <c r="P276" s="1433"/>
      <c r="Q276" s="1433"/>
      <c r="R276" s="1433"/>
      <c r="S276" s="1433"/>
      <c r="U276" s="33" t="s">
        <v>86</v>
      </c>
      <c r="V276" s="1416" t="s">
        <v>2636</v>
      </c>
      <c r="W276" s="1440"/>
      <c r="X276" s="4" t="s">
        <v>583</v>
      </c>
      <c r="AB276" s="1433">
        <v>94901</v>
      </c>
      <c r="AC276" s="1433"/>
      <c r="AD276" s="1433"/>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60" t="s">
        <v>2644</v>
      </c>
      <c r="M277" s="1433"/>
      <c r="N277" s="1433"/>
      <c r="O277" s="1433"/>
      <c r="P277" s="1433"/>
      <c r="Q277" s="1433"/>
      <c r="R277" s="1433"/>
      <c r="S277" s="1433"/>
      <c r="T277" s="1433"/>
      <c r="U277" s="1433"/>
      <c r="V277" s="1433"/>
      <c r="W277" s="1433"/>
      <c r="X277" s="1433"/>
      <c r="Y277" s="1433"/>
      <c r="Z277" s="1433"/>
      <c r="AA277" s="1433"/>
      <c r="AB277" s="1433"/>
      <c r="AC277" s="1433"/>
      <c r="AD277" s="1433"/>
      <c r="AI277" s="4"/>
      <c r="AJ277" s="4"/>
      <c r="AK277" s="3"/>
      <c r="AL277" s="3"/>
      <c r="AM277" s="3"/>
      <c r="AN277" s="3"/>
      <c r="AO277" s="3"/>
      <c r="AP277" s="3"/>
      <c r="AQ277" s="3"/>
      <c r="AR277" s="3"/>
      <c r="AS277" s="3"/>
      <c r="AT277" s="3"/>
    </row>
    <row r="278" spans="1:51" ht="12.95" customHeight="1">
      <c r="D278" s="4" t="s">
        <v>88</v>
      </c>
      <c r="E278" s="4"/>
      <c r="F278" s="4"/>
      <c r="L278" s="1478" t="s">
        <v>2645</v>
      </c>
      <c r="M278" s="1479"/>
      <c r="N278" s="1479"/>
      <c r="O278" s="1479"/>
      <c r="P278" s="1479"/>
      <c r="Q278" s="1479"/>
      <c r="R278" s="4" t="s">
        <v>205</v>
      </c>
      <c r="S278" s="4"/>
      <c r="T278" s="1440"/>
      <c r="U278" s="1440"/>
      <c r="V278" s="1440"/>
      <c r="W278" s="4" t="s">
        <v>89</v>
      </c>
      <c r="Y278" s="1479"/>
      <c r="Z278" s="1479"/>
      <c r="AA278" s="1479"/>
      <c r="AB278" s="1479"/>
      <c r="AC278" s="1479"/>
      <c r="AD278" s="1479"/>
    </row>
    <row r="279" spans="1:51" ht="12.95" customHeight="1">
      <c r="D279" s="4" t="s">
        <v>90</v>
      </c>
      <c r="E279" s="4"/>
      <c r="F279" s="4"/>
      <c r="L279" s="1780" t="s">
        <v>2646</v>
      </c>
      <c r="M279" s="1780"/>
      <c r="N279" s="1780"/>
      <c r="O279" s="1780"/>
      <c r="P279" s="1780"/>
      <c r="Q279" s="1780"/>
      <c r="R279" s="1780"/>
      <c r="S279" s="1780"/>
      <c r="T279" s="1780"/>
      <c r="U279" s="1780"/>
      <c r="V279" s="1780"/>
      <c r="W279" s="1780"/>
      <c r="X279" s="1780"/>
      <c r="Y279" s="1780"/>
      <c r="Z279" s="1780"/>
      <c r="AA279" s="1780"/>
      <c r="AB279" s="1780"/>
      <c r="AC279" s="1780"/>
      <c r="AD279" s="1780"/>
      <c r="AF279" s="4"/>
      <c r="AG279" s="4"/>
      <c r="AH279" s="4"/>
      <c r="AI279" s="4"/>
      <c r="AJ279" s="4"/>
      <c r="AU279" s="3"/>
      <c r="AV279" s="3"/>
      <c r="AW279" s="3"/>
      <c r="AX279" s="3"/>
      <c r="AY279" s="3"/>
    </row>
    <row r="280" spans="1:51" ht="12.95" customHeight="1">
      <c r="D280" s="3" t="s">
        <v>623</v>
      </c>
      <c r="E280" s="3"/>
      <c r="F280" s="3"/>
      <c r="G280" s="3"/>
      <c r="H280" s="3"/>
      <c r="I280" s="3"/>
      <c r="L280" s="1416" t="s">
        <v>2647</v>
      </c>
      <c r="M280" s="1416"/>
      <c r="N280" s="1416"/>
      <c r="O280" s="1416"/>
      <c r="P280" s="1416"/>
      <c r="Q280" s="1416"/>
      <c r="R280" s="1416"/>
      <c r="S280" s="1416"/>
      <c r="T280" s="1416"/>
      <c r="U280" s="1416"/>
      <c r="V280" s="1416"/>
      <c r="W280" s="1416"/>
      <c r="X280" s="1416"/>
      <c r="Y280" s="1416"/>
      <c r="Z280" s="1416"/>
      <c r="AA280" s="1416"/>
      <c r="AB280" s="1416"/>
      <c r="AC280" s="1416"/>
      <c r="AD280" s="1416"/>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98" t="s">
        <v>541</v>
      </c>
      <c r="B282" s="1498"/>
      <c r="C282" s="1498"/>
      <c r="D282" s="1498"/>
      <c r="E282" s="1498"/>
      <c r="F282" s="1498"/>
      <c r="G282" s="1498"/>
      <c r="H282" s="1498"/>
      <c r="I282" s="1498"/>
      <c r="J282" s="1498"/>
      <c r="K282" s="1498"/>
      <c r="L282" s="1498"/>
      <c r="M282" s="1498"/>
      <c r="N282" s="1498"/>
      <c r="O282" s="1498"/>
      <c r="P282" s="1498"/>
      <c r="Q282" s="1498"/>
      <c r="R282" s="1498"/>
      <c r="S282" s="1498"/>
      <c r="T282" s="1498"/>
      <c r="U282" s="1498"/>
      <c r="V282" s="1498"/>
      <c r="W282" s="1498"/>
      <c r="X282" s="1498"/>
      <c r="Y282" s="1498"/>
      <c r="Z282" s="1498"/>
      <c r="AA282" s="1498"/>
      <c r="AB282" s="1498"/>
      <c r="AC282" s="1498"/>
      <c r="AD282" s="1498"/>
      <c r="AE282" s="1498"/>
      <c r="AF282" s="1498"/>
      <c r="AG282" s="1498"/>
      <c r="AH282" s="1498"/>
      <c r="AI282" s="1498"/>
      <c r="AJ282" s="1498"/>
      <c r="AK282" s="1498"/>
      <c r="AL282" s="1498"/>
      <c r="AM282" s="1498"/>
      <c r="AN282" s="1498"/>
      <c r="AO282" s="1498"/>
      <c r="AP282" s="1498"/>
      <c r="AQ282" s="1498"/>
      <c r="AR282" s="1498"/>
      <c r="AS282" s="1498"/>
      <c r="AT282" s="1498"/>
      <c r="AU282" s="95"/>
      <c r="AV282" s="95"/>
      <c r="AW282" s="95"/>
      <c r="AX282" s="95"/>
      <c r="AY282" s="95"/>
    </row>
    <row r="283" spans="1:51" ht="12.95" customHeight="1">
      <c r="A283" s="1498"/>
      <c r="B283" s="1498"/>
      <c r="C283" s="1498"/>
      <c r="D283" s="1498"/>
      <c r="E283" s="1498"/>
      <c r="F283" s="1498"/>
      <c r="G283" s="1498"/>
      <c r="H283" s="1498"/>
      <c r="I283" s="1498"/>
      <c r="J283" s="1498"/>
      <c r="K283" s="1498"/>
      <c r="L283" s="1498"/>
      <c r="M283" s="1498"/>
      <c r="N283" s="1498"/>
      <c r="O283" s="1498"/>
      <c r="P283" s="1498"/>
      <c r="Q283" s="1498"/>
      <c r="R283" s="1498"/>
      <c r="S283" s="1498"/>
      <c r="T283" s="1498"/>
      <c r="U283" s="1498"/>
      <c r="V283" s="1498"/>
      <c r="W283" s="1498"/>
      <c r="X283" s="1498"/>
      <c r="Y283" s="1498"/>
      <c r="Z283" s="1498"/>
      <c r="AA283" s="1498"/>
      <c r="AB283" s="1498"/>
      <c r="AC283" s="1498"/>
      <c r="AD283" s="1498"/>
      <c r="AE283" s="1498"/>
      <c r="AF283" s="1498"/>
      <c r="AG283" s="1498"/>
      <c r="AH283" s="1498"/>
      <c r="AI283" s="1498"/>
      <c r="AJ283" s="1498"/>
      <c r="AK283" s="1498"/>
      <c r="AL283" s="1498"/>
      <c r="AM283" s="1498"/>
      <c r="AN283" s="1498"/>
      <c r="AO283" s="1498"/>
      <c r="AP283" s="1498"/>
      <c r="AQ283" s="1498"/>
      <c r="AR283" s="1498"/>
      <c r="AS283" s="1498"/>
      <c r="AT283" s="1498"/>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485" t="s">
        <v>2648</v>
      </c>
      <c r="I287" s="1485"/>
      <c r="J287" s="1485"/>
      <c r="K287" s="1485"/>
      <c r="L287" s="1485"/>
      <c r="M287" s="1485"/>
      <c r="N287" s="1485"/>
      <c r="O287" s="1485"/>
      <c r="P287" s="1485"/>
      <c r="Q287" s="1485"/>
      <c r="R287" s="1485"/>
      <c r="T287" s="3" t="s">
        <v>567</v>
      </c>
      <c r="V287" s="3"/>
      <c r="W287" s="3"/>
      <c r="X287" s="3"/>
      <c r="Y287" s="3"/>
      <c r="AA287" s="1485" t="s">
        <v>2649</v>
      </c>
      <c r="AB287" s="1485"/>
      <c r="AC287" s="1485"/>
      <c r="AD287" s="1485"/>
      <c r="AE287" s="1485"/>
      <c r="AF287" s="1485"/>
      <c r="AG287" s="1485"/>
      <c r="AH287" s="1485"/>
      <c r="AI287" s="1485"/>
      <c r="AJ287" s="1485"/>
      <c r="AK287" s="1485"/>
    </row>
    <row r="288" spans="1:51" ht="12.95" customHeight="1">
      <c r="B288" s="3" t="s">
        <v>471</v>
      </c>
      <c r="C288" s="3"/>
      <c r="D288" s="3"/>
      <c r="E288" s="3"/>
      <c r="F288" s="3"/>
      <c r="H288" s="1480" t="s">
        <v>2629</v>
      </c>
      <c r="I288" s="1480"/>
      <c r="J288" s="1480"/>
      <c r="K288" s="1480"/>
      <c r="L288" s="1480"/>
      <c r="M288" s="1480"/>
      <c r="N288" s="1480"/>
      <c r="O288" s="1480"/>
      <c r="P288" s="1480"/>
      <c r="Q288" s="1480"/>
      <c r="R288" s="1480"/>
      <c r="T288" s="3" t="s">
        <v>471</v>
      </c>
      <c r="V288" s="3"/>
      <c r="W288" s="3"/>
      <c r="X288" s="3"/>
      <c r="Y288" s="3"/>
      <c r="AA288" s="1480" t="s">
        <v>2650</v>
      </c>
      <c r="AB288" s="1480"/>
      <c r="AC288" s="1480"/>
      <c r="AD288" s="1480"/>
      <c r="AE288" s="1480"/>
      <c r="AF288" s="1480"/>
      <c r="AG288" s="1480"/>
      <c r="AH288" s="1480"/>
      <c r="AI288" s="1480"/>
      <c r="AJ288" s="1480"/>
      <c r="AK288" s="1480"/>
    </row>
    <row r="289" spans="2:37" ht="12.95" customHeight="1">
      <c r="B289" s="3" t="s">
        <v>472</v>
      </c>
      <c r="C289" s="3"/>
      <c r="D289" s="3"/>
      <c r="E289" s="3"/>
      <c r="F289" s="3"/>
      <c r="H289" s="1480" t="s">
        <v>2807</v>
      </c>
      <c r="I289" s="1480"/>
      <c r="J289" s="1480"/>
      <c r="K289" s="1480"/>
      <c r="L289" s="1480"/>
      <c r="M289" s="1480"/>
      <c r="N289" s="1480"/>
      <c r="O289" s="1480"/>
      <c r="P289" s="1480"/>
      <c r="Q289" s="1480"/>
      <c r="R289" s="1480"/>
      <c r="T289" s="3" t="s">
        <v>75</v>
      </c>
      <c r="V289" s="3"/>
      <c r="W289" s="3"/>
      <c r="X289" s="3"/>
      <c r="Y289" s="3"/>
      <c r="AA289" s="1480" t="s">
        <v>2651</v>
      </c>
      <c r="AB289" s="1480"/>
      <c r="AC289" s="1480"/>
      <c r="AD289" s="1480"/>
      <c r="AE289" s="1480"/>
      <c r="AF289" s="1480"/>
      <c r="AG289" s="1480"/>
      <c r="AH289" s="1480"/>
      <c r="AI289" s="1480"/>
      <c r="AJ289" s="1480"/>
      <c r="AK289" s="1480"/>
    </row>
    <row r="290" spans="2:37" ht="12.95" customHeight="1">
      <c r="B290" s="3" t="s">
        <v>87</v>
      </c>
      <c r="C290" s="3"/>
      <c r="D290" s="3"/>
      <c r="E290" s="3"/>
      <c r="F290" s="3"/>
      <c r="H290" s="1480" t="s">
        <v>2630</v>
      </c>
      <c r="I290" s="1480"/>
      <c r="J290" s="1480"/>
      <c r="K290" s="1480"/>
      <c r="L290" s="1480"/>
      <c r="M290" s="1480"/>
      <c r="N290" s="1480"/>
      <c r="O290" s="1480"/>
      <c r="P290" s="1480"/>
      <c r="Q290" s="1480"/>
      <c r="R290" s="1480"/>
      <c r="T290" s="3" t="s">
        <v>87</v>
      </c>
      <c r="V290" s="3"/>
      <c r="W290" s="3"/>
      <c r="X290" s="3"/>
      <c r="Y290" s="3"/>
      <c r="AA290" s="1480" t="s">
        <v>2652</v>
      </c>
      <c r="AB290" s="1480"/>
      <c r="AC290" s="1480"/>
      <c r="AD290" s="1480"/>
      <c r="AE290" s="1480"/>
      <c r="AF290" s="1480"/>
      <c r="AG290" s="1480"/>
      <c r="AH290" s="1480"/>
      <c r="AI290" s="1480"/>
      <c r="AJ290" s="1480"/>
      <c r="AK290" s="1480"/>
    </row>
    <row r="291" spans="2:37" ht="12.95" customHeight="1">
      <c r="B291" s="3" t="s">
        <v>88</v>
      </c>
      <c r="C291" s="3"/>
      <c r="D291" s="3"/>
      <c r="E291" s="3"/>
      <c r="F291" s="3"/>
      <c r="G291" s="3"/>
      <c r="H291" s="1499" t="s">
        <v>2631</v>
      </c>
      <c r="I291" s="1500"/>
      <c r="J291" s="1500"/>
      <c r="K291" s="1500"/>
      <c r="L291" s="1500"/>
      <c r="M291" s="1500"/>
      <c r="N291" s="4" t="s">
        <v>205</v>
      </c>
      <c r="O291" s="4"/>
      <c r="P291" s="1433"/>
      <c r="Q291" s="1433"/>
      <c r="R291" s="1433"/>
      <c r="S291" s="3"/>
      <c r="T291" s="3" t="s">
        <v>88</v>
      </c>
      <c r="V291" s="3"/>
      <c r="W291" s="3"/>
      <c r="X291" s="3"/>
      <c r="Y291" s="3"/>
      <c r="AA291" s="1499" t="s">
        <v>2653</v>
      </c>
      <c r="AB291" s="1500"/>
      <c r="AC291" s="1500"/>
      <c r="AD291" s="1500"/>
      <c r="AE291" s="1500"/>
      <c r="AF291" s="1500"/>
      <c r="AG291" s="4" t="s">
        <v>205</v>
      </c>
      <c r="AH291" s="4"/>
      <c r="AI291" s="1433"/>
      <c r="AJ291" s="1433"/>
      <c r="AK291" s="1433"/>
    </row>
    <row r="292" spans="2:37" ht="12.95" customHeight="1">
      <c r="B292" s="3" t="s">
        <v>89</v>
      </c>
      <c r="C292" s="3"/>
      <c r="D292" s="3"/>
      <c r="E292" s="3"/>
      <c r="F292" s="3"/>
      <c r="G292" s="3"/>
      <c r="H292" s="1479"/>
      <c r="I292" s="1479"/>
      <c r="J292" s="1479"/>
      <c r="K292" s="1479"/>
      <c r="L292" s="1479"/>
      <c r="M292" s="1479"/>
      <c r="N292" s="4"/>
      <c r="O292" s="4"/>
      <c r="P292" s="35"/>
      <c r="Q292" s="35"/>
      <c r="R292" s="35"/>
      <c r="S292" s="3"/>
      <c r="T292" s="3" t="s">
        <v>89</v>
      </c>
      <c r="V292" s="3"/>
      <c r="W292" s="3"/>
      <c r="X292" s="3"/>
      <c r="Y292" s="3"/>
      <c r="AA292" s="1479"/>
      <c r="AB292" s="1479"/>
      <c r="AC292" s="1479"/>
      <c r="AD292" s="1479"/>
      <c r="AE292" s="1479"/>
      <c r="AF292" s="1479"/>
      <c r="AG292" s="4"/>
      <c r="AH292" s="4"/>
      <c r="AI292" s="35"/>
      <c r="AJ292" s="35"/>
      <c r="AK292" s="35"/>
    </row>
    <row r="293" spans="2:37" ht="12.95" customHeight="1">
      <c r="B293" s="3" t="s">
        <v>76</v>
      </c>
      <c r="C293" s="3"/>
      <c r="D293" s="3"/>
      <c r="E293" s="3"/>
      <c r="F293" s="3"/>
      <c r="G293" s="3"/>
      <c r="H293" s="1480" t="s">
        <v>2632</v>
      </c>
      <c r="I293" s="1480"/>
      <c r="J293" s="1480"/>
      <c r="K293" s="1480"/>
      <c r="L293" s="1480"/>
      <c r="M293" s="1480"/>
      <c r="N293" s="1485"/>
      <c r="O293" s="1485"/>
      <c r="P293" s="1485"/>
      <c r="Q293" s="1485"/>
      <c r="R293" s="1485"/>
      <c r="S293" s="3"/>
      <c r="T293" s="3" t="s">
        <v>76</v>
      </c>
      <c r="V293" s="3"/>
      <c r="W293" s="3"/>
      <c r="X293" s="3"/>
      <c r="Y293" s="3"/>
      <c r="AA293" s="1480" t="s">
        <v>2654</v>
      </c>
      <c r="AB293" s="1480"/>
      <c r="AC293" s="1480"/>
      <c r="AD293" s="1480"/>
      <c r="AE293" s="1480"/>
      <c r="AF293" s="1480"/>
      <c r="AG293" s="1485"/>
      <c r="AH293" s="1485"/>
      <c r="AI293" s="1485"/>
      <c r="AJ293" s="1485"/>
      <c r="AK293" s="1485"/>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485" t="s">
        <v>2655</v>
      </c>
      <c r="I295" s="1485"/>
      <c r="J295" s="1485"/>
      <c r="K295" s="1485"/>
      <c r="L295" s="1485"/>
      <c r="M295" s="1485"/>
      <c r="N295" s="1485"/>
      <c r="O295" s="1485"/>
      <c r="P295" s="1485"/>
      <c r="Q295" s="1485"/>
      <c r="R295" s="1485"/>
      <c r="T295" s="3" t="s">
        <v>363</v>
      </c>
      <c r="V295" s="3"/>
      <c r="W295" s="3"/>
      <c r="X295" s="3"/>
      <c r="Y295" s="3"/>
      <c r="AA295" s="1485" t="s">
        <v>2661</v>
      </c>
      <c r="AB295" s="1485"/>
      <c r="AC295" s="1485"/>
      <c r="AD295" s="1485"/>
      <c r="AE295" s="1485"/>
      <c r="AF295" s="1485"/>
      <c r="AG295" s="1485"/>
      <c r="AH295" s="1485"/>
      <c r="AI295" s="1485"/>
      <c r="AJ295" s="1485"/>
      <c r="AK295" s="1485"/>
    </row>
    <row r="296" spans="2:37" ht="12.95" customHeight="1">
      <c r="B296" s="3" t="s">
        <v>471</v>
      </c>
      <c r="C296" s="3"/>
      <c r="D296" s="3"/>
      <c r="E296" s="3"/>
      <c r="F296" s="3"/>
      <c r="H296" s="1480" t="s">
        <v>2656</v>
      </c>
      <c r="I296" s="1480"/>
      <c r="J296" s="1480"/>
      <c r="K296" s="1480"/>
      <c r="L296" s="1480"/>
      <c r="M296" s="1480"/>
      <c r="N296" s="1480"/>
      <c r="O296" s="1480"/>
      <c r="P296" s="1480"/>
      <c r="Q296" s="1480"/>
      <c r="R296" s="1480"/>
      <c r="T296" s="3" t="s">
        <v>471</v>
      </c>
      <c r="V296" s="3"/>
      <c r="W296" s="3"/>
      <c r="X296" s="3"/>
      <c r="Y296" s="3"/>
      <c r="AA296" s="1480" t="s">
        <v>2662</v>
      </c>
      <c r="AB296" s="1480"/>
      <c r="AC296" s="1480"/>
      <c r="AD296" s="1480"/>
      <c r="AE296" s="1480"/>
      <c r="AF296" s="1480"/>
      <c r="AG296" s="1480"/>
      <c r="AH296" s="1480"/>
      <c r="AI296" s="1480"/>
      <c r="AJ296" s="1480"/>
      <c r="AK296" s="1480"/>
    </row>
    <row r="297" spans="2:37" ht="12.95" customHeight="1">
      <c r="B297" s="3" t="s">
        <v>472</v>
      </c>
      <c r="C297" s="3"/>
      <c r="D297" s="3"/>
      <c r="E297" s="3"/>
      <c r="F297" s="3"/>
      <c r="H297" s="1480" t="s">
        <v>2657</v>
      </c>
      <c r="I297" s="1480"/>
      <c r="J297" s="1480"/>
      <c r="K297" s="1480"/>
      <c r="L297" s="1480"/>
      <c r="M297" s="1480"/>
      <c r="N297" s="1480"/>
      <c r="O297" s="1480"/>
      <c r="P297" s="1480"/>
      <c r="Q297" s="1480"/>
      <c r="R297" s="1480"/>
      <c r="T297" s="3" t="s">
        <v>75</v>
      </c>
      <c r="V297" s="3"/>
      <c r="W297" s="3"/>
      <c r="X297" s="3"/>
      <c r="Y297" s="3"/>
      <c r="AA297" s="1480" t="s">
        <v>2663</v>
      </c>
      <c r="AB297" s="1480"/>
      <c r="AC297" s="1480"/>
      <c r="AD297" s="1480"/>
      <c r="AE297" s="1480"/>
      <c r="AF297" s="1480"/>
      <c r="AG297" s="1480"/>
      <c r="AH297" s="1480"/>
      <c r="AI297" s="1480"/>
      <c r="AJ297" s="1480"/>
      <c r="AK297" s="1480"/>
    </row>
    <row r="298" spans="2:37" ht="12.95" customHeight="1">
      <c r="B298" s="3" t="s">
        <v>87</v>
      </c>
      <c r="C298" s="3"/>
      <c r="D298" s="3"/>
      <c r="E298" s="3"/>
      <c r="F298" s="3"/>
      <c r="H298" s="1480" t="s">
        <v>2658</v>
      </c>
      <c r="I298" s="1480"/>
      <c r="J298" s="1480"/>
      <c r="K298" s="1480"/>
      <c r="L298" s="1480"/>
      <c r="M298" s="1480"/>
      <c r="N298" s="1480"/>
      <c r="O298" s="1480"/>
      <c r="P298" s="1480"/>
      <c r="Q298" s="1480"/>
      <c r="R298" s="1480"/>
      <c r="T298" s="3" t="s">
        <v>87</v>
      </c>
      <c r="V298" s="3"/>
      <c r="W298" s="3"/>
      <c r="X298" s="3"/>
      <c r="Y298" s="3"/>
      <c r="AA298" s="1480" t="s">
        <v>2664</v>
      </c>
      <c r="AB298" s="1480"/>
      <c r="AC298" s="1480"/>
      <c r="AD298" s="1480"/>
      <c r="AE298" s="1480"/>
      <c r="AF298" s="1480"/>
      <c r="AG298" s="1480"/>
      <c r="AH298" s="1480"/>
      <c r="AI298" s="1480"/>
      <c r="AJ298" s="1480"/>
      <c r="AK298" s="1480"/>
    </row>
    <row r="299" spans="2:37" ht="12.95" customHeight="1">
      <c r="B299" s="3" t="s">
        <v>88</v>
      </c>
      <c r="C299" s="3"/>
      <c r="D299" s="3"/>
      <c r="E299" s="3"/>
      <c r="F299" s="3"/>
      <c r="G299" s="3"/>
      <c r="H299" s="1499" t="s">
        <v>2659</v>
      </c>
      <c r="I299" s="1500"/>
      <c r="J299" s="1500"/>
      <c r="K299" s="1500"/>
      <c r="L299" s="1500"/>
      <c r="M299" s="1500"/>
      <c r="N299" s="4" t="s">
        <v>205</v>
      </c>
      <c r="O299" s="4"/>
      <c r="P299" s="1433"/>
      <c r="Q299" s="1433"/>
      <c r="R299" s="1433"/>
      <c r="S299" s="3"/>
      <c r="T299" s="3" t="s">
        <v>88</v>
      </c>
      <c r="V299" s="3"/>
      <c r="W299" s="3"/>
      <c r="X299" s="3"/>
      <c r="Y299" s="3"/>
      <c r="AA299" s="1499" t="s">
        <v>2665</v>
      </c>
      <c r="AB299" s="1500"/>
      <c r="AC299" s="1500"/>
      <c r="AD299" s="1500"/>
      <c r="AE299" s="1500"/>
      <c r="AF299" s="1500"/>
      <c r="AG299" s="4" t="s">
        <v>205</v>
      </c>
      <c r="AH299" s="4"/>
      <c r="AI299" s="1433"/>
      <c r="AJ299" s="1433"/>
      <c r="AK299" s="1433"/>
    </row>
    <row r="300" spans="2:37" ht="12.95" customHeight="1">
      <c r="B300" s="3" t="s">
        <v>89</v>
      </c>
      <c r="C300" s="3"/>
      <c r="D300" s="3"/>
      <c r="E300" s="3"/>
      <c r="F300" s="3"/>
      <c r="G300" s="3"/>
      <c r="H300" s="1479"/>
      <c r="I300" s="1479"/>
      <c r="J300" s="1479"/>
      <c r="K300" s="1479"/>
      <c r="L300" s="1479"/>
      <c r="M300" s="1479"/>
      <c r="N300" s="4"/>
      <c r="O300" s="4"/>
      <c r="P300" s="35"/>
      <c r="Q300" s="35"/>
      <c r="R300" s="35"/>
      <c r="S300" s="3"/>
      <c r="T300" s="3" t="s">
        <v>89</v>
      </c>
      <c r="V300" s="3"/>
      <c r="W300" s="3"/>
      <c r="X300" s="3"/>
      <c r="Y300" s="3"/>
      <c r="AA300" s="1479"/>
      <c r="AB300" s="1479"/>
      <c r="AC300" s="1479"/>
      <c r="AD300" s="1479"/>
      <c r="AE300" s="1479"/>
      <c r="AF300" s="1479"/>
      <c r="AG300" s="4"/>
      <c r="AH300" s="4"/>
      <c r="AI300" s="35"/>
      <c r="AJ300" s="35"/>
      <c r="AK300" s="35"/>
    </row>
    <row r="301" spans="2:37" ht="12.95" customHeight="1">
      <c r="B301" s="3" t="s">
        <v>76</v>
      </c>
      <c r="C301" s="3"/>
      <c r="D301" s="3"/>
      <c r="E301" s="3"/>
      <c r="F301" s="3"/>
      <c r="G301" s="3"/>
      <c r="H301" s="1480" t="s">
        <v>2660</v>
      </c>
      <c r="I301" s="1480"/>
      <c r="J301" s="1480"/>
      <c r="K301" s="1480"/>
      <c r="L301" s="1480"/>
      <c r="M301" s="1480"/>
      <c r="N301" s="1485"/>
      <c r="O301" s="1485"/>
      <c r="P301" s="1485"/>
      <c r="Q301" s="1485"/>
      <c r="R301" s="1485"/>
      <c r="S301" s="3"/>
      <c r="T301" s="3" t="s">
        <v>76</v>
      </c>
      <c r="V301" s="3"/>
      <c r="W301" s="3"/>
      <c r="X301" s="3"/>
      <c r="Y301" s="3"/>
      <c r="AA301" s="1480" t="s">
        <v>2666</v>
      </c>
      <c r="AB301" s="1480"/>
      <c r="AC301" s="1480"/>
      <c r="AD301" s="1480"/>
      <c r="AE301" s="1480"/>
      <c r="AF301" s="1480"/>
      <c r="AG301" s="1485"/>
      <c r="AH301" s="1485"/>
      <c r="AI301" s="1485"/>
      <c r="AJ301" s="1485"/>
      <c r="AK301" s="1485"/>
    </row>
    <row r="302" spans="2:37" ht="12.95" customHeight="1"/>
    <row r="303" spans="2:37" ht="12.95" customHeight="1">
      <c r="B303" s="3" t="s">
        <v>77</v>
      </c>
      <c r="C303" s="3"/>
      <c r="D303" s="3"/>
      <c r="E303" s="3"/>
      <c r="F303" s="3"/>
      <c r="H303" s="1485" t="s">
        <v>2667</v>
      </c>
      <c r="I303" s="1485"/>
      <c r="J303" s="1485"/>
      <c r="K303" s="1485"/>
      <c r="L303" s="1485"/>
      <c r="M303" s="1485"/>
      <c r="N303" s="1485"/>
      <c r="O303" s="1485"/>
      <c r="P303" s="1485"/>
      <c r="Q303" s="1485"/>
      <c r="R303" s="1485"/>
      <c r="T303" s="4" t="s">
        <v>878</v>
      </c>
      <c r="V303" s="3"/>
      <c r="W303" s="3"/>
      <c r="X303" s="3"/>
      <c r="Y303" s="3"/>
      <c r="AA303" s="1485" t="s">
        <v>2673</v>
      </c>
      <c r="AB303" s="1485"/>
      <c r="AC303" s="1485"/>
      <c r="AD303" s="1485"/>
      <c r="AE303" s="1485"/>
      <c r="AF303" s="1485"/>
      <c r="AG303" s="1485"/>
      <c r="AH303" s="1485"/>
      <c r="AI303" s="1485"/>
      <c r="AJ303" s="1485"/>
      <c r="AK303" s="1485"/>
    </row>
    <row r="304" spans="2:37" ht="12.95" customHeight="1">
      <c r="B304" s="3" t="s">
        <v>471</v>
      </c>
      <c r="C304" s="3"/>
      <c r="D304" s="3"/>
      <c r="E304" s="3"/>
      <c r="F304" s="3"/>
      <c r="H304" s="1480" t="s">
        <v>2668</v>
      </c>
      <c r="I304" s="1480"/>
      <c r="J304" s="1480"/>
      <c r="K304" s="1480"/>
      <c r="L304" s="1480"/>
      <c r="M304" s="1480"/>
      <c r="N304" s="1480"/>
      <c r="O304" s="1480"/>
      <c r="P304" s="1480"/>
      <c r="Q304" s="1480"/>
      <c r="R304" s="1480"/>
      <c r="T304" s="3" t="s">
        <v>471</v>
      </c>
      <c r="V304" s="3"/>
      <c r="W304" s="3"/>
      <c r="X304" s="3"/>
      <c r="Y304" s="3"/>
      <c r="AA304" s="1480" t="s">
        <v>2674</v>
      </c>
      <c r="AB304" s="1480"/>
      <c r="AC304" s="1480"/>
      <c r="AD304" s="1480"/>
      <c r="AE304" s="1480"/>
      <c r="AF304" s="1480"/>
      <c r="AG304" s="1480"/>
      <c r="AH304" s="1480"/>
      <c r="AI304" s="1480"/>
      <c r="AJ304" s="1480"/>
      <c r="AK304" s="1480"/>
    </row>
    <row r="305" spans="2:37" ht="12.95" customHeight="1">
      <c r="B305" s="3" t="s">
        <v>472</v>
      </c>
      <c r="C305" s="3"/>
      <c r="D305" s="3"/>
      <c r="E305" s="3"/>
      <c r="F305" s="3"/>
      <c r="H305" s="1480" t="s">
        <v>2669</v>
      </c>
      <c r="I305" s="1480"/>
      <c r="J305" s="1480"/>
      <c r="K305" s="1480"/>
      <c r="L305" s="1480"/>
      <c r="M305" s="1480"/>
      <c r="N305" s="1480"/>
      <c r="O305" s="1480"/>
      <c r="P305" s="1480"/>
      <c r="Q305" s="1480"/>
      <c r="R305" s="1480"/>
      <c r="T305" s="3" t="s">
        <v>75</v>
      </c>
      <c r="V305" s="3"/>
      <c r="W305" s="3"/>
      <c r="X305" s="3"/>
      <c r="Y305" s="3"/>
      <c r="AA305" s="1480" t="s">
        <v>2675</v>
      </c>
      <c r="AB305" s="1480"/>
      <c r="AC305" s="1480"/>
      <c r="AD305" s="1480"/>
      <c r="AE305" s="1480"/>
      <c r="AF305" s="1480"/>
      <c r="AG305" s="1480"/>
      <c r="AH305" s="1480"/>
      <c r="AI305" s="1480"/>
      <c r="AJ305" s="1480"/>
      <c r="AK305" s="1480"/>
    </row>
    <row r="306" spans="2:37" ht="12.95" customHeight="1">
      <c r="B306" s="3" t="s">
        <v>87</v>
      </c>
      <c r="C306" s="3"/>
      <c r="D306" s="3"/>
      <c r="E306" s="3"/>
      <c r="F306" s="3"/>
      <c r="H306" s="1480" t="s">
        <v>2670</v>
      </c>
      <c r="I306" s="1480"/>
      <c r="J306" s="1480"/>
      <c r="K306" s="1480"/>
      <c r="L306" s="1480"/>
      <c r="M306" s="1480"/>
      <c r="N306" s="1480"/>
      <c r="O306" s="1480"/>
      <c r="P306" s="1480"/>
      <c r="Q306" s="1480"/>
      <c r="R306" s="1480"/>
      <c r="T306" s="3" t="s">
        <v>87</v>
      </c>
      <c r="V306" s="3"/>
      <c r="W306" s="3"/>
      <c r="X306" s="3"/>
      <c r="Y306" s="3"/>
      <c r="AA306" s="1480" t="s">
        <v>2676</v>
      </c>
      <c r="AB306" s="1480"/>
      <c r="AC306" s="1480"/>
      <c r="AD306" s="1480"/>
      <c r="AE306" s="1480"/>
      <c r="AF306" s="1480"/>
      <c r="AG306" s="1480"/>
      <c r="AH306" s="1480"/>
      <c r="AI306" s="1480"/>
      <c r="AJ306" s="1480"/>
      <c r="AK306" s="1480"/>
    </row>
    <row r="307" spans="2:37" ht="12.95" customHeight="1">
      <c r="B307" s="3" t="s">
        <v>88</v>
      </c>
      <c r="C307" s="3"/>
      <c r="D307" s="3"/>
      <c r="E307" s="3"/>
      <c r="F307" s="3"/>
      <c r="G307" s="3"/>
      <c r="H307" s="1499" t="s">
        <v>2671</v>
      </c>
      <c r="I307" s="1500"/>
      <c r="J307" s="1500"/>
      <c r="K307" s="1500"/>
      <c r="L307" s="1500"/>
      <c r="M307" s="1500"/>
      <c r="N307" s="4" t="s">
        <v>205</v>
      </c>
      <c r="O307" s="4"/>
      <c r="P307" s="1433"/>
      <c r="Q307" s="1433"/>
      <c r="R307" s="1433"/>
      <c r="S307" s="3"/>
      <c r="T307" s="3" t="s">
        <v>88</v>
      </c>
      <c r="V307" s="3"/>
      <c r="W307" s="3"/>
      <c r="X307" s="3"/>
      <c r="Y307" s="3"/>
      <c r="AA307" s="1499" t="s">
        <v>2677</v>
      </c>
      <c r="AB307" s="1500"/>
      <c r="AC307" s="1500"/>
      <c r="AD307" s="1500"/>
      <c r="AE307" s="1500"/>
      <c r="AF307" s="1500"/>
      <c r="AG307" s="4" t="s">
        <v>205</v>
      </c>
      <c r="AH307" s="4"/>
      <c r="AI307" s="1433"/>
      <c r="AJ307" s="1433"/>
      <c r="AK307" s="1433"/>
    </row>
    <row r="308" spans="2:37" ht="12.95" customHeight="1">
      <c r="B308" s="3" t="s">
        <v>89</v>
      </c>
      <c r="C308" s="3"/>
      <c r="D308" s="3"/>
      <c r="E308" s="3"/>
      <c r="F308" s="3"/>
      <c r="G308" s="3"/>
      <c r="H308" s="1479"/>
      <c r="I308" s="1479"/>
      <c r="J308" s="1479"/>
      <c r="K308" s="1479"/>
      <c r="L308" s="1479"/>
      <c r="M308" s="1479"/>
      <c r="N308" s="4"/>
      <c r="O308" s="4"/>
      <c r="P308" s="35"/>
      <c r="Q308" s="35"/>
      <c r="R308" s="35"/>
      <c r="S308" s="3"/>
      <c r="T308" s="3" t="s">
        <v>89</v>
      </c>
      <c r="V308" s="3"/>
      <c r="W308" s="3"/>
      <c r="X308" s="3"/>
      <c r="Y308" s="3"/>
      <c r="AA308" s="1479"/>
      <c r="AB308" s="1479"/>
      <c r="AC308" s="1479"/>
      <c r="AD308" s="1479"/>
      <c r="AE308" s="1479"/>
      <c r="AF308" s="1479"/>
      <c r="AG308" s="4"/>
      <c r="AH308" s="4"/>
      <c r="AI308" s="35"/>
      <c r="AJ308" s="35"/>
      <c r="AK308" s="35"/>
    </row>
    <row r="309" spans="2:37" ht="12.95" customHeight="1">
      <c r="B309" s="3" t="s">
        <v>76</v>
      </c>
      <c r="C309" s="3"/>
      <c r="D309" s="3"/>
      <c r="E309" s="3"/>
      <c r="F309" s="3"/>
      <c r="G309" s="3"/>
      <c r="H309" s="1480" t="s">
        <v>2672</v>
      </c>
      <c r="I309" s="1480"/>
      <c r="J309" s="1480"/>
      <c r="K309" s="1480"/>
      <c r="L309" s="1480"/>
      <c r="M309" s="1480"/>
      <c r="N309" s="1485"/>
      <c r="O309" s="1485"/>
      <c r="P309" s="1485"/>
      <c r="Q309" s="1485"/>
      <c r="R309" s="1485"/>
      <c r="S309" s="3"/>
      <c r="T309" s="3" t="s">
        <v>76</v>
      </c>
      <c r="V309" s="3"/>
      <c r="W309" s="3"/>
      <c r="X309" s="3"/>
      <c r="Y309" s="3"/>
      <c r="AA309" s="1480" t="s">
        <v>2678</v>
      </c>
      <c r="AB309" s="1480"/>
      <c r="AC309" s="1480"/>
      <c r="AD309" s="1480"/>
      <c r="AE309" s="1480"/>
      <c r="AF309" s="1480"/>
      <c r="AG309" s="1485"/>
      <c r="AH309" s="1485"/>
      <c r="AI309" s="1485"/>
      <c r="AJ309" s="1485"/>
      <c r="AK309" s="1485"/>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485" t="s">
        <v>2667</v>
      </c>
      <c r="I311" s="1485"/>
      <c r="J311" s="1485"/>
      <c r="K311" s="1485"/>
      <c r="L311" s="1485"/>
      <c r="M311" s="1485"/>
      <c r="N311" s="1485"/>
      <c r="O311" s="1485"/>
      <c r="P311" s="1485"/>
      <c r="Q311" s="1485"/>
      <c r="R311" s="1485"/>
      <c r="S311" s="3"/>
      <c r="T311" s="3" t="s">
        <v>364</v>
      </c>
      <c r="V311" s="3"/>
      <c r="W311" s="3"/>
      <c r="X311" s="3"/>
      <c r="Y311" s="3"/>
      <c r="AA311" s="1485" t="s">
        <v>2805</v>
      </c>
      <c r="AB311" s="1485"/>
      <c r="AC311" s="1485"/>
      <c r="AD311" s="1485"/>
      <c r="AE311" s="1485"/>
      <c r="AF311" s="1485"/>
      <c r="AG311" s="1485"/>
      <c r="AH311" s="1485"/>
      <c r="AI311" s="1485"/>
      <c r="AJ311" s="1485"/>
      <c r="AK311" s="1485"/>
    </row>
    <row r="312" spans="2:37" ht="12.95" customHeight="1">
      <c r="B312" s="3" t="s">
        <v>471</v>
      </c>
      <c r="C312" s="3"/>
      <c r="D312" s="3"/>
      <c r="E312" s="3"/>
      <c r="F312" s="3"/>
      <c r="H312" s="1480" t="s">
        <v>2679</v>
      </c>
      <c r="I312" s="1480"/>
      <c r="J312" s="1480"/>
      <c r="K312" s="1480"/>
      <c r="L312" s="1480"/>
      <c r="M312" s="1480"/>
      <c r="N312" s="1480"/>
      <c r="O312" s="1480"/>
      <c r="P312" s="1480"/>
      <c r="Q312" s="1480"/>
      <c r="R312" s="1480"/>
      <c r="S312" s="3"/>
      <c r="T312" s="3" t="s">
        <v>471</v>
      </c>
      <c r="V312" s="3"/>
      <c r="W312" s="3"/>
      <c r="X312" s="3"/>
      <c r="Y312" s="3"/>
      <c r="AA312" s="1480" t="s">
        <v>2811</v>
      </c>
      <c r="AB312" s="1480"/>
      <c r="AC312" s="1480"/>
      <c r="AD312" s="1480"/>
      <c r="AE312" s="1480"/>
      <c r="AF312" s="1480"/>
      <c r="AG312" s="1480"/>
      <c r="AH312" s="1480"/>
      <c r="AI312" s="1480"/>
      <c r="AJ312" s="1480"/>
      <c r="AK312" s="1480"/>
    </row>
    <row r="313" spans="2:37" ht="12.95" customHeight="1">
      <c r="B313" s="3" t="s">
        <v>472</v>
      </c>
      <c r="C313" s="3"/>
      <c r="D313" s="3"/>
      <c r="E313" s="3"/>
      <c r="F313" s="3"/>
      <c r="H313" s="1480" t="s">
        <v>2669</v>
      </c>
      <c r="I313" s="1480"/>
      <c r="J313" s="1480"/>
      <c r="K313" s="1480"/>
      <c r="L313" s="1480"/>
      <c r="M313" s="1480"/>
      <c r="N313" s="1480"/>
      <c r="O313" s="1480"/>
      <c r="P313" s="1480"/>
      <c r="Q313" s="1480"/>
      <c r="R313" s="1480"/>
      <c r="S313" s="3"/>
      <c r="T313" s="3" t="s">
        <v>75</v>
      </c>
      <c r="V313" s="3"/>
      <c r="W313" s="3"/>
      <c r="X313" s="3"/>
      <c r="Y313" s="3"/>
      <c r="AA313" s="1480" t="s">
        <v>2812</v>
      </c>
      <c r="AB313" s="1480"/>
      <c r="AC313" s="1480"/>
      <c r="AD313" s="1480"/>
      <c r="AE313" s="1480"/>
      <c r="AF313" s="1480"/>
      <c r="AG313" s="1480"/>
      <c r="AH313" s="1480"/>
      <c r="AI313" s="1480"/>
      <c r="AJ313" s="1480"/>
      <c r="AK313" s="1480"/>
    </row>
    <row r="314" spans="2:37" ht="12.95" customHeight="1">
      <c r="B314" s="3" t="s">
        <v>87</v>
      </c>
      <c r="C314" s="3"/>
      <c r="D314" s="3"/>
      <c r="E314" s="3"/>
      <c r="F314" s="3"/>
      <c r="H314" s="1480" t="s">
        <v>2680</v>
      </c>
      <c r="I314" s="1480"/>
      <c r="J314" s="1480"/>
      <c r="K314" s="1480"/>
      <c r="L314" s="1480"/>
      <c r="M314" s="1480"/>
      <c r="N314" s="1480"/>
      <c r="O314" s="1480"/>
      <c r="P314" s="1480"/>
      <c r="Q314" s="1480"/>
      <c r="R314" s="1480"/>
      <c r="S314" s="3"/>
      <c r="T314" s="3" t="s">
        <v>87</v>
      </c>
      <c r="V314" s="3"/>
      <c r="W314" s="3"/>
      <c r="X314" s="3"/>
      <c r="Y314" s="3"/>
      <c r="AA314" s="1480" t="s">
        <v>2808</v>
      </c>
      <c r="AB314" s="1480"/>
      <c r="AC314" s="1480"/>
      <c r="AD314" s="1480"/>
      <c r="AE314" s="1480"/>
      <c r="AF314" s="1480"/>
      <c r="AG314" s="1480"/>
      <c r="AH314" s="1480"/>
      <c r="AI314" s="1480"/>
      <c r="AJ314" s="1480"/>
      <c r="AK314" s="1480"/>
    </row>
    <row r="315" spans="2:37" ht="12.95" customHeight="1">
      <c r="B315" s="3" t="s">
        <v>88</v>
      </c>
      <c r="C315" s="3"/>
      <c r="D315" s="3"/>
      <c r="E315" s="3"/>
      <c r="F315" s="3"/>
      <c r="G315" s="3"/>
      <c r="H315" s="1499" t="s">
        <v>2671</v>
      </c>
      <c r="I315" s="1500"/>
      <c r="J315" s="1500"/>
      <c r="K315" s="1500"/>
      <c r="L315" s="1500"/>
      <c r="M315" s="1500"/>
      <c r="N315" s="4" t="s">
        <v>205</v>
      </c>
      <c r="O315" s="4"/>
      <c r="P315" s="1433"/>
      <c r="Q315" s="1433"/>
      <c r="R315" s="1433"/>
      <c r="S315" s="3"/>
      <c r="T315" s="3" t="s">
        <v>88</v>
      </c>
      <c r="V315" s="3"/>
      <c r="W315" s="3"/>
      <c r="X315" s="3"/>
      <c r="Y315" s="3"/>
      <c r="AA315" s="1499" t="s">
        <v>2809</v>
      </c>
      <c r="AB315" s="1500"/>
      <c r="AC315" s="1500"/>
      <c r="AD315" s="1500"/>
      <c r="AE315" s="1500"/>
      <c r="AF315" s="1500"/>
      <c r="AG315" s="4" t="s">
        <v>205</v>
      </c>
      <c r="AH315" s="4"/>
      <c r="AI315" s="1433"/>
      <c r="AJ315" s="1433"/>
      <c r="AK315" s="1433"/>
    </row>
    <row r="316" spans="2:37" ht="12.95" customHeight="1">
      <c r="B316" s="3" t="s">
        <v>89</v>
      </c>
      <c r="C316" s="3"/>
      <c r="D316" s="3"/>
      <c r="E316" s="3"/>
      <c r="F316" s="3"/>
      <c r="G316" s="3"/>
      <c r="H316" s="1479"/>
      <c r="I316" s="1479"/>
      <c r="J316" s="1479"/>
      <c r="K316" s="1479"/>
      <c r="L316" s="1479"/>
      <c r="M316" s="1479"/>
      <c r="N316" s="4"/>
      <c r="O316" s="4"/>
      <c r="P316" s="35"/>
      <c r="Q316" s="35"/>
      <c r="R316" s="35"/>
      <c r="S316" s="3"/>
      <c r="T316" s="3" t="s">
        <v>89</v>
      </c>
      <c r="V316" s="3"/>
      <c r="W316" s="3"/>
      <c r="X316" s="3"/>
      <c r="Y316" s="3"/>
      <c r="AA316" s="1479"/>
      <c r="AB316" s="1479"/>
      <c r="AC316" s="1479"/>
      <c r="AD316" s="1479"/>
      <c r="AE316" s="1479"/>
      <c r="AF316" s="1479"/>
      <c r="AG316" s="4"/>
      <c r="AH316" s="4"/>
      <c r="AI316" s="35"/>
      <c r="AJ316" s="35"/>
      <c r="AK316" s="35"/>
    </row>
    <row r="317" spans="2:37" ht="12.95" customHeight="1">
      <c r="B317" s="3" t="s">
        <v>76</v>
      </c>
      <c r="C317" s="3"/>
      <c r="D317" s="3"/>
      <c r="E317" s="3"/>
      <c r="F317" s="3"/>
      <c r="G317" s="3"/>
      <c r="H317" s="1480" t="s">
        <v>2681</v>
      </c>
      <c r="I317" s="1480"/>
      <c r="J317" s="1480"/>
      <c r="K317" s="1480"/>
      <c r="L317" s="1480"/>
      <c r="M317" s="1480"/>
      <c r="N317" s="1485"/>
      <c r="O317" s="1485"/>
      <c r="P317" s="1485"/>
      <c r="Q317" s="1485"/>
      <c r="R317" s="1485"/>
      <c r="S317" s="3"/>
      <c r="T317" s="3" t="s">
        <v>76</v>
      </c>
      <c r="V317" s="3"/>
      <c r="W317" s="3"/>
      <c r="X317" s="3"/>
      <c r="Y317" s="3"/>
      <c r="AA317" s="1480" t="s">
        <v>2810</v>
      </c>
      <c r="AB317" s="1480"/>
      <c r="AC317" s="1480"/>
      <c r="AD317" s="1480"/>
      <c r="AE317" s="1480"/>
      <c r="AF317" s="1480"/>
      <c r="AG317" s="1485"/>
      <c r="AH317" s="1485"/>
      <c r="AI317" s="1485"/>
      <c r="AJ317" s="1485"/>
      <c r="AK317" s="1485"/>
    </row>
    <row r="318" spans="2:37" ht="12.95" customHeight="1"/>
    <row r="319" spans="2:37" ht="12.95" customHeight="1">
      <c r="B319" s="4" t="s">
        <v>908</v>
      </c>
      <c r="C319" s="3"/>
      <c r="D319" s="3"/>
      <c r="E319" s="3"/>
      <c r="F319" s="3"/>
      <c r="H319" s="1485" t="s">
        <v>2683</v>
      </c>
      <c r="I319" s="1485"/>
      <c r="J319" s="1485"/>
      <c r="K319" s="1485"/>
      <c r="L319" s="1485"/>
      <c r="M319" s="1485"/>
      <c r="N319" s="1485"/>
      <c r="O319" s="1485"/>
      <c r="P319" s="1485"/>
      <c r="Q319" s="1485"/>
      <c r="R319" s="1485"/>
      <c r="T319" s="3" t="s">
        <v>365</v>
      </c>
      <c r="V319" s="3"/>
      <c r="W319" s="3"/>
      <c r="X319" s="3"/>
      <c r="Y319" s="3"/>
      <c r="AA319" s="1485" t="s">
        <v>2689</v>
      </c>
      <c r="AB319" s="1485"/>
      <c r="AC319" s="1485"/>
      <c r="AD319" s="1485"/>
      <c r="AE319" s="1485"/>
      <c r="AF319" s="1485"/>
      <c r="AG319" s="1485"/>
      <c r="AH319" s="1485"/>
      <c r="AI319" s="1485"/>
      <c r="AJ319" s="1485"/>
      <c r="AK319" s="1485"/>
    </row>
    <row r="320" spans="2:37" ht="12.95" customHeight="1">
      <c r="B320" s="3" t="s">
        <v>471</v>
      </c>
      <c r="C320" s="3"/>
      <c r="D320" s="3"/>
      <c r="E320" s="3"/>
      <c r="F320" s="3"/>
      <c r="H320" s="1480" t="s">
        <v>2684</v>
      </c>
      <c r="I320" s="1480"/>
      <c r="J320" s="1480"/>
      <c r="K320" s="1480"/>
      <c r="L320" s="1480"/>
      <c r="M320" s="1480"/>
      <c r="N320" s="1480"/>
      <c r="O320" s="1480"/>
      <c r="P320" s="1480"/>
      <c r="Q320" s="1480"/>
      <c r="R320" s="1480"/>
      <c r="T320" s="3" t="s">
        <v>471</v>
      </c>
      <c r="V320" s="3"/>
      <c r="W320" s="3"/>
      <c r="X320" s="3"/>
      <c r="Y320" s="3"/>
      <c r="AA320" s="1480" t="s">
        <v>2690</v>
      </c>
      <c r="AB320" s="1480"/>
      <c r="AC320" s="1480"/>
      <c r="AD320" s="1480"/>
      <c r="AE320" s="1480"/>
      <c r="AF320" s="1480"/>
      <c r="AG320" s="1480"/>
      <c r="AH320" s="1480"/>
      <c r="AI320" s="1480"/>
      <c r="AJ320" s="1480"/>
      <c r="AK320" s="1480"/>
    </row>
    <row r="321" spans="2:37" ht="12.95" customHeight="1">
      <c r="B321" s="3" t="s">
        <v>472</v>
      </c>
      <c r="C321" s="3"/>
      <c r="D321" s="3"/>
      <c r="E321" s="3"/>
      <c r="F321" s="3"/>
      <c r="H321" s="1480" t="s">
        <v>2685</v>
      </c>
      <c r="I321" s="1480"/>
      <c r="J321" s="1480"/>
      <c r="K321" s="1480"/>
      <c r="L321" s="1480"/>
      <c r="M321" s="1480"/>
      <c r="N321" s="1480"/>
      <c r="O321" s="1480"/>
      <c r="P321" s="1480"/>
      <c r="Q321" s="1480"/>
      <c r="R321" s="1480"/>
      <c r="T321" s="3" t="s">
        <v>75</v>
      </c>
      <c r="V321" s="3"/>
      <c r="W321" s="3"/>
      <c r="X321" s="3"/>
      <c r="Y321" s="3"/>
      <c r="AA321" s="1480" t="s">
        <v>2691</v>
      </c>
      <c r="AB321" s="1480"/>
      <c r="AC321" s="1480"/>
      <c r="AD321" s="1480"/>
      <c r="AE321" s="1480"/>
      <c r="AF321" s="1480"/>
      <c r="AG321" s="1480"/>
      <c r="AH321" s="1480"/>
      <c r="AI321" s="1480"/>
      <c r="AJ321" s="1480"/>
      <c r="AK321" s="1480"/>
    </row>
    <row r="322" spans="2:37" ht="12.95" customHeight="1">
      <c r="B322" s="3" t="s">
        <v>87</v>
      </c>
      <c r="C322" s="3"/>
      <c r="D322" s="3"/>
      <c r="E322" s="3"/>
      <c r="F322" s="3"/>
      <c r="H322" s="1480" t="s">
        <v>2686</v>
      </c>
      <c r="I322" s="1480"/>
      <c r="J322" s="1480"/>
      <c r="K322" s="1480"/>
      <c r="L322" s="1480"/>
      <c r="M322" s="1480"/>
      <c r="N322" s="1480"/>
      <c r="O322" s="1480"/>
      <c r="P322" s="1480"/>
      <c r="Q322" s="1480"/>
      <c r="R322" s="1480"/>
      <c r="T322" s="3" t="s">
        <v>87</v>
      </c>
      <c r="V322" s="3"/>
      <c r="W322" s="3"/>
      <c r="X322" s="3"/>
      <c r="Y322" s="3"/>
      <c r="AA322" s="1480" t="s">
        <v>2692</v>
      </c>
      <c r="AB322" s="1480"/>
      <c r="AC322" s="1480"/>
      <c r="AD322" s="1480"/>
      <c r="AE322" s="1480"/>
      <c r="AF322" s="1480"/>
      <c r="AG322" s="1480"/>
      <c r="AH322" s="1480"/>
      <c r="AI322" s="1480"/>
      <c r="AJ322" s="1480"/>
      <c r="AK322" s="1480"/>
    </row>
    <row r="323" spans="2:37" ht="12.95" customHeight="1">
      <c r="B323" s="3" t="s">
        <v>88</v>
      </c>
      <c r="C323" s="3"/>
      <c r="D323" s="3"/>
      <c r="E323" s="3"/>
      <c r="F323" s="3"/>
      <c r="G323" s="3"/>
      <c r="H323" s="1499" t="s">
        <v>2687</v>
      </c>
      <c r="I323" s="1500"/>
      <c r="J323" s="1500"/>
      <c r="K323" s="1500"/>
      <c r="L323" s="1500"/>
      <c r="M323" s="1500"/>
      <c r="N323" s="4" t="s">
        <v>205</v>
      </c>
      <c r="O323" s="4"/>
      <c r="P323" s="1433"/>
      <c r="Q323" s="1433"/>
      <c r="R323" s="1433"/>
      <c r="S323" s="3"/>
      <c r="T323" s="3" t="s">
        <v>88</v>
      </c>
      <c r="V323" s="3"/>
      <c r="W323" s="3"/>
      <c r="X323" s="3"/>
      <c r="Y323" s="3"/>
      <c r="AA323" s="1499" t="s">
        <v>2693</v>
      </c>
      <c r="AB323" s="1500"/>
      <c r="AC323" s="1500"/>
      <c r="AD323" s="1500"/>
      <c r="AE323" s="1500"/>
      <c r="AF323" s="1500"/>
      <c r="AG323" s="4" t="s">
        <v>205</v>
      </c>
      <c r="AH323" s="4"/>
      <c r="AI323" s="1433"/>
      <c r="AJ323" s="1433"/>
      <c r="AK323" s="1433"/>
    </row>
    <row r="324" spans="2:37" ht="12.95" customHeight="1">
      <c r="B324" s="3" t="s">
        <v>89</v>
      </c>
      <c r="C324" s="3"/>
      <c r="D324" s="3"/>
      <c r="E324" s="3"/>
      <c r="F324" s="3"/>
      <c r="G324" s="3"/>
      <c r="H324" s="1479"/>
      <c r="I324" s="1479"/>
      <c r="J324" s="1479"/>
      <c r="K324" s="1479"/>
      <c r="L324" s="1479"/>
      <c r="M324" s="1479"/>
      <c r="N324" s="4"/>
      <c r="O324" s="4"/>
      <c r="P324" s="35"/>
      <c r="Q324" s="35"/>
      <c r="R324" s="35"/>
      <c r="S324" s="3"/>
      <c r="T324" s="3" t="s">
        <v>89</v>
      </c>
      <c r="V324" s="3"/>
      <c r="W324" s="3"/>
      <c r="X324" s="3"/>
      <c r="Y324" s="3"/>
      <c r="AA324" s="1478" t="s">
        <v>2694</v>
      </c>
      <c r="AB324" s="1479"/>
      <c r="AC324" s="1479"/>
      <c r="AD324" s="1479"/>
      <c r="AE324" s="1479"/>
      <c r="AF324" s="1479"/>
      <c r="AG324" s="4"/>
      <c r="AH324" s="4"/>
      <c r="AI324" s="35"/>
      <c r="AJ324" s="35"/>
      <c r="AK324" s="35"/>
    </row>
    <row r="325" spans="2:37" ht="12.95" customHeight="1">
      <c r="B325" s="3" t="s">
        <v>76</v>
      </c>
      <c r="C325" s="3"/>
      <c r="D325" s="3"/>
      <c r="E325" s="3"/>
      <c r="F325" s="3"/>
      <c r="G325" s="3"/>
      <c r="H325" s="1480" t="s">
        <v>2688</v>
      </c>
      <c r="I325" s="1480"/>
      <c r="J325" s="1480"/>
      <c r="K325" s="1480"/>
      <c r="L325" s="1480"/>
      <c r="M325" s="1480"/>
      <c r="N325" s="1485"/>
      <c r="O325" s="1485"/>
      <c r="P325" s="1485"/>
      <c r="Q325" s="1485"/>
      <c r="R325" s="1485"/>
      <c r="S325" s="3"/>
      <c r="T325" s="3" t="s">
        <v>76</v>
      </c>
      <c r="V325" s="3"/>
      <c r="W325" s="3"/>
      <c r="X325" s="3"/>
      <c r="Y325" s="3"/>
      <c r="AA325" s="1480" t="s">
        <v>2695</v>
      </c>
      <c r="AB325" s="1480"/>
      <c r="AC325" s="1480"/>
      <c r="AD325" s="1480"/>
      <c r="AE325" s="1480"/>
      <c r="AF325" s="1480"/>
      <c r="AG325" s="1485"/>
      <c r="AH325" s="1485"/>
      <c r="AI325" s="1485"/>
      <c r="AJ325" s="1485"/>
      <c r="AK325" s="1485"/>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485" t="s">
        <v>2696</v>
      </c>
      <c r="I327" s="1485"/>
      <c r="J327" s="1485"/>
      <c r="K327" s="1485"/>
      <c r="L327" s="1485"/>
      <c r="M327" s="1485"/>
      <c r="N327" s="1485"/>
      <c r="O327" s="1485"/>
      <c r="P327" s="1485"/>
      <c r="Q327" s="1485"/>
      <c r="R327" s="1485"/>
      <c r="T327" s="3" t="s">
        <v>367</v>
      </c>
      <c r="V327" s="3"/>
      <c r="W327" s="3"/>
      <c r="X327" s="3"/>
      <c r="Y327" s="3"/>
      <c r="AA327" s="1485"/>
      <c r="AB327" s="1485"/>
      <c r="AC327" s="1485"/>
      <c r="AD327" s="1485"/>
      <c r="AE327" s="1485"/>
      <c r="AF327" s="1485"/>
      <c r="AG327" s="1485"/>
      <c r="AH327" s="1485"/>
      <c r="AI327" s="1485"/>
      <c r="AJ327" s="1485"/>
      <c r="AK327" s="1485"/>
    </row>
    <row r="328" spans="2:37" ht="12.95" customHeight="1">
      <c r="B328" s="3" t="s">
        <v>471</v>
      </c>
      <c r="C328" s="3"/>
      <c r="D328" s="3"/>
      <c r="E328" s="3"/>
      <c r="F328" s="3"/>
      <c r="H328" s="1480" t="s">
        <v>2697</v>
      </c>
      <c r="I328" s="1480"/>
      <c r="J328" s="1480"/>
      <c r="K328" s="1480"/>
      <c r="L328" s="1480"/>
      <c r="M328" s="1480"/>
      <c r="N328" s="1480"/>
      <c r="O328" s="1480"/>
      <c r="P328" s="1480"/>
      <c r="Q328" s="1480"/>
      <c r="R328" s="1480"/>
      <c r="T328" s="3" t="s">
        <v>471</v>
      </c>
      <c r="V328" s="3"/>
      <c r="W328" s="3"/>
      <c r="X328" s="3"/>
      <c r="Y328" s="3"/>
      <c r="AA328" s="1480"/>
      <c r="AB328" s="1480"/>
      <c r="AC328" s="1480"/>
      <c r="AD328" s="1480"/>
      <c r="AE328" s="1480"/>
      <c r="AF328" s="1480"/>
      <c r="AG328" s="1480"/>
      <c r="AH328" s="1480"/>
      <c r="AI328" s="1480"/>
      <c r="AJ328" s="1480"/>
      <c r="AK328" s="1480"/>
    </row>
    <row r="329" spans="2:37" ht="12.95" customHeight="1">
      <c r="B329" s="3" t="s">
        <v>472</v>
      </c>
      <c r="C329" s="3"/>
      <c r="D329" s="3"/>
      <c r="E329" s="3"/>
      <c r="F329" s="3"/>
      <c r="H329" s="1480" t="s">
        <v>2698</v>
      </c>
      <c r="I329" s="1480"/>
      <c r="J329" s="1480"/>
      <c r="K329" s="1480"/>
      <c r="L329" s="1480"/>
      <c r="M329" s="1480"/>
      <c r="N329" s="1480"/>
      <c r="O329" s="1480"/>
      <c r="P329" s="1480"/>
      <c r="Q329" s="1480"/>
      <c r="R329" s="1480"/>
      <c r="T329" s="3" t="s">
        <v>75</v>
      </c>
      <c r="V329" s="3"/>
      <c r="W329" s="3"/>
      <c r="X329" s="3"/>
      <c r="Y329" s="3"/>
      <c r="AA329" s="1480"/>
      <c r="AB329" s="1480"/>
      <c r="AC329" s="1480"/>
      <c r="AD329" s="1480"/>
      <c r="AE329" s="1480"/>
      <c r="AF329" s="1480"/>
      <c r="AG329" s="1480"/>
      <c r="AH329" s="1480"/>
      <c r="AI329" s="1480"/>
      <c r="AJ329" s="1480"/>
      <c r="AK329" s="1480"/>
    </row>
    <row r="330" spans="2:37" ht="12.95" customHeight="1">
      <c r="B330" s="3" t="s">
        <v>87</v>
      </c>
      <c r="C330" s="3"/>
      <c r="D330" s="3"/>
      <c r="E330" s="3"/>
      <c r="F330" s="3"/>
      <c r="H330" s="1480" t="s">
        <v>2699</v>
      </c>
      <c r="I330" s="1480"/>
      <c r="J330" s="1480"/>
      <c r="K330" s="1480"/>
      <c r="L330" s="1480"/>
      <c r="M330" s="1480"/>
      <c r="N330" s="1480"/>
      <c r="O330" s="1480"/>
      <c r="P330" s="1480"/>
      <c r="Q330" s="1480"/>
      <c r="R330" s="1480"/>
      <c r="T330" s="3" t="s">
        <v>87</v>
      </c>
      <c r="V330" s="3"/>
      <c r="W330" s="3"/>
      <c r="X330" s="3"/>
      <c r="Y330" s="3"/>
      <c r="AA330" s="1480"/>
      <c r="AB330" s="1480"/>
      <c r="AC330" s="1480"/>
      <c r="AD330" s="1480"/>
      <c r="AE330" s="1480"/>
      <c r="AF330" s="1480"/>
      <c r="AG330" s="1480"/>
      <c r="AH330" s="1480"/>
      <c r="AI330" s="1480"/>
      <c r="AJ330" s="1480"/>
      <c r="AK330" s="1480"/>
    </row>
    <row r="331" spans="2:37" ht="12.95" customHeight="1">
      <c r="B331" s="3" t="s">
        <v>88</v>
      </c>
      <c r="C331" s="3"/>
      <c r="D331" s="3"/>
      <c r="E331" s="3"/>
      <c r="F331" s="3"/>
      <c r="G331" s="3"/>
      <c r="H331" s="1499" t="s">
        <v>2700</v>
      </c>
      <c r="I331" s="1500"/>
      <c r="J331" s="1500"/>
      <c r="K331" s="1500"/>
      <c r="L331" s="1500"/>
      <c r="M331" s="1500"/>
      <c r="N331" s="4" t="s">
        <v>205</v>
      </c>
      <c r="O331" s="4"/>
      <c r="P331" s="1433"/>
      <c r="Q331" s="1433"/>
      <c r="R331" s="1433"/>
      <c r="S331" s="3"/>
      <c r="T331" s="3" t="s">
        <v>88</v>
      </c>
      <c r="V331" s="3"/>
      <c r="W331" s="3"/>
      <c r="X331" s="3"/>
      <c r="Y331" s="3"/>
      <c r="AA331" s="1500"/>
      <c r="AB331" s="1500"/>
      <c r="AC331" s="1500"/>
      <c r="AD331" s="1500"/>
      <c r="AE331" s="1500"/>
      <c r="AF331" s="1500"/>
      <c r="AG331" s="4" t="s">
        <v>205</v>
      </c>
      <c r="AH331" s="4"/>
      <c r="AI331" s="1433"/>
      <c r="AJ331" s="1433"/>
      <c r="AK331" s="1433"/>
    </row>
    <row r="332" spans="2:37" ht="12.95" customHeight="1">
      <c r="B332" s="3" t="s">
        <v>89</v>
      </c>
      <c r="C332" s="3"/>
      <c r="D332" s="3"/>
      <c r="E332" s="3"/>
      <c r="F332" s="3"/>
      <c r="G332" s="3"/>
      <c r="H332" s="1479"/>
      <c r="I332" s="1479"/>
      <c r="J332" s="1479"/>
      <c r="K332" s="1479"/>
      <c r="L332" s="1479"/>
      <c r="M332" s="1479"/>
      <c r="N332" s="4"/>
      <c r="O332" s="4"/>
      <c r="P332" s="35"/>
      <c r="Q332" s="35"/>
      <c r="R332" s="35"/>
      <c r="S332" s="3"/>
      <c r="T332" s="3" t="s">
        <v>89</v>
      </c>
      <c r="V332" s="3"/>
      <c r="W332" s="3"/>
      <c r="X332" s="3"/>
      <c r="Y332" s="3"/>
      <c r="AA332" s="1479"/>
      <c r="AB332" s="1479"/>
      <c r="AC332" s="1479"/>
      <c r="AD332" s="1479"/>
      <c r="AE332" s="1479"/>
      <c r="AF332" s="1479"/>
      <c r="AG332" s="4"/>
      <c r="AH332" s="4"/>
      <c r="AI332" s="35"/>
      <c r="AJ332" s="35"/>
      <c r="AK332" s="35"/>
    </row>
    <row r="333" spans="2:37" ht="12.95" customHeight="1">
      <c r="B333" s="3" t="s">
        <v>76</v>
      </c>
      <c r="C333" s="3"/>
      <c r="D333" s="3"/>
      <c r="E333" s="3"/>
      <c r="F333" s="3"/>
      <c r="G333" s="3"/>
      <c r="H333" s="1480" t="s">
        <v>2701</v>
      </c>
      <c r="I333" s="1480"/>
      <c r="J333" s="1480"/>
      <c r="K333" s="1480"/>
      <c r="L333" s="1480"/>
      <c r="M333" s="1480"/>
      <c r="N333" s="1485"/>
      <c r="O333" s="1485"/>
      <c r="P333" s="1485"/>
      <c r="Q333" s="1485"/>
      <c r="R333" s="1485"/>
      <c r="S333" s="3"/>
      <c r="T333" s="3" t="s">
        <v>76</v>
      </c>
      <c r="V333" s="3"/>
      <c r="W333" s="3"/>
      <c r="X333" s="3"/>
      <c r="Y333" s="3"/>
      <c r="AA333" s="1480"/>
      <c r="AB333" s="1480"/>
      <c r="AC333" s="1480"/>
      <c r="AD333" s="1480"/>
      <c r="AE333" s="1480"/>
      <c r="AF333" s="1480"/>
      <c r="AG333" s="1485"/>
      <c r="AH333" s="1485"/>
      <c r="AI333" s="1485"/>
      <c r="AJ333" s="1485"/>
      <c r="AK333" s="1485"/>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485" t="s">
        <v>2702</v>
      </c>
      <c r="I335" s="1485"/>
      <c r="J335" s="1485"/>
      <c r="K335" s="1485"/>
      <c r="L335" s="1485"/>
      <c r="M335" s="1485"/>
      <c r="N335" s="1485"/>
      <c r="O335" s="1485"/>
      <c r="P335" s="1485"/>
      <c r="Q335" s="1485"/>
      <c r="R335" s="1485"/>
      <c r="T335" s="204" t="s">
        <v>886</v>
      </c>
      <c r="V335" s="3"/>
      <c r="W335" s="3"/>
      <c r="X335" s="3"/>
      <c r="Y335" s="3"/>
      <c r="AA335" s="1485" t="s">
        <v>2709</v>
      </c>
      <c r="AB335" s="1485"/>
      <c r="AC335" s="1485"/>
      <c r="AD335" s="1485"/>
      <c r="AE335" s="1485"/>
      <c r="AF335" s="1485"/>
      <c r="AG335" s="1485"/>
      <c r="AH335" s="1485"/>
      <c r="AI335" s="1485"/>
      <c r="AJ335" s="1485"/>
      <c r="AK335" s="1485"/>
    </row>
    <row r="336" spans="2:37" ht="12.95" customHeight="1">
      <c r="B336" s="3" t="s">
        <v>471</v>
      </c>
      <c r="C336" s="3"/>
      <c r="D336" s="3"/>
      <c r="E336" s="3"/>
      <c r="F336" s="3"/>
      <c r="H336" s="1480" t="s">
        <v>2703</v>
      </c>
      <c r="I336" s="1480"/>
      <c r="J336" s="1480"/>
      <c r="K336" s="1480"/>
      <c r="L336" s="1480"/>
      <c r="M336" s="1480"/>
      <c r="N336" s="1480"/>
      <c r="O336" s="1480"/>
      <c r="P336" s="1480"/>
      <c r="Q336" s="1480"/>
      <c r="R336" s="1480"/>
      <c r="T336" s="3" t="s">
        <v>471</v>
      </c>
      <c r="V336" s="3"/>
      <c r="W336" s="3"/>
      <c r="X336" s="3"/>
      <c r="Y336" s="3"/>
      <c r="AA336" s="1480" t="s">
        <v>2710</v>
      </c>
      <c r="AB336" s="1480"/>
      <c r="AC336" s="1480"/>
      <c r="AD336" s="1480"/>
      <c r="AE336" s="1480"/>
      <c r="AF336" s="1480"/>
      <c r="AG336" s="1480"/>
      <c r="AH336" s="1480"/>
      <c r="AI336" s="1480"/>
      <c r="AJ336" s="1480"/>
      <c r="AK336" s="1480"/>
    </row>
    <row r="337" spans="1:66" ht="12.95" customHeight="1">
      <c r="B337" s="3" t="s">
        <v>75</v>
      </c>
      <c r="C337" s="3"/>
      <c r="D337" s="3"/>
      <c r="E337" s="3"/>
      <c r="F337" s="3"/>
      <c r="H337" s="1416" t="s">
        <v>2704</v>
      </c>
      <c r="I337" s="1480"/>
      <c r="J337" s="1480"/>
      <c r="K337" s="1480"/>
      <c r="L337" s="1480"/>
      <c r="M337" s="1480"/>
      <c r="N337" s="1480"/>
      <c r="O337" s="1480"/>
      <c r="P337" s="1480"/>
      <c r="Q337" s="1480"/>
      <c r="R337" s="1480"/>
      <c r="T337" s="3" t="s">
        <v>75</v>
      </c>
      <c r="V337" s="3"/>
      <c r="W337" s="3"/>
      <c r="X337" s="3"/>
      <c r="Y337" s="3"/>
      <c r="AA337" s="1480" t="s">
        <v>2711</v>
      </c>
      <c r="AB337" s="1480"/>
      <c r="AC337" s="1480"/>
      <c r="AD337" s="1480"/>
      <c r="AE337" s="1480"/>
      <c r="AF337" s="1480"/>
      <c r="AG337" s="1480"/>
      <c r="AH337" s="1480"/>
      <c r="AI337" s="1480"/>
      <c r="AJ337" s="1480"/>
      <c r="AK337" s="1480"/>
    </row>
    <row r="338" spans="1:66" ht="12.95" customHeight="1">
      <c r="B338" s="3" t="s">
        <v>87</v>
      </c>
      <c r="C338" s="3"/>
      <c r="D338" s="3"/>
      <c r="E338" s="3"/>
      <c r="F338" s="3"/>
      <c r="G338" s="3"/>
      <c r="H338" s="1480" t="s">
        <v>2705</v>
      </c>
      <c r="I338" s="1480"/>
      <c r="J338" s="1480"/>
      <c r="K338" s="1480"/>
      <c r="L338" s="1480"/>
      <c r="M338" s="1480"/>
      <c r="N338" s="1480"/>
      <c r="O338" s="1480"/>
      <c r="P338" s="1480"/>
      <c r="Q338" s="1480"/>
      <c r="R338" s="1480"/>
      <c r="T338" s="3" t="s">
        <v>87</v>
      </c>
      <c r="V338" s="3"/>
      <c r="W338" s="3"/>
      <c r="X338" s="3"/>
      <c r="Y338" s="3"/>
      <c r="AA338" s="1480" t="s">
        <v>2712</v>
      </c>
      <c r="AB338" s="1480"/>
      <c r="AC338" s="1480"/>
      <c r="AD338" s="1480"/>
      <c r="AE338" s="1480"/>
      <c r="AF338" s="1480"/>
      <c r="AG338" s="1480"/>
      <c r="AH338" s="1480"/>
      <c r="AI338" s="1480"/>
      <c r="AJ338" s="1480"/>
      <c r="AK338" s="1480"/>
    </row>
    <row r="339" spans="1:66" ht="12.95" customHeight="1">
      <c r="B339" s="3" t="s">
        <v>88</v>
      </c>
      <c r="C339" s="3"/>
      <c r="D339" s="3"/>
      <c r="E339" s="3"/>
      <c r="F339" s="3"/>
      <c r="G339" s="3"/>
      <c r="H339" s="1499" t="s">
        <v>2706</v>
      </c>
      <c r="I339" s="1500"/>
      <c r="J339" s="1500"/>
      <c r="K339" s="1500"/>
      <c r="L339" s="1500"/>
      <c r="M339" s="1500"/>
      <c r="N339" s="4" t="s">
        <v>205</v>
      </c>
      <c r="O339" s="4"/>
      <c r="P339" s="1433"/>
      <c r="Q339" s="1433"/>
      <c r="R339" s="1433"/>
      <c r="S339" s="3"/>
      <c r="T339" s="3" t="s">
        <v>88</v>
      </c>
      <c r="V339" s="3"/>
      <c r="W339" s="3"/>
      <c r="X339" s="3"/>
      <c r="Y339" s="3"/>
      <c r="AA339" s="1499" t="s">
        <v>2713</v>
      </c>
      <c r="AB339" s="1500"/>
      <c r="AC339" s="1500"/>
      <c r="AD339" s="1500"/>
      <c r="AE339" s="1500"/>
      <c r="AF339" s="1500"/>
      <c r="AG339" s="4" t="s">
        <v>205</v>
      </c>
      <c r="AH339" s="4"/>
      <c r="AI339" s="1433"/>
      <c r="AJ339" s="1433"/>
      <c r="AK339" s="1433"/>
    </row>
    <row r="340" spans="1:66" ht="12.95" customHeight="1">
      <c r="B340" s="3" t="s">
        <v>89</v>
      </c>
      <c r="C340" s="3"/>
      <c r="D340" s="3"/>
      <c r="E340" s="3"/>
      <c r="F340" s="3"/>
      <c r="G340" s="3"/>
      <c r="H340" s="1478" t="s">
        <v>2707</v>
      </c>
      <c r="I340" s="1479"/>
      <c r="J340" s="1479"/>
      <c r="K340" s="1479"/>
      <c r="L340" s="1479"/>
      <c r="M340" s="1479"/>
      <c r="N340" s="4"/>
      <c r="O340" s="4"/>
      <c r="P340" s="35"/>
      <c r="Q340" s="35"/>
      <c r="R340" s="35"/>
      <c r="S340" s="3"/>
      <c r="T340" s="3" t="s">
        <v>89</v>
      </c>
      <c r="V340" s="3"/>
      <c r="W340" s="3"/>
      <c r="X340" s="3"/>
      <c r="Y340" s="3"/>
      <c r="AA340" s="1479"/>
      <c r="AB340" s="1479"/>
      <c r="AC340" s="1479"/>
      <c r="AD340" s="1479"/>
      <c r="AE340" s="1479"/>
      <c r="AF340" s="1479"/>
      <c r="AG340" s="4"/>
      <c r="AH340" s="4"/>
      <c r="AI340" s="35"/>
      <c r="AJ340" s="35"/>
      <c r="AK340" s="35"/>
    </row>
    <row r="341" spans="1:66" ht="12.95" customHeight="1">
      <c r="B341" s="3" t="s">
        <v>76</v>
      </c>
      <c r="C341" s="3"/>
      <c r="D341" s="3"/>
      <c r="E341" s="3"/>
      <c r="F341" s="3"/>
      <c r="G341" s="3"/>
      <c r="H341" s="1480" t="s">
        <v>2708</v>
      </c>
      <c r="I341" s="1480"/>
      <c r="J341" s="1480"/>
      <c r="K341" s="1480"/>
      <c r="L341" s="1480"/>
      <c r="M341" s="1480"/>
      <c r="N341" s="1485"/>
      <c r="O341" s="1485"/>
      <c r="P341" s="1485"/>
      <c r="Q341" s="1485"/>
      <c r="R341" s="1485"/>
      <c r="S341" s="3"/>
      <c r="T341" s="3" t="s">
        <v>76</v>
      </c>
      <c r="V341" s="3"/>
      <c r="W341" s="3"/>
      <c r="X341" s="3"/>
      <c r="Y341" s="3"/>
      <c r="AA341" s="1480" t="s">
        <v>2714</v>
      </c>
      <c r="AB341" s="1480"/>
      <c r="AC341" s="1480"/>
      <c r="AD341" s="1480"/>
      <c r="AE341" s="1480"/>
      <c r="AF341" s="1480"/>
      <c r="AG341" s="1485"/>
      <c r="AH341" s="1485"/>
      <c r="AI341" s="1485"/>
      <c r="AJ341" s="1485"/>
      <c r="AK341" s="148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485"/>
      <c r="Q343" s="1485"/>
      <c r="R343" s="1485"/>
      <c r="S343" s="1485"/>
      <c r="T343" s="1485"/>
      <c r="U343" s="1485"/>
      <c r="V343" s="1485"/>
      <c r="W343" s="1485"/>
      <c r="X343" s="1485"/>
      <c r="Y343" s="1485"/>
      <c r="Z343" s="1485"/>
      <c r="AA343" s="1485"/>
      <c r="AB343" s="1485"/>
      <c r="AC343" s="1485"/>
      <c r="AD343" s="1485"/>
      <c r="AE343" s="1485"/>
      <c r="BN343" t="s">
        <v>669</v>
      </c>
    </row>
    <row r="344" spans="1:66" ht="12.95" customHeight="1">
      <c r="B344" s="4"/>
      <c r="C344" s="4"/>
      <c r="D344" s="4"/>
      <c r="E344" s="4"/>
      <c r="F344" s="4"/>
      <c r="I344" s="4" t="s">
        <v>471</v>
      </c>
      <c r="P344" s="1480"/>
      <c r="Q344" s="1480"/>
      <c r="R344" s="1480"/>
      <c r="S344" s="1480"/>
      <c r="T344" s="1480"/>
      <c r="U344" s="1480"/>
      <c r="V344" s="1480"/>
      <c r="W344" s="1480"/>
      <c r="X344" s="1480"/>
      <c r="Y344" s="1480"/>
      <c r="Z344" s="1480"/>
      <c r="AA344" s="1480"/>
      <c r="AB344" s="1480"/>
      <c r="AC344" s="1480"/>
      <c r="AD344" s="1480"/>
      <c r="AE344" s="1480"/>
      <c r="BN344" t="s">
        <v>545</v>
      </c>
    </row>
    <row r="345" spans="1:66" ht="12.95" customHeight="1">
      <c r="B345" s="4"/>
      <c r="C345" s="4"/>
      <c r="D345" s="4"/>
      <c r="E345" s="4"/>
      <c r="F345" s="4"/>
      <c r="I345" s="4" t="s">
        <v>75</v>
      </c>
      <c r="P345" s="1480"/>
      <c r="Q345" s="1480"/>
      <c r="R345" s="1480"/>
      <c r="S345" s="1480"/>
      <c r="T345" s="1480"/>
      <c r="U345" s="1480"/>
      <c r="V345" s="1480"/>
      <c r="W345" s="1480"/>
      <c r="X345" s="1480"/>
      <c r="Y345" s="1480"/>
      <c r="Z345" s="1480"/>
      <c r="AA345" s="1480"/>
      <c r="AB345" s="1480"/>
      <c r="AC345" s="1480"/>
      <c r="AD345" s="1480"/>
      <c r="AE345" s="1480"/>
    </row>
    <row r="346" spans="1:66" ht="12.95" customHeight="1">
      <c r="B346" s="4"/>
      <c r="C346" s="4"/>
      <c r="D346" s="4"/>
      <c r="E346" s="4"/>
      <c r="F346" s="4"/>
      <c r="G346" s="4"/>
      <c r="I346" s="4" t="s">
        <v>87</v>
      </c>
      <c r="P346" s="1480"/>
      <c r="Q346" s="1480"/>
      <c r="R346" s="1480"/>
      <c r="S346" s="1480"/>
      <c r="T346" s="1480"/>
      <c r="U346" s="1480"/>
      <c r="V346" s="1480"/>
      <c r="W346" s="1480"/>
      <c r="X346" s="1480"/>
      <c r="Y346" s="1480"/>
      <c r="Z346" s="1480"/>
      <c r="AA346" s="1480"/>
      <c r="AB346" s="1480"/>
      <c r="AC346" s="1480"/>
      <c r="AD346" s="1480"/>
      <c r="AE346" s="1480"/>
    </row>
    <row r="347" spans="1:66" ht="12.95" customHeight="1">
      <c r="B347" s="4"/>
      <c r="C347" s="4"/>
      <c r="D347" s="4"/>
      <c r="E347" s="4"/>
      <c r="F347" s="4"/>
      <c r="G347" s="4"/>
      <c r="H347" s="302"/>
      <c r="I347" s="4" t="s">
        <v>88</v>
      </c>
      <c r="P347" s="1479"/>
      <c r="Q347" s="1479"/>
      <c r="R347" s="1479"/>
      <c r="S347" s="1479"/>
      <c r="T347" s="1479"/>
      <c r="U347" s="1479"/>
      <c r="V347" s="1479"/>
      <c r="W347" s="1479"/>
      <c r="X347" s="1479"/>
      <c r="Y347" s="1479"/>
      <c r="Z347" s="1479"/>
      <c r="AA347" s="4" t="s">
        <v>205</v>
      </c>
      <c r="AB347" s="4"/>
      <c r="AC347" s="1440"/>
      <c r="AD347" s="1440"/>
      <c r="AE347" s="1440"/>
      <c r="AF347" s="302"/>
      <c r="AG347" s="4"/>
      <c r="AH347" s="4"/>
      <c r="AI347" s="4"/>
      <c r="AJ347" s="4"/>
      <c r="AK347" s="4"/>
    </row>
    <row r="348" spans="1:66" ht="12.95" customHeight="1">
      <c r="B348" s="4"/>
      <c r="C348" s="4"/>
      <c r="D348" s="4"/>
      <c r="E348" s="4"/>
      <c r="F348" s="4"/>
      <c r="G348" s="4"/>
      <c r="H348" s="302"/>
      <c r="I348" s="4" t="s">
        <v>89</v>
      </c>
      <c r="P348" s="1479"/>
      <c r="Q348" s="1479"/>
      <c r="R348" s="1479"/>
      <c r="S348" s="1479"/>
      <c r="T348" s="1479"/>
      <c r="U348" s="1479"/>
      <c r="V348" s="1479"/>
      <c r="W348" s="1479"/>
      <c r="X348" s="1479"/>
      <c r="Y348" s="1479"/>
      <c r="Z348" s="1479"/>
      <c r="AF348" s="302"/>
      <c r="AG348" s="4"/>
      <c r="AH348" s="4"/>
      <c r="AI348" s="35"/>
      <c r="AJ348" s="35"/>
      <c r="AK348" s="35"/>
    </row>
    <row r="349" spans="1:66" ht="12.95" customHeight="1">
      <c r="B349" s="4"/>
      <c r="C349" s="4"/>
      <c r="D349" s="4"/>
      <c r="E349" s="4"/>
      <c r="F349" s="4"/>
      <c r="G349" s="4"/>
      <c r="I349" s="4" t="s">
        <v>76</v>
      </c>
      <c r="P349" s="1485"/>
      <c r="Q349" s="1485"/>
      <c r="R349" s="1485"/>
      <c r="S349" s="1485"/>
      <c r="T349" s="1485"/>
      <c r="U349" s="1485"/>
      <c r="V349" s="1485"/>
      <c r="W349" s="1485"/>
      <c r="X349" s="1485"/>
      <c r="Y349" s="1485"/>
      <c r="Z349" s="1485"/>
      <c r="AA349" s="1485"/>
      <c r="AB349" s="1485"/>
      <c r="AC349" s="1485"/>
      <c r="AD349" s="1485"/>
      <c r="AE349" s="1485"/>
    </row>
    <row r="350" spans="1:66" ht="12.95" customHeight="1">
      <c r="T350" s="8"/>
      <c r="U350" s="8"/>
      <c r="V350" s="8"/>
      <c r="W350" s="8"/>
      <c r="X350" s="8"/>
      <c r="Y350" s="8"/>
      <c r="Z350" s="8"/>
      <c r="AU350" s="95"/>
      <c r="AV350" s="95"/>
      <c r="AW350" s="95"/>
      <c r="AX350" s="95"/>
      <c r="AY350" s="95"/>
    </row>
    <row r="351" spans="1:66" ht="12.95" customHeight="1">
      <c r="A351" s="1498" t="s">
        <v>542</v>
      </c>
      <c r="B351" s="1498"/>
      <c r="C351" s="1498"/>
      <c r="D351" s="1498"/>
      <c r="E351" s="1498"/>
      <c r="F351" s="1498"/>
      <c r="G351" s="1498"/>
      <c r="H351" s="1498"/>
      <c r="I351" s="1498"/>
      <c r="J351" s="1498"/>
      <c r="K351" s="1498"/>
      <c r="L351" s="1498"/>
      <c r="M351" s="1498"/>
      <c r="N351" s="1498"/>
      <c r="O351" s="1498"/>
      <c r="P351" s="1498"/>
      <c r="Q351" s="1498"/>
      <c r="R351" s="1498"/>
      <c r="S351" s="1498"/>
      <c r="T351" s="1498"/>
      <c r="U351" s="1498"/>
      <c r="V351" s="1498"/>
      <c r="W351" s="1498"/>
      <c r="X351" s="1498"/>
      <c r="Y351" s="1498"/>
      <c r="Z351" s="1498"/>
      <c r="AA351" s="1498"/>
      <c r="AB351" s="1498"/>
      <c r="AC351" s="1498"/>
      <c r="AD351" s="1498"/>
      <c r="AE351" s="1498"/>
      <c r="AF351" s="1498"/>
      <c r="AG351" s="1498"/>
      <c r="AH351" s="1498"/>
      <c r="AI351" s="1498"/>
      <c r="AJ351" s="1498"/>
      <c r="AK351" s="1498"/>
      <c r="AL351" s="1498"/>
      <c r="AM351" s="1498"/>
      <c r="AN351" s="1498"/>
      <c r="AO351" s="1498"/>
      <c r="AP351" s="1498"/>
      <c r="AQ351" s="1498"/>
      <c r="AR351" s="1498"/>
      <c r="AS351" s="1498"/>
      <c r="AT351" s="1498"/>
      <c r="AU351" s="95"/>
      <c r="AV351" s="95"/>
      <c r="AW351" s="95"/>
      <c r="AX351" s="95"/>
      <c r="AY351" s="95"/>
    </row>
    <row r="352" spans="1:66" ht="12.95" customHeight="1">
      <c r="A352" s="1498"/>
      <c r="B352" s="1498"/>
      <c r="C352" s="1498"/>
      <c r="D352" s="1498"/>
      <c r="E352" s="1498"/>
      <c r="F352" s="1498"/>
      <c r="G352" s="1498"/>
      <c r="H352" s="1498"/>
      <c r="I352" s="1498"/>
      <c r="J352" s="1498"/>
      <c r="K352" s="1498"/>
      <c r="L352" s="1498"/>
      <c r="M352" s="1498"/>
      <c r="N352" s="1498"/>
      <c r="O352" s="1498"/>
      <c r="P352" s="1498"/>
      <c r="Q352" s="1498"/>
      <c r="R352" s="1498"/>
      <c r="S352" s="1498"/>
      <c r="T352" s="1498"/>
      <c r="U352" s="1498"/>
      <c r="V352" s="1498"/>
      <c r="W352" s="1498"/>
      <c r="X352" s="1498"/>
      <c r="Y352" s="1498"/>
      <c r="Z352" s="1498"/>
      <c r="AA352" s="1498"/>
      <c r="AB352" s="1498"/>
      <c r="AC352" s="1498"/>
      <c r="AD352" s="1498"/>
      <c r="AE352" s="1498"/>
      <c r="AF352" s="1498"/>
      <c r="AG352" s="1498"/>
      <c r="AH352" s="1498"/>
      <c r="AI352" s="1498"/>
      <c r="AJ352" s="1498"/>
      <c r="AK352" s="1498"/>
      <c r="AL352" s="1498"/>
      <c r="AM352" s="1498"/>
      <c r="AN352" s="1498"/>
      <c r="AO352" s="1498"/>
      <c r="AP352" s="1498"/>
      <c r="AQ352" s="1498"/>
      <c r="AR352" s="1498"/>
      <c r="AS352" s="1498"/>
      <c r="AT352" s="1498"/>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351" t="s">
        <v>545</v>
      </c>
      <c r="N355" s="1351"/>
      <c r="P355" t="s">
        <v>1650</v>
      </c>
      <c r="AJ355" s="1351" t="s">
        <v>669</v>
      </c>
      <c r="AK355" s="1351"/>
    </row>
    <row r="356" spans="1:46" ht="12.95" customHeight="1">
      <c r="D356" s="3" t="s">
        <v>1639</v>
      </c>
      <c r="M356" s="1351" t="s">
        <v>591</v>
      </c>
      <c r="N356" s="1351"/>
      <c r="P356" s="3" t="s">
        <v>1719</v>
      </c>
      <c r="AJ356" s="1487"/>
      <c r="AK356" s="1487"/>
    </row>
    <row r="357" spans="1:46" ht="12.95" customHeight="1">
      <c r="D357" s="3" t="s">
        <v>704</v>
      </c>
      <c r="M357" s="1351" t="s">
        <v>591</v>
      </c>
      <c r="N357" s="1351"/>
      <c r="P357" t="s">
        <v>1649</v>
      </c>
      <c r="AJ357" s="1351" t="s">
        <v>669</v>
      </c>
      <c r="AK357" s="1351"/>
    </row>
    <row r="358" spans="1:46" ht="12.95" customHeight="1">
      <c r="D358" s="3" t="s">
        <v>705</v>
      </c>
      <c r="M358" s="1351" t="s">
        <v>591</v>
      </c>
      <c r="N358" s="1351"/>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51" t="s">
        <v>591</v>
      </c>
      <c r="O363" s="1351"/>
      <c r="P363" s="40"/>
      <c r="Q363" s="40"/>
      <c r="R363" s="40"/>
      <c r="S363" s="40"/>
      <c r="T363" s="40"/>
      <c r="U363" s="40"/>
      <c r="V363" s="40"/>
      <c r="W363" s="40"/>
      <c r="X363" s="40"/>
      <c r="Y363" s="40"/>
      <c r="Z363" s="40"/>
      <c r="AC363" s="40"/>
      <c r="AD363" s="40"/>
      <c r="AE363" s="40"/>
    </row>
    <row r="364" spans="1:46" ht="12.95" customHeight="1">
      <c r="E364" t="s">
        <v>369</v>
      </c>
      <c r="Y364" s="1351" t="s">
        <v>591</v>
      </c>
      <c r="Z364" s="1351"/>
    </row>
    <row r="365" spans="1:46" ht="12.95" customHeight="1">
      <c r="D365" s="4" t="s">
        <v>978</v>
      </c>
      <c r="Q365" s="1485"/>
      <c r="R365" s="1485"/>
      <c r="S365" s="1485"/>
      <c r="T365" s="1485"/>
      <c r="U365" s="1485"/>
      <c r="V365" s="1485"/>
      <c r="W365" s="1485"/>
      <c r="X365" s="1485"/>
      <c r="Y365" s="1485"/>
      <c r="Z365" s="1485"/>
      <c r="AA365" s="1485"/>
      <c r="AB365" s="1485"/>
      <c r="AC365" s="1485"/>
      <c r="AD365" s="1485"/>
      <c r="AE365" s="1485"/>
      <c r="AF365" s="1485"/>
      <c r="AG365" s="1485"/>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51" t="s">
        <v>591</v>
      </c>
      <c r="K367" s="1351"/>
      <c r="L367" s="40"/>
      <c r="M367" s="40"/>
      <c r="N367" s="40"/>
      <c r="O367" s="40"/>
      <c r="P367" s="40"/>
      <c r="Q367" s="40"/>
      <c r="R367" s="40"/>
      <c r="S367" s="40"/>
      <c r="T367" s="40"/>
      <c r="U367" s="40"/>
      <c r="V367" s="40"/>
      <c r="W367" s="40"/>
      <c r="X367" s="40"/>
      <c r="Y367" s="40"/>
      <c r="Z367" s="40"/>
      <c r="AC367" s="40"/>
      <c r="AD367" s="40"/>
      <c r="AE367" s="40"/>
    </row>
    <row r="368" spans="1:46" ht="12.95" customHeight="1">
      <c r="E368" s="1424" t="s">
        <v>706</v>
      </c>
      <c r="F368" s="1424"/>
      <c r="G368" s="1424"/>
      <c r="H368" s="1424"/>
      <c r="I368" s="1424"/>
      <c r="J368" s="1424"/>
      <c r="K368" s="1424"/>
      <c r="L368" s="1424"/>
      <c r="M368" s="1424"/>
      <c r="N368" s="1424"/>
      <c r="O368" s="1424"/>
      <c r="P368" s="1424"/>
      <c r="Q368" s="1424"/>
      <c r="R368" s="1424"/>
      <c r="S368" s="1424"/>
      <c r="T368" s="1424"/>
      <c r="U368" s="1424"/>
      <c r="V368" s="1424"/>
      <c r="W368" s="1424"/>
      <c r="X368" s="1424"/>
      <c r="Y368" s="1424"/>
      <c r="Z368" s="1424"/>
      <c r="AA368" s="1424"/>
      <c r="AB368" s="1424"/>
      <c r="AC368" s="1424"/>
      <c r="AD368" s="1424"/>
      <c r="AE368" s="1424"/>
      <c r="AF368" s="1424"/>
      <c r="AG368" s="1424"/>
      <c r="AH368" s="1424"/>
    </row>
    <row r="369" spans="1:34" ht="12.95" customHeight="1">
      <c r="E369" s="1424"/>
      <c r="F369" s="1424"/>
      <c r="G369" s="1424"/>
      <c r="H369" s="1424"/>
      <c r="I369" s="1424"/>
      <c r="J369" s="1424"/>
      <c r="K369" s="1424"/>
      <c r="L369" s="1424"/>
      <c r="M369" s="1424"/>
      <c r="N369" s="1424"/>
      <c r="O369" s="1424"/>
      <c r="P369" s="1424"/>
      <c r="Q369" s="1424"/>
      <c r="R369" s="1424"/>
      <c r="S369" s="1424"/>
      <c r="T369" s="1424"/>
      <c r="U369" s="1424"/>
      <c r="V369" s="1424"/>
      <c r="W369" s="1424"/>
      <c r="X369" s="1424"/>
      <c r="Y369" s="1424"/>
      <c r="Z369" s="1424"/>
      <c r="AA369" s="1424"/>
      <c r="AB369" s="1424"/>
      <c r="AC369" s="1424"/>
      <c r="AD369" s="1424"/>
      <c r="AE369" s="1424"/>
      <c r="AF369" s="1424"/>
      <c r="AG369" s="1424"/>
      <c r="AH369" s="1424"/>
    </row>
    <row r="370" spans="1:34" ht="12.95" customHeight="1">
      <c r="E370" s="4" t="s">
        <v>448</v>
      </c>
      <c r="F370" s="4"/>
      <c r="G370" s="4"/>
      <c r="H370" s="4"/>
      <c r="I370" s="4"/>
      <c r="J370" s="4"/>
      <c r="K370" s="4"/>
      <c r="L370" s="4"/>
      <c r="N370" s="1727"/>
      <c r="O370" s="1727"/>
      <c r="P370" s="1727"/>
      <c r="Q370" s="1727"/>
      <c r="R370" s="4"/>
      <c r="U370" s="4" t="s">
        <v>449</v>
      </c>
      <c r="V370" s="4"/>
      <c r="W370" s="4"/>
      <c r="X370" s="4"/>
      <c r="Y370" s="4"/>
      <c r="Z370" s="4"/>
      <c r="AA370" s="4"/>
      <c r="AB370" s="4"/>
      <c r="AC370" s="1727"/>
      <c r="AD370" s="1727"/>
      <c r="AE370" s="1727"/>
      <c r="AF370" s="1727"/>
    </row>
    <row r="371" spans="1:34" ht="12.95" customHeight="1">
      <c r="E371" s="4" t="s">
        <v>450</v>
      </c>
      <c r="F371" s="4"/>
      <c r="G371" s="4"/>
      <c r="H371" s="4"/>
      <c r="I371" s="4"/>
      <c r="J371" s="4"/>
      <c r="K371" s="4"/>
      <c r="L371" s="4"/>
      <c r="N371" s="1727"/>
      <c r="O371" s="1727"/>
      <c r="P371" s="1727"/>
      <c r="Q371" s="1727"/>
      <c r="R371" s="4"/>
      <c r="U371" s="4" t="s">
        <v>0</v>
      </c>
      <c r="V371" s="4"/>
      <c r="W371" s="4"/>
      <c r="X371" s="4"/>
      <c r="Y371" s="4"/>
      <c r="Z371" s="4"/>
      <c r="AA371" s="4"/>
      <c r="AB371" s="4"/>
      <c r="AC371" s="1727"/>
      <c r="AD371" s="1727"/>
      <c r="AE371" s="1727"/>
      <c r="AF371" s="1727"/>
    </row>
    <row r="372" spans="1:34" ht="12.95" customHeight="1">
      <c r="E372" s="4" t="s">
        <v>1</v>
      </c>
      <c r="F372" s="4"/>
      <c r="G372" s="4"/>
      <c r="H372" s="4"/>
      <c r="I372" s="4"/>
      <c r="J372" s="4"/>
      <c r="K372" s="4"/>
      <c r="L372" s="4"/>
      <c r="N372" s="1727"/>
      <c r="O372" s="1727"/>
      <c r="P372" s="1727"/>
      <c r="Q372" s="1727"/>
      <c r="R372" s="4"/>
      <c r="V372" s="4"/>
      <c r="W372" s="4"/>
      <c r="X372" s="4"/>
      <c r="Y372" s="4"/>
      <c r="Z372" s="4"/>
      <c r="AA372" s="4"/>
      <c r="AB372" s="4"/>
    </row>
    <row r="373" spans="1:34" ht="12.95" customHeight="1">
      <c r="E373" s="4" t="s">
        <v>2</v>
      </c>
      <c r="F373" s="4"/>
      <c r="G373" s="4"/>
      <c r="H373" s="4"/>
      <c r="I373" s="4"/>
      <c r="J373" s="4"/>
      <c r="K373" s="4"/>
      <c r="L373" s="4"/>
      <c r="N373" s="1802"/>
      <c r="O373" s="1802"/>
      <c r="P373" s="1802"/>
      <c r="Q373" s="1802"/>
      <c r="R373" s="1802"/>
      <c r="S373" s="1802"/>
      <c r="T373" s="1802"/>
      <c r="U373" s="1802"/>
      <c r="V373" s="1802"/>
      <c r="W373" s="1802"/>
      <c r="X373" s="1802"/>
      <c r="Y373" s="1802"/>
      <c r="Z373" s="1802"/>
      <c r="AA373" s="1802"/>
      <c r="AB373" s="1802"/>
      <c r="AC373" s="1802"/>
      <c r="AD373" s="1802"/>
      <c r="AE373" s="1802"/>
      <c r="AF373" s="1802"/>
    </row>
    <row r="374" spans="1:34" ht="12.95" customHeight="1">
      <c r="E374" s="4"/>
      <c r="F374" s="4"/>
      <c r="G374" s="4"/>
      <c r="H374" s="4"/>
      <c r="I374" s="4"/>
      <c r="J374" s="4"/>
      <c r="K374" s="4"/>
      <c r="L374" s="4"/>
      <c r="N374" s="1803"/>
      <c r="O374" s="1803"/>
      <c r="P374" s="1803"/>
      <c r="Q374" s="1803"/>
      <c r="R374" s="1803"/>
      <c r="S374" s="1803"/>
      <c r="T374" s="1803"/>
      <c r="U374" s="1803"/>
      <c r="V374" s="1803"/>
      <c r="W374" s="1803"/>
      <c r="X374" s="1803"/>
      <c r="Y374" s="1803"/>
      <c r="Z374" s="1803"/>
      <c r="AA374" s="1803"/>
      <c r="AB374" s="1803"/>
      <c r="AC374" s="1803"/>
      <c r="AD374" s="1803"/>
      <c r="AE374" s="1803"/>
      <c r="AF374" s="1803"/>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804"/>
      <c r="T377" s="1804"/>
      <c r="U377" s="1" t="s">
        <v>305</v>
      </c>
      <c r="V377" s="1804"/>
      <c r="W377" s="1804"/>
      <c r="Y377" t="s">
        <v>2080</v>
      </c>
      <c r="AC377" s="27" t="s">
        <v>304</v>
      </c>
      <c r="AD377" s="1804"/>
      <c r="AE377" s="1804"/>
      <c r="AF377" s="1" t="s">
        <v>305</v>
      </c>
      <c r="AG377" s="1804"/>
      <c r="AH377" s="1804"/>
    </row>
    <row r="378" spans="1:34" ht="12.95" customHeight="1">
      <c r="E378" s="4" t="s">
        <v>987</v>
      </c>
      <c r="F378" s="4"/>
      <c r="G378" s="4"/>
      <c r="H378" s="4"/>
      <c r="I378" s="4"/>
      <c r="J378" s="4"/>
      <c r="K378" s="4"/>
      <c r="L378" s="4"/>
      <c r="N378" s="1804"/>
      <c r="O378" s="1804"/>
      <c r="P378" s="1804"/>
    </row>
    <row r="379" spans="1:34" ht="12.95" customHeight="1">
      <c r="E379" s="204" t="s">
        <v>2086</v>
      </c>
      <c r="F379" s="4"/>
      <c r="G379" s="4"/>
      <c r="H379" s="4"/>
      <c r="I379" s="4"/>
      <c r="J379" s="4"/>
      <c r="K379" s="4"/>
      <c r="L379" s="4"/>
      <c r="AG379" s="1799" t="s">
        <v>591</v>
      </c>
      <c r="AH379" s="1799"/>
    </row>
    <row r="380" spans="1:34" ht="12.95" customHeight="1">
      <c r="E380" s="4"/>
      <c r="F380" s="4"/>
      <c r="G380" s="4" t="s">
        <v>2087</v>
      </c>
      <c r="H380" s="4"/>
      <c r="I380" s="4"/>
      <c r="J380" s="4"/>
      <c r="K380" s="4"/>
      <c r="L380" s="4"/>
      <c r="AG380" s="1799" t="s">
        <v>591</v>
      </c>
      <c r="AH380" s="1799"/>
    </row>
    <row r="381" spans="1:34" ht="12.95" customHeight="1">
      <c r="E381" s="4"/>
      <c r="F381" s="4"/>
      <c r="G381" s="320" t="s">
        <v>988</v>
      </c>
      <c r="H381" s="4"/>
      <c r="I381" s="4"/>
      <c r="J381" s="4"/>
      <c r="K381" s="4"/>
      <c r="L381" s="4"/>
      <c r="V381" s="1351" t="s">
        <v>591</v>
      </c>
      <c r="W381" s="1351"/>
      <c r="Y381" s="22" t="s">
        <v>980</v>
      </c>
    </row>
    <row r="382" spans="1:34" ht="12.95" customHeight="1">
      <c r="E382" s="4" t="s">
        <v>981</v>
      </c>
      <c r="F382" s="4"/>
      <c r="G382" s="4"/>
      <c r="H382" s="4"/>
      <c r="I382" s="4"/>
      <c r="J382" s="4"/>
      <c r="K382" s="4"/>
      <c r="L382" s="4"/>
      <c r="V382" s="1351" t="s">
        <v>591</v>
      </c>
      <c r="W382" s="1351"/>
      <c r="Y382" s="4" t="s">
        <v>982</v>
      </c>
    </row>
    <row r="383" spans="1:34" ht="12.95" customHeight="1"/>
    <row r="384" spans="1:34" ht="12.95" customHeight="1">
      <c r="A384" s="2" t="s">
        <v>78</v>
      </c>
      <c r="B384" s="2"/>
    </row>
    <row r="385" spans="4:36" ht="12.95" customHeight="1">
      <c r="D385" t="s">
        <v>427</v>
      </c>
      <c r="J385" s="1485" t="s">
        <v>2715</v>
      </c>
      <c r="K385" s="1485"/>
      <c r="L385" s="1485"/>
      <c r="M385" s="1485"/>
      <c r="N385" s="1485"/>
      <c r="O385" s="1485"/>
      <c r="P385" s="1485"/>
      <c r="Q385" s="1485"/>
      <c r="R385" s="1485"/>
      <c r="S385" s="1485"/>
      <c r="T385" s="1485"/>
      <c r="U385" s="1485"/>
      <c r="V385" s="8" t="s">
        <v>83</v>
      </c>
      <c r="W385" s="8"/>
      <c r="X385" s="8"/>
      <c r="Y385" s="8"/>
      <c r="Z385" s="8"/>
      <c r="AA385" s="8"/>
      <c r="AB385" s="8"/>
      <c r="AC385" s="1485" t="s">
        <v>2717</v>
      </c>
      <c r="AD385" s="1485"/>
      <c r="AE385" s="1485"/>
      <c r="AF385" s="1485"/>
      <c r="AG385" s="1485"/>
      <c r="AH385" s="1485"/>
      <c r="AI385" s="1485"/>
      <c r="AJ385" s="1485"/>
    </row>
    <row r="386" spans="4:36" ht="12.95" customHeight="1">
      <c r="D386" s="3" t="s">
        <v>1182</v>
      </c>
      <c r="J386" s="1480" t="s">
        <v>2716</v>
      </c>
      <c r="K386" s="1480"/>
      <c r="L386" s="1480"/>
      <c r="M386" s="1480"/>
      <c r="N386" s="1480"/>
      <c r="O386" s="1480"/>
      <c r="P386" s="1480"/>
      <c r="Q386" s="1480"/>
      <c r="R386" s="1480"/>
      <c r="S386" s="1480"/>
      <c r="T386" s="1480"/>
      <c r="U386" s="1480"/>
      <c r="V386" s="3" t="s">
        <v>1182</v>
      </c>
      <c r="W386" s="8"/>
      <c r="X386" s="8"/>
      <c r="Y386" s="8"/>
      <c r="Z386" s="8"/>
      <c r="AA386" s="8"/>
      <c r="AB386" s="8"/>
      <c r="AC386" s="1485"/>
      <c r="AD386" s="1485"/>
      <c r="AE386" s="1485"/>
      <c r="AF386" s="1485"/>
      <c r="AG386" s="1485"/>
      <c r="AH386" s="1485"/>
      <c r="AI386" s="1485"/>
      <c r="AJ386" s="1485"/>
    </row>
    <row r="387" spans="4:36" ht="12.95" customHeight="1">
      <c r="D387" s="3" t="s">
        <v>441</v>
      </c>
      <c r="J387" s="1480" t="s">
        <v>2718</v>
      </c>
      <c r="K387" s="1480"/>
      <c r="L387" s="1480"/>
      <c r="M387" s="1480"/>
      <c r="N387" s="1480"/>
      <c r="O387" s="1480"/>
      <c r="P387" s="1480"/>
      <c r="Q387" s="1480"/>
      <c r="R387" s="1480"/>
      <c r="S387" s="1480"/>
      <c r="T387" s="1480"/>
      <c r="U387" s="1480"/>
      <c r="V387" s="3" t="s">
        <v>441</v>
      </c>
      <c r="W387" s="8"/>
      <c r="X387" s="8"/>
      <c r="Y387" s="8"/>
      <c r="Z387" s="8"/>
      <c r="AA387" s="8"/>
      <c r="AB387" s="8"/>
      <c r="AC387" s="1485"/>
      <c r="AD387" s="1485"/>
      <c r="AE387" s="1485"/>
      <c r="AF387" s="1485"/>
      <c r="AG387" s="1485"/>
      <c r="AH387" s="1485"/>
      <c r="AI387" s="1485"/>
      <c r="AJ387" s="1485"/>
    </row>
    <row r="388" spans="4:36" ht="12.95" customHeight="1">
      <c r="D388" t="s">
        <v>1178</v>
      </c>
      <c r="J388" s="1427" t="s">
        <v>2719</v>
      </c>
      <c r="K388" s="1427"/>
      <c r="L388" s="1427"/>
      <c r="M388" s="1427"/>
      <c r="N388" s="1427"/>
      <c r="O388" s="1427"/>
      <c r="P388" s="1427"/>
      <c r="Q388" s="1427"/>
      <c r="R388" s="1427"/>
      <c r="S388" s="1427"/>
      <c r="T388" s="1427"/>
      <c r="U388" s="1427"/>
      <c r="V388" s="1485"/>
      <c r="W388" s="1485"/>
      <c r="X388" s="1485"/>
      <c r="Y388" s="1485"/>
      <c r="Z388" s="1485"/>
      <c r="AA388" s="1485"/>
      <c r="AB388" s="1485"/>
      <c r="AC388" s="1485"/>
      <c r="AD388" s="1485"/>
      <c r="AE388" s="1485"/>
      <c r="AF388" s="1485"/>
      <c r="AG388" s="1485"/>
      <c r="AH388" s="1485"/>
      <c r="AI388" s="1485"/>
      <c r="AJ388" s="1485"/>
    </row>
    <row r="389" spans="4:36" ht="12.95" customHeight="1">
      <c r="D389" t="s">
        <v>4</v>
      </c>
      <c r="Q389" s="1807" t="s">
        <v>2720</v>
      </c>
      <c r="R389" s="1808"/>
      <c r="S389" s="1808"/>
      <c r="T389" s="1808"/>
      <c r="U389" s="1808"/>
      <c r="V389" t="s">
        <v>308</v>
      </c>
      <c r="AI389" s="1351" t="s">
        <v>669</v>
      </c>
      <c r="AJ389" s="1351"/>
    </row>
    <row r="390" spans="4:36" ht="12.95" customHeight="1">
      <c r="D390" t="s">
        <v>5</v>
      </c>
      <c r="Q390" s="1404">
        <v>46058</v>
      </c>
      <c r="R390" s="1798"/>
      <c r="S390" s="1798"/>
      <c r="T390" s="1798"/>
      <c r="U390" s="1798"/>
      <c r="W390" s="21" t="s">
        <v>74</v>
      </c>
      <c r="AG390" s="1809"/>
      <c r="AH390" s="1809"/>
      <c r="AI390" s="1809"/>
      <c r="AJ390" s="1809"/>
    </row>
    <row r="391" spans="4:36" ht="12.95" customHeight="1">
      <c r="D391" t="s">
        <v>426</v>
      </c>
      <c r="Q391" s="1816">
        <v>8800000</v>
      </c>
      <c r="R391" s="1816"/>
      <c r="S391" s="1816"/>
      <c r="T391" s="1816"/>
      <c r="U391" s="1816"/>
      <c r="V391" s="3" t="s">
        <v>1181</v>
      </c>
      <c r="AG391" s="1811">
        <v>46037</v>
      </c>
      <c r="AH391" s="1811"/>
      <c r="AI391" s="1811"/>
      <c r="AJ391" s="1811"/>
    </row>
    <row r="392" spans="4:36" ht="12.95" customHeight="1">
      <c r="D392" t="s">
        <v>88</v>
      </c>
      <c r="I392" s="1499" t="s">
        <v>2721</v>
      </c>
      <c r="J392" s="1500"/>
      <c r="K392" s="1500"/>
      <c r="L392" s="1500"/>
      <c r="M392" s="1500"/>
      <c r="N392" s="1500"/>
      <c r="Q392" s="4" t="s">
        <v>205</v>
      </c>
      <c r="S392" s="1815"/>
      <c r="T392" s="1815"/>
      <c r="U392" s="1815"/>
      <c r="V392" t="s">
        <v>73</v>
      </c>
      <c r="AI392" s="1351" t="s">
        <v>669</v>
      </c>
      <c r="AJ392" s="1351"/>
    </row>
    <row r="393" spans="4:36" ht="12.95" customHeight="1">
      <c r="D393" t="s">
        <v>309</v>
      </c>
      <c r="Q393" s="1422">
        <v>0</v>
      </c>
      <c r="R393" s="1422"/>
      <c r="S393" s="1422"/>
      <c r="T393" s="1422"/>
      <c r="U393" s="1422"/>
      <c r="V393" t="s">
        <v>310</v>
      </c>
      <c r="AG393" s="1809">
        <v>0</v>
      </c>
      <c r="AH393" s="1809"/>
      <c r="AI393" s="1809"/>
      <c r="AJ393" s="1809"/>
    </row>
    <row r="394" spans="4:36" ht="12.95" customHeight="1">
      <c r="D394" t="s">
        <v>311</v>
      </c>
      <c r="Q394" s="1755">
        <v>1E-4</v>
      </c>
      <c r="R394" s="1755"/>
      <c r="S394" s="1755"/>
      <c r="T394" s="1755"/>
      <c r="U394" s="1755"/>
      <c r="V394" t="s">
        <v>1163</v>
      </c>
      <c r="AG394" s="1809">
        <v>0</v>
      </c>
      <c r="AH394" s="1809"/>
      <c r="AI394" s="1809"/>
      <c r="AJ394" s="1809"/>
    </row>
    <row r="395" spans="4:36" ht="12.95" customHeight="1">
      <c r="D395" t="s">
        <v>1162</v>
      </c>
      <c r="AG395" s="1809">
        <v>0</v>
      </c>
      <c r="AH395" s="1809"/>
      <c r="AI395" s="1809"/>
      <c r="AJ395" s="1809"/>
    </row>
    <row r="396" spans="4:36" ht="12.95" customHeight="1">
      <c r="AG396" s="456"/>
      <c r="AH396" s="456"/>
      <c r="AI396" s="456"/>
      <c r="AJ396" s="456"/>
    </row>
    <row r="397" spans="4:36" ht="12.95" customHeight="1">
      <c r="D397" s="3" t="s">
        <v>2143</v>
      </c>
      <c r="AG397" s="456"/>
      <c r="AH397" s="456"/>
      <c r="AI397" s="1351" t="s">
        <v>669</v>
      </c>
      <c r="AJ397" s="1351"/>
    </row>
    <row r="398" spans="4:36" ht="12.95" customHeight="1">
      <c r="D398" s="3" t="s">
        <v>1667</v>
      </c>
      <c r="T398" s="1750" t="s">
        <v>591</v>
      </c>
      <c r="U398" s="1750"/>
      <c r="V398" s="1750"/>
      <c r="W398" s="1750"/>
      <c r="X398" s="1750"/>
      <c r="Y398" s="1750"/>
      <c r="Z398" s="1750"/>
      <c r="AA398" s="1750"/>
      <c r="AB398" s="1750"/>
      <c r="AC398" s="1750"/>
      <c r="AD398" s="1750"/>
      <c r="AE398" s="1750"/>
      <c r="AF398" s="1750"/>
      <c r="AG398" s="1750"/>
      <c r="AH398" s="1750"/>
      <c r="AI398" s="1750"/>
      <c r="AJ398" s="1750"/>
    </row>
    <row r="399" spans="4:36" ht="12.95" customHeight="1">
      <c r="D399" s="3" t="s">
        <v>1666</v>
      </c>
      <c r="T399" s="1750" t="s">
        <v>591</v>
      </c>
      <c r="U399" s="1750"/>
      <c r="V399" s="1750"/>
      <c r="W399" s="1750"/>
      <c r="X399" s="1750"/>
      <c r="Y399" s="1750"/>
      <c r="Z399" s="1750"/>
      <c r="AA399" s="1750"/>
      <c r="AB399" s="1750"/>
      <c r="AC399" s="1750"/>
      <c r="AD399" s="1750"/>
      <c r="AE399" s="1750"/>
      <c r="AF399" s="1750"/>
      <c r="AG399" s="1750"/>
      <c r="AH399" s="1750"/>
      <c r="AI399" s="1750"/>
      <c r="AJ399" s="1750"/>
    </row>
    <row r="400" spans="4:36" ht="12.95" customHeight="1">
      <c r="AG400" s="456"/>
      <c r="AH400" s="456"/>
      <c r="AI400" s="456"/>
      <c r="AJ400" s="456"/>
    </row>
    <row r="401" spans="1:36" ht="12.95" customHeight="1">
      <c r="D401" s="3" t="s">
        <v>1660</v>
      </c>
      <c r="S401" s="1750" t="s">
        <v>669</v>
      </c>
      <c r="T401" s="1750"/>
      <c r="U401" s="1750"/>
      <c r="V401" t="s">
        <v>1661</v>
      </c>
      <c r="AG401" s="1813"/>
      <c r="AH401" s="1813"/>
      <c r="AI401" s="1813"/>
      <c r="AJ401" s="1813"/>
    </row>
    <row r="402" spans="1:36" ht="12.95" customHeight="1">
      <c r="D402" s="3" t="s">
        <v>1658</v>
      </c>
      <c r="S402" s="1750" t="s">
        <v>591</v>
      </c>
      <c r="T402" s="1750"/>
      <c r="U402" s="1750"/>
      <c r="V402" t="s">
        <v>1663</v>
      </c>
      <c r="AE402" s="1810"/>
      <c r="AF402" s="1810"/>
      <c r="AG402" s="1810"/>
      <c r="AH402" s="1810"/>
      <c r="AI402" s="1810"/>
      <c r="AJ402" s="1810"/>
    </row>
    <row r="403" spans="1:36" ht="12.95" customHeight="1">
      <c r="D403" s="3" t="s">
        <v>1659</v>
      </c>
      <c r="K403" s="1785"/>
      <c r="L403" s="1785"/>
      <c r="M403" s="1785"/>
      <c r="N403" s="1785"/>
      <c r="O403" s="1785"/>
      <c r="P403" s="1785"/>
      <c r="Q403" s="1785"/>
      <c r="R403" s="1785"/>
      <c r="S403" s="1785"/>
      <c r="T403" s="1785"/>
      <c r="U403" s="1785"/>
      <c r="V403" s="1785"/>
      <c r="W403" s="1785"/>
      <c r="X403" s="1785"/>
      <c r="Y403" s="1785"/>
      <c r="Z403" s="1785"/>
      <c r="AA403" s="1785"/>
      <c r="AB403" s="1785"/>
      <c r="AC403" s="1785"/>
      <c r="AD403" s="1785"/>
      <c r="AE403" s="1785"/>
      <c r="AF403" s="1785"/>
      <c r="AG403" s="1785"/>
      <c r="AH403" s="1785"/>
      <c r="AI403" s="1785"/>
      <c r="AJ403" s="1785"/>
    </row>
    <row r="404" spans="1:36" ht="12.95" customHeight="1">
      <c r="D404" s="3" t="s">
        <v>1662</v>
      </c>
      <c r="K404" s="1785"/>
      <c r="L404" s="1785"/>
      <c r="M404" s="1785"/>
      <c r="N404" s="1785"/>
      <c r="O404" s="1785"/>
      <c r="P404" s="1785"/>
      <c r="Q404" s="1785"/>
      <c r="R404" s="1785"/>
      <c r="S404" s="1785"/>
      <c r="T404" s="1785"/>
      <c r="U404" s="1785"/>
      <c r="V404" s="1785"/>
      <c r="W404" s="1785"/>
      <c r="X404" s="1785"/>
      <c r="Y404" s="1785"/>
      <c r="Z404" s="1785"/>
      <c r="AA404" s="1785"/>
      <c r="AB404" s="1785"/>
      <c r="AC404" s="1785"/>
      <c r="AD404" s="1785"/>
      <c r="AE404" s="1785"/>
      <c r="AF404" s="1785"/>
      <c r="AG404" s="1785"/>
      <c r="AH404" s="1785"/>
      <c r="AI404" s="1785"/>
      <c r="AJ404" s="1785"/>
    </row>
    <row r="405" spans="1:36" ht="12.95" customHeight="1">
      <c r="D405" s="3" t="s">
        <v>1665</v>
      </c>
      <c r="E405" s="477"/>
      <c r="F405" s="477"/>
      <c r="G405" s="477"/>
      <c r="H405" s="477"/>
      <c r="I405" s="477"/>
      <c r="J405" s="477"/>
      <c r="K405" s="477"/>
      <c r="L405" s="477"/>
      <c r="M405" s="477"/>
      <c r="N405" s="477"/>
      <c r="O405" s="477"/>
      <c r="P405" s="477"/>
      <c r="Q405" s="477"/>
      <c r="R405" s="477"/>
      <c r="S405" s="1812" t="s">
        <v>2722</v>
      </c>
      <c r="T405" s="1812"/>
      <c r="U405" s="1812"/>
      <c r="V405" s="1812"/>
      <c r="W405" s="1812"/>
      <c r="X405" s="1812"/>
      <c r="Y405" s="1812"/>
      <c r="Z405" s="1812"/>
      <c r="AA405" s="1812"/>
      <c r="AB405" s="1812"/>
      <c r="AC405" s="1812"/>
      <c r="AD405" s="1812"/>
      <c r="AE405" s="1812"/>
      <c r="AF405" s="1812"/>
      <c r="AG405" s="1812"/>
      <c r="AH405" s="1812"/>
      <c r="AI405" s="1812"/>
      <c r="AJ405" s="1812"/>
    </row>
    <row r="406" spans="1:36" ht="12.95" customHeight="1">
      <c r="D406" s="1269" t="s">
        <v>1664</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2.95"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60" t="s">
        <v>2723</v>
      </c>
      <c r="J410" s="1460"/>
      <c r="K410" s="1460"/>
      <c r="L410" s="1460"/>
      <c r="M410" s="1460"/>
      <c r="N410" s="1460"/>
      <c r="O410" s="1460"/>
      <c r="P410" s="1460"/>
      <c r="Q410" s="1460"/>
      <c r="R410" s="1460"/>
      <c r="S410" s="1460"/>
      <c r="T410" s="1460"/>
      <c r="U410" s="1460"/>
      <c r="V410" s="1460"/>
      <c r="W410" s="1460"/>
      <c r="X410" s="1460"/>
      <c r="Y410" s="1460"/>
      <c r="Z410" s="1460"/>
      <c r="AA410" s="1460"/>
      <c r="AB410" s="1460"/>
      <c r="AC410" s="1460"/>
      <c r="AD410" s="1460"/>
      <c r="AE410" s="1460"/>
    </row>
    <row r="411" spans="1:36" ht="12.95" customHeight="1">
      <c r="E411" t="s">
        <v>106</v>
      </c>
      <c r="R411" s="1351" t="s">
        <v>591</v>
      </c>
      <c r="S411" s="1351"/>
      <c r="AC411" s="27" t="s">
        <v>570</v>
      </c>
      <c r="AD411" s="1727"/>
      <c r="AE411" s="1727"/>
    </row>
    <row r="412" spans="1:36" ht="12.95" customHeight="1">
      <c r="E412" t="s">
        <v>107</v>
      </c>
      <c r="R412" s="1351" t="s">
        <v>545</v>
      </c>
      <c r="S412" s="1351"/>
      <c r="AC412" s="27" t="s">
        <v>570</v>
      </c>
      <c r="AD412" s="1727">
        <v>3</v>
      </c>
      <c r="AE412" s="1727"/>
    </row>
    <row r="413" spans="1:36" ht="12.95" customHeight="1">
      <c r="E413" t="s">
        <v>108</v>
      </c>
      <c r="S413" s="1351" t="s">
        <v>591</v>
      </c>
      <c r="T413" s="1351"/>
    </row>
    <row r="414" spans="1:36" ht="12.95" customHeight="1">
      <c r="E414" t="s">
        <v>169</v>
      </c>
      <c r="H414" s="1823" t="s">
        <v>333</v>
      </c>
      <c r="I414" s="1823"/>
      <c r="J414" s="1823"/>
      <c r="K414" s="1823"/>
      <c r="L414" s="1823"/>
      <c r="M414" s="1823"/>
      <c r="N414" s="1823"/>
      <c r="O414" s="1823"/>
      <c r="P414" s="1823"/>
      <c r="Q414" s="1823"/>
      <c r="R414" s="1823"/>
      <c r="S414" s="1823"/>
      <c r="T414" s="1823"/>
      <c r="U414" s="1823"/>
      <c r="V414" s="1823"/>
      <c r="W414" s="1823"/>
      <c r="X414" s="1823"/>
      <c r="Y414" s="1823"/>
      <c r="Z414" s="1823"/>
      <c r="AA414" s="1823"/>
      <c r="AB414" s="1823"/>
      <c r="AC414" s="1823"/>
      <c r="AD414" s="1823"/>
      <c r="AE414" s="1823"/>
    </row>
    <row r="415" spans="1:36" ht="12.95" customHeight="1">
      <c r="H415" s="1824"/>
      <c r="I415" s="1824"/>
      <c r="J415" s="1824"/>
      <c r="K415" s="1824"/>
      <c r="L415" s="1824"/>
      <c r="M415" s="1824"/>
      <c r="N415" s="1824"/>
      <c r="O415" s="1824"/>
      <c r="P415" s="1824"/>
      <c r="Q415" s="1824"/>
      <c r="R415" s="1824"/>
      <c r="S415" s="1824"/>
      <c r="T415" s="1824"/>
      <c r="U415" s="1824"/>
      <c r="V415" s="1824"/>
      <c r="W415" s="1824"/>
      <c r="X415" s="1824"/>
      <c r="Y415" s="1824"/>
      <c r="Z415" s="1824"/>
      <c r="AA415" s="1824"/>
      <c r="AB415" s="1824"/>
      <c r="AC415" s="1824"/>
      <c r="AD415" s="1824"/>
      <c r="AE415" s="1824"/>
    </row>
    <row r="416" spans="1:36" ht="12.95" customHeight="1"/>
    <row r="417" spans="1:39" ht="12.95" customHeight="1">
      <c r="A417" s="2" t="s">
        <v>590</v>
      </c>
      <c r="B417" s="2"/>
      <c r="C417" s="2"/>
      <c r="D417" s="2" t="s">
        <v>114</v>
      </c>
      <c r="AF417" s="2" t="s">
        <v>957</v>
      </c>
    </row>
    <row r="418" spans="1:39" ht="12.95" customHeight="1">
      <c r="E418" s="1804"/>
      <c r="F418" s="1804"/>
      <c r="G418" s="1804"/>
      <c r="H418" s="13" t="s">
        <v>115</v>
      </c>
      <c r="I418" s="1804"/>
      <c r="J418" s="1804"/>
      <c r="K418" s="1804"/>
      <c r="L418" t="s">
        <v>116</v>
      </c>
      <c r="N418" s="27" t="s">
        <v>575</v>
      </c>
      <c r="P418" s="1752">
        <v>3.67</v>
      </c>
      <c r="Q418" s="1752"/>
      <c r="R418" s="1752"/>
      <c r="S418" t="s">
        <v>117</v>
      </c>
      <c r="W418" s="1754">
        <f>IF(E418&gt;0,(E418*I418),(P418*43560))</f>
        <v>159865.19999999998</v>
      </c>
      <c r="X418" s="1754"/>
      <c r="Y418" s="1754"/>
      <c r="Z418" t="s">
        <v>118</v>
      </c>
      <c r="AF418" s="1753">
        <f>IFERROR(IF(P418&gt;0,(AG437/P418),(AG437/(W418/43560))),0)</f>
        <v>34.059945504087196</v>
      </c>
      <c r="AG418" s="1753"/>
      <c r="AH418" s="1753"/>
      <c r="AM418" s="3"/>
    </row>
    <row r="419" spans="1:39" ht="12.95" customHeight="1">
      <c r="E419" t="s">
        <v>51</v>
      </c>
    </row>
    <row r="420" spans="1:39" ht="12.95" customHeight="1">
      <c r="E420" s="1814"/>
      <c r="F420" s="1814"/>
      <c r="G420" s="1814"/>
      <c r="H420" s="1814"/>
      <c r="I420" s="1814"/>
      <c r="J420" s="1814"/>
      <c r="K420" s="1814"/>
      <c r="L420" s="1814"/>
      <c r="M420" s="1814"/>
      <c r="N420" s="1814"/>
      <c r="O420" s="1814"/>
      <c r="P420" s="1814"/>
      <c r="Q420" s="1814"/>
      <c r="R420" s="1814"/>
      <c r="S420" s="1814"/>
      <c r="T420" s="1814"/>
      <c r="U420" s="1814"/>
      <c r="V420" s="1814"/>
      <c r="W420" s="1814"/>
      <c r="X420" s="1814"/>
      <c r="Y420" s="1814"/>
      <c r="Z420" s="1814"/>
      <c r="AA420" s="1814"/>
      <c r="AB420" s="1814"/>
      <c r="AC420" s="1814"/>
      <c r="AD420" s="1814"/>
      <c r="AE420" s="1814"/>
      <c r="AF420" s="1814"/>
      <c r="AG420" s="1814"/>
      <c r="AH420" s="1814"/>
      <c r="AI420" s="1814"/>
      <c r="AJ420" s="1814"/>
    </row>
    <row r="421" spans="1:39" ht="12.95" customHeight="1">
      <c r="E421" s="118" t="s">
        <v>1736</v>
      </c>
      <c r="F421" s="1013"/>
      <c r="G421" s="1013"/>
      <c r="H421" s="1013"/>
      <c r="I421" s="1751">
        <v>3.11</v>
      </c>
      <c r="J421" s="1751"/>
      <c r="K421" s="1751"/>
      <c r="L421" s="1013"/>
      <c r="M421" s="118"/>
      <c r="N421" s="1013"/>
      <c r="O421" s="1013"/>
      <c r="P421" s="1511">
        <f>(DU755+DU778+DU800)/I421</f>
        <v>76.20578778135048</v>
      </c>
      <c r="Q421" s="1511"/>
      <c r="R421" s="1511"/>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51">
        <v>4</v>
      </c>
      <c r="Q424" s="1351"/>
      <c r="S424" t="s">
        <v>188</v>
      </c>
      <c r="AE424" s="1351">
        <v>4</v>
      </c>
      <c r="AF424" s="1351"/>
    </row>
    <row r="425" spans="1:39" ht="12.95" customHeight="1">
      <c r="E425" t="s">
        <v>189</v>
      </c>
      <c r="P425" s="1351">
        <v>0</v>
      </c>
      <c r="Q425" s="1351"/>
      <c r="S425" t="s">
        <v>131</v>
      </c>
      <c r="AE425" s="1351" t="s">
        <v>545</v>
      </c>
      <c r="AF425" s="1351"/>
    </row>
    <row r="426" spans="1:39" ht="12.95" customHeight="1">
      <c r="F426" s="28" t="s">
        <v>132</v>
      </c>
    </row>
    <row r="427" spans="1:39" ht="12.95" customHeight="1">
      <c r="F427" s="1771" t="s">
        <v>2724</v>
      </c>
      <c r="G427" s="1771"/>
      <c r="H427" s="1771"/>
      <c r="I427" s="1771"/>
      <c r="J427" s="1771"/>
      <c r="K427" s="1771"/>
      <c r="L427" s="1771"/>
      <c r="M427" s="1771"/>
      <c r="N427" s="1771"/>
      <c r="O427" s="1771"/>
      <c r="P427" s="1771"/>
      <c r="Q427" s="1771"/>
      <c r="R427" s="1771"/>
      <c r="S427" s="1771"/>
      <c r="T427" s="1771"/>
      <c r="U427" s="1771"/>
      <c r="V427" s="1771"/>
      <c r="W427" s="1771"/>
      <c r="X427" s="1771"/>
      <c r="Y427" s="1771"/>
      <c r="Z427" s="1771"/>
      <c r="AA427" s="1771"/>
      <c r="AB427" s="1771"/>
      <c r="AC427" s="1771"/>
      <c r="AD427" s="1771"/>
      <c r="AE427" s="1771"/>
      <c r="AF427" s="1771"/>
      <c r="AG427" s="1771"/>
      <c r="AH427" s="1771"/>
    </row>
    <row r="428" spans="1:39" ht="12.95" customHeight="1">
      <c r="F428" s="1760"/>
      <c r="G428" s="1760"/>
      <c r="H428" s="1760"/>
      <c r="I428" s="1760"/>
      <c r="J428" s="1760"/>
      <c r="K428" s="1760"/>
      <c r="L428" s="1760"/>
      <c r="M428" s="1760"/>
      <c r="N428" s="1760"/>
      <c r="O428" s="1760"/>
      <c r="P428" s="1760"/>
      <c r="Q428" s="1760"/>
      <c r="R428" s="1760"/>
      <c r="S428" s="1760"/>
      <c r="T428" s="1760"/>
      <c r="U428" s="1760"/>
      <c r="V428" s="1760"/>
      <c r="W428" s="1760"/>
      <c r="X428" s="1760"/>
      <c r="Y428" s="1760"/>
      <c r="Z428" s="1760"/>
      <c r="AA428" s="1760"/>
      <c r="AB428" s="1760"/>
      <c r="AC428" s="1760"/>
      <c r="AD428" s="1760"/>
      <c r="AE428" s="1760"/>
      <c r="AF428" s="1760"/>
      <c r="AG428" s="1760"/>
      <c r="AH428" s="1760"/>
    </row>
    <row r="429" spans="1:39" ht="12.95" customHeight="1">
      <c r="E429" t="s">
        <v>608</v>
      </c>
      <c r="P429" s="1"/>
      <c r="Q429" s="1351" t="s">
        <v>545</v>
      </c>
      <c r="R429" s="1351"/>
    </row>
    <row r="430" spans="1:39" ht="12.95" customHeight="1">
      <c r="F430" t="s">
        <v>609</v>
      </c>
      <c r="P430" s="1"/>
      <c r="Q430" s="1"/>
      <c r="AF430" s="1351" t="s">
        <v>591</v>
      </c>
      <c r="AG430" s="1805"/>
    </row>
    <row r="431" spans="1:39" ht="12.95" customHeight="1"/>
    <row r="432" spans="1:39" ht="12.95" customHeight="1">
      <c r="A432" s="2"/>
      <c r="B432" s="2"/>
      <c r="C432" s="2"/>
      <c r="E432" s="4" t="s">
        <v>307</v>
      </c>
      <c r="Z432" s="1351" t="s">
        <v>669</v>
      </c>
      <c r="AA432" s="1351"/>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51" t="s">
        <v>591</v>
      </c>
      <c r="AA434" s="1351"/>
    </row>
    <row r="435" spans="1:55" ht="12.95" customHeight="1"/>
    <row r="436" spans="1:55" ht="12.95" customHeight="1">
      <c r="A436" s="2" t="s">
        <v>467</v>
      </c>
      <c r="B436" s="2"/>
      <c r="C436" s="2"/>
      <c r="D436" s="2" t="s">
        <v>764</v>
      </c>
      <c r="AF436" s="48"/>
    </row>
    <row r="437" spans="1:55" ht="12.95" customHeight="1">
      <c r="D437" s="1633" t="s">
        <v>43</v>
      </c>
      <c r="E437" s="1634"/>
      <c r="F437" s="1634"/>
      <c r="G437" s="1634"/>
      <c r="H437" s="1634"/>
      <c r="I437" s="1634"/>
      <c r="J437" s="1634"/>
      <c r="K437" s="1634"/>
      <c r="L437" s="1634"/>
      <c r="M437" s="1634"/>
      <c r="N437" s="1634"/>
      <c r="O437" s="1634"/>
      <c r="P437" s="1634"/>
      <c r="Q437" s="1634"/>
      <c r="R437" s="1634"/>
      <c r="S437" s="1634"/>
      <c r="T437" s="1634"/>
      <c r="U437" s="1634"/>
      <c r="V437" s="1634"/>
      <c r="W437" s="1634"/>
      <c r="X437" s="1634"/>
      <c r="Y437" s="1634"/>
      <c r="Z437" s="1634"/>
      <c r="AA437" s="1634"/>
      <c r="AB437" s="1634"/>
      <c r="AC437" s="1634"/>
      <c r="AD437" s="1634"/>
      <c r="AE437" s="1634"/>
      <c r="AF437" s="1737"/>
      <c r="AG437" s="1806">
        <v>125</v>
      </c>
      <c r="AH437" s="1806"/>
      <c r="AI437" s="1806"/>
      <c r="AJ437" s="1806"/>
    </row>
    <row r="438" spans="1:55" ht="12.95" customHeight="1">
      <c r="D438" s="1731" t="s">
        <v>1222</v>
      </c>
      <c r="E438" s="1732"/>
      <c r="F438" s="1732"/>
      <c r="G438" s="1732"/>
      <c r="H438" s="1732"/>
      <c r="I438" s="1732"/>
      <c r="J438" s="1732"/>
      <c r="K438" s="1732"/>
      <c r="L438" s="1732"/>
      <c r="M438" s="1732"/>
      <c r="N438" s="1732"/>
      <c r="O438" s="1732"/>
      <c r="P438" s="1732"/>
      <c r="Q438" s="1732"/>
      <c r="R438" s="1732"/>
      <c r="S438" s="1732"/>
      <c r="T438" s="1732"/>
      <c r="U438" s="1732"/>
      <c r="V438" s="1732"/>
      <c r="W438" s="1732"/>
      <c r="X438" s="1732"/>
      <c r="Y438" s="1732"/>
      <c r="Z438" s="1732"/>
      <c r="AA438" s="1732"/>
      <c r="AB438" s="1732"/>
      <c r="AC438" s="1732"/>
      <c r="AD438" s="1732"/>
      <c r="AE438" s="1732"/>
      <c r="AF438" s="1733"/>
      <c r="AG438" s="1822">
        <v>0</v>
      </c>
      <c r="AH438" s="1554"/>
      <c r="AI438" s="1554"/>
      <c r="AJ438" s="1554"/>
    </row>
    <row r="439" spans="1:55" ht="12.95" customHeight="1">
      <c r="D439" s="1731" t="s">
        <v>1031</v>
      </c>
      <c r="E439" s="1732"/>
      <c r="F439" s="1732"/>
      <c r="G439" s="1732"/>
      <c r="H439" s="1732"/>
      <c r="I439" s="1732"/>
      <c r="J439" s="1732"/>
      <c r="K439" s="1732"/>
      <c r="L439" s="1732"/>
      <c r="M439" s="1732"/>
      <c r="N439" s="1732"/>
      <c r="O439" s="1732"/>
      <c r="P439" s="1732"/>
      <c r="Q439" s="1732"/>
      <c r="R439" s="1732"/>
      <c r="S439" s="1732"/>
      <c r="T439" s="1732"/>
      <c r="U439" s="1732"/>
      <c r="V439" s="1732"/>
      <c r="W439" s="1732"/>
      <c r="X439" s="1732"/>
      <c r="Y439" s="1732"/>
      <c r="Z439" s="1732"/>
      <c r="AA439" s="1732"/>
      <c r="AB439" s="1732"/>
      <c r="AC439" s="1732"/>
      <c r="AD439" s="1732"/>
      <c r="AE439" s="1732"/>
      <c r="AF439" s="1733"/>
      <c r="AG439" s="1806">
        <v>124</v>
      </c>
      <c r="AH439" s="1806"/>
      <c r="AI439" s="1806"/>
      <c r="AJ439" s="1806"/>
    </row>
    <row r="440" spans="1:55" ht="12.95" customHeight="1">
      <c r="D440" s="1731" t="s">
        <v>1032</v>
      </c>
      <c r="E440" s="1732"/>
      <c r="F440" s="1732"/>
      <c r="G440" s="1732"/>
      <c r="H440" s="1732"/>
      <c r="I440" s="1732"/>
      <c r="J440" s="1732"/>
      <c r="K440" s="1732"/>
      <c r="L440" s="1732"/>
      <c r="M440" s="1732"/>
      <c r="N440" s="1732"/>
      <c r="O440" s="1732"/>
      <c r="P440" s="1732"/>
      <c r="Q440" s="1732"/>
      <c r="R440" s="1732"/>
      <c r="S440" s="1732"/>
      <c r="T440" s="1732"/>
      <c r="U440" s="1732"/>
      <c r="V440" s="1732"/>
      <c r="W440" s="1732"/>
      <c r="X440" s="1732"/>
      <c r="Y440" s="1732"/>
      <c r="Z440" s="1732"/>
      <c r="AA440" s="1732"/>
      <c r="AB440" s="1732"/>
      <c r="AC440" s="1732"/>
      <c r="AD440" s="1732"/>
      <c r="AE440" s="1732"/>
      <c r="AF440" s="1733"/>
      <c r="AG440" s="1806">
        <v>124</v>
      </c>
      <c r="AH440" s="1806"/>
      <c r="AI440" s="1806"/>
      <c r="AJ440" s="1806"/>
    </row>
    <row r="441" spans="1:55" ht="12.95" customHeight="1">
      <c r="D441" s="1731" t="s">
        <v>1034</v>
      </c>
      <c r="E441" s="1732"/>
      <c r="F441" s="1732"/>
      <c r="G441" s="1732"/>
      <c r="H441" s="1732"/>
      <c r="I441" s="1732"/>
      <c r="J441" s="1732"/>
      <c r="K441" s="1732"/>
      <c r="L441" s="1732"/>
      <c r="M441" s="1732"/>
      <c r="N441" s="1732"/>
      <c r="O441" s="1732"/>
      <c r="P441" s="1732"/>
      <c r="Q441" s="1732"/>
      <c r="R441" s="1732"/>
      <c r="S441" s="1732"/>
      <c r="T441" s="1732"/>
      <c r="U441" s="1732"/>
      <c r="V441" s="1732"/>
      <c r="W441" s="1732"/>
      <c r="X441" s="1732"/>
      <c r="Y441" s="1732"/>
      <c r="Z441" s="1732"/>
      <c r="AA441" s="1732"/>
      <c r="AB441" s="1732"/>
      <c r="AC441" s="1732"/>
      <c r="AD441" s="1732"/>
      <c r="AE441" s="1732"/>
      <c r="AF441" s="1733"/>
      <c r="AG441" s="1738">
        <f>IF(ISERROR(AG440/AG439),0,AG440/AG439)</f>
        <v>1</v>
      </c>
      <c r="AH441" s="1738"/>
      <c r="AI441" s="1738"/>
      <c r="AJ441" s="1738"/>
    </row>
    <row r="442" spans="1:55" ht="12.95" customHeight="1">
      <c r="D442" s="1731" t="s">
        <v>1033</v>
      </c>
      <c r="E442" s="1732"/>
      <c r="F442" s="1732"/>
      <c r="G442" s="1732"/>
      <c r="H442" s="1732"/>
      <c r="I442" s="1732"/>
      <c r="J442" s="1732"/>
      <c r="K442" s="1732"/>
      <c r="L442" s="1732"/>
      <c r="M442" s="1732"/>
      <c r="N442" s="1732"/>
      <c r="O442" s="1732"/>
      <c r="P442" s="1732"/>
      <c r="Q442" s="1732"/>
      <c r="R442" s="1732"/>
      <c r="S442" s="1732"/>
      <c r="T442" s="1732"/>
      <c r="U442" s="1732"/>
      <c r="V442" s="1732"/>
      <c r="W442" s="1732"/>
      <c r="X442" s="1732"/>
      <c r="Y442" s="1732"/>
      <c r="Z442" s="1732"/>
      <c r="AA442" s="1732"/>
      <c r="AB442" s="1732"/>
      <c r="AC442" s="1732"/>
      <c r="AD442" s="1732"/>
      <c r="AE442" s="1732"/>
      <c r="AF442" s="1733"/>
      <c r="AG442" s="1730">
        <v>107759</v>
      </c>
      <c r="AH442" s="1730"/>
      <c r="AI442" s="1730"/>
      <c r="AJ442" s="1730"/>
    </row>
    <row r="443" spans="1:55" ht="12.95" customHeight="1">
      <c r="D443" s="1731" t="s">
        <v>1035</v>
      </c>
      <c r="E443" s="1732"/>
      <c r="F443" s="1732"/>
      <c r="G443" s="1732"/>
      <c r="H443" s="1732"/>
      <c r="I443" s="1732"/>
      <c r="J443" s="1732"/>
      <c r="K443" s="1732"/>
      <c r="L443" s="1732"/>
      <c r="M443" s="1732"/>
      <c r="N443" s="1732"/>
      <c r="O443" s="1732"/>
      <c r="P443" s="1732"/>
      <c r="Q443" s="1732"/>
      <c r="R443" s="1732"/>
      <c r="S443" s="1732"/>
      <c r="T443" s="1732"/>
      <c r="U443" s="1732"/>
      <c r="V443" s="1732"/>
      <c r="W443" s="1732"/>
      <c r="X443" s="1732"/>
      <c r="Y443" s="1732"/>
      <c r="Z443" s="1732"/>
      <c r="AA443" s="1732"/>
      <c r="AB443" s="1732"/>
      <c r="AC443" s="1732"/>
      <c r="AD443" s="1732"/>
      <c r="AE443" s="1732"/>
      <c r="AF443" s="1733"/>
      <c r="AG443" s="1730">
        <v>107759</v>
      </c>
      <c r="AH443" s="1730"/>
      <c r="AI443" s="1730"/>
      <c r="AJ443" s="1730"/>
    </row>
    <row r="444" spans="1:55" ht="12.95" customHeight="1">
      <c r="D444" s="1731" t="s">
        <v>1036</v>
      </c>
      <c r="E444" s="1732"/>
      <c r="F444" s="1732"/>
      <c r="G444" s="1732"/>
      <c r="H444" s="1732"/>
      <c r="I444" s="1732"/>
      <c r="J444" s="1732"/>
      <c r="K444" s="1732"/>
      <c r="L444" s="1732"/>
      <c r="M444" s="1732"/>
      <c r="N444" s="1732"/>
      <c r="O444" s="1732"/>
      <c r="P444" s="1732"/>
      <c r="Q444" s="1732"/>
      <c r="R444" s="1732"/>
      <c r="S444" s="1732"/>
      <c r="T444" s="1732"/>
      <c r="U444" s="1732"/>
      <c r="V444" s="1732"/>
      <c r="W444" s="1732"/>
      <c r="X444" s="1732"/>
      <c r="Y444" s="1732"/>
      <c r="Z444" s="1732"/>
      <c r="AA444" s="1732"/>
      <c r="AB444" s="1732"/>
      <c r="AC444" s="1732"/>
      <c r="AD444" s="1732"/>
      <c r="AE444" s="1732"/>
      <c r="AF444" s="1733"/>
      <c r="AG444" s="1738">
        <f>IF(ISERROR(AG443/AG442),0,AG443/AG442)</f>
        <v>1</v>
      </c>
      <c r="AH444" s="1738"/>
      <c r="AI444" s="1738"/>
      <c r="AJ444" s="1738"/>
    </row>
    <row r="445" spans="1:55" ht="12.95" customHeight="1">
      <c r="D445" s="1731" t="s">
        <v>1037</v>
      </c>
      <c r="E445" s="1732"/>
      <c r="F445" s="1732"/>
      <c r="G445" s="1732"/>
      <c r="H445" s="1732"/>
      <c r="I445" s="1732"/>
      <c r="J445" s="1732"/>
      <c r="K445" s="1732"/>
      <c r="L445" s="1732"/>
      <c r="M445" s="1732"/>
      <c r="N445" s="1732"/>
      <c r="O445" s="1732"/>
      <c r="P445" s="1732"/>
      <c r="Q445" s="1732"/>
      <c r="R445" s="1732"/>
      <c r="S445" s="1732"/>
      <c r="T445" s="1732"/>
      <c r="U445" s="1732"/>
      <c r="V445" s="1732"/>
      <c r="W445" s="1732"/>
      <c r="X445" s="1732"/>
      <c r="Y445" s="1732"/>
      <c r="Z445" s="1732"/>
      <c r="AA445" s="1732"/>
      <c r="AB445" s="1732"/>
      <c r="AC445" s="1732"/>
      <c r="AD445" s="1732"/>
      <c r="AE445" s="1732"/>
      <c r="AF445" s="1733"/>
      <c r="AG445" s="1738">
        <f>MIN(IF(AG441&gt;AG444,AG444,AG441),1)</f>
        <v>1</v>
      </c>
      <c r="AH445" s="1738"/>
      <c r="AI445" s="1738"/>
      <c r="AJ445" s="1738"/>
    </row>
    <row r="446" spans="1:55" ht="12.95" customHeight="1">
      <c r="D446" s="1731" t="s">
        <v>2088</v>
      </c>
      <c r="E446" s="1634"/>
      <c r="F446" s="1634"/>
      <c r="G446" s="1634"/>
      <c r="H446" s="1634"/>
      <c r="I446" s="1634"/>
      <c r="J446" s="1634"/>
      <c r="K446" s="1634"/>
      <c r="L446" s="1634"/>
      <c r="M446" s="1634"/>
      <c r="N446" s="1634"/>
      <c r="O446" s="1634"/>
      <c r="P446" s="1634"/>
      <c r="Q446" s="1634"/>
      <c r="R446" s="1634"/>
      <c r="S446" s="1634"/>
      <c r="T446" s="1634"/>
      <c r="U446" s="1634"/>
      <c r="V446" s="1634"/>
      <c r="W446" s="1634"/>
      <c r="X446" s="1634"/>
      <c r="Y446" s="1634"/>
      <c r="Z446" s="1634"/>
      <c r="AA446" s="1634"/>
      <c r="AB446" s="1634"/>
      <c r="AC446" s="1634"/>
      <c r="AD446" s="1634"/>
      <c r="AE446" s="1634"/>
      <c r="AF446" s="1737"/>
      <c r="AG446" s="1730">
        <v>4521</v>
      </c>
      <c r="AH446" s="1730"/>
      <c r="AI446" s="1730"/>
      <c r="AJ446" s="1730"/>
      <c r="AZ446" s="34"/>
      <c r="BA446" s="34"/>
      <c r="BB446" s="34"/>
      <c r="BC446" s="34"/>
    </row>
    <row r="447" spans="1:55" ht="12.95" customHeight="1">
      <c r="D447" s="1633" t="s">
        <v>569</v>
      </c>
      <c r="E447" s="1634"/>
      <c r="F447" s="1634"/>
      <c r="G447" s="1634"/>
      <c r="H447" s="1634"/>
      <c r="I447" s="1634"/>
      <c r="J447" s="1634"/>
      <c r="K447" s="1634"/>
      <c r="L447" s="1634"/>
      <c r="M447" s="1634"/>
      <c r="N447" s="1634"/>
      <c r="O447" s="1634"/>
      <c r="P447" s="1634"/>
      <c r="Q447" s="1634"/>
      <c r="R447" s="1634"/>
      <c r="S447" s="1634"/>
      <c r="T447" s="1634"/>
      <c r="U447" s="1634"/>
      <c r="V447" s="1634"/>
      <c r="W447" s="1634"/>
      <c r="X447" s="1634"/>
      <c r="Y447" s="1634"/>
      <c r="Z447" s="1634"/>
      <c r="AA447" s="1634"/>
      <c r="AB447" s="1634"/>
      <c r="AC447" s="1634"/>
      <c r="AD447" s="1634"/>
      <c r="AE447" s="1634"/>
      <c r="AF447" s="1737"/>
      <c r="AG447" s="1730">
        <v>1040</v>
      </c>
      <c r="AH447" s="1730"/>
      <c r="AI447" s="1730"/>
      <c r="AJ447" s="1730"/>
      <c r="AZ447" s="3"/>
      <c r="BA447" s="3"/>
      <c r="BB447" s="3"/>
      <c r="BC447" s="3"/>
    </row>
    <row r="448" spans="1:55" ht="12.95" customHeight="1">
      <c r="D448" s="1731" t="s">
        <v>1205</v>
      </c>
      <c r="E448" s="1634"/>
      <c r="F448" s="1634"/>
      <c r="G448" s="1634"/>
      <c r="H448" s="1634"/>
      <c r="I448" s="1634"/>
      <c r="J448" s="1634"/>
      <c r="K448" s="1634"/>
      <c r="L448" s="1634"/>
      <c r="M448" s="1634"/>
      <c r="N448" s="1634"/>
      <c r="O448" s="1634"/>
      <c r="P448" s="1634"/>
      <c r="Q448" s="1634"/>
      <c r="R448" s="1634"/>
      <c r="S448" s="1634"/>
      <c r="T448" s="1634"/>
      <c r="U448" s="1634"/>
      <c r="V448" s="1634"/>
      <c r="W448" s="1634"/>
      <c r="X448" s="1634"/>
      <c r="Y448" s="1634"/>
      <c r="Z448" s="1634"/>
      <c r="AA448" s="1634"/>
      <c r="AB448" s="1634"/>
      <c r="AC448" s="1634"/>
      <c r="AD448" s="1634"/>
      <c r="AE448" s="1634"/>
      <c r="AF448" s="1737"/>
      <c r="AG448" s="1730">
        <v>5402</v>
      </c>
      <c r="AH448" s="1730"/>
      <c r="AI448" s="1730"/>
      <c r="AJ448" s="1730"/>
      <c r="AZ448" s="3"/>
      <c r="BA448" s="3"/>
      <c r="BB448" s="3"/>
      <c r="BC448" s="3"/>
    </row>
    <row r="449" spans="1:55" ht="12.95" customHeight="1">
      <c r="D449" s="1731" t="s">
        <v>1038</v>
      </c>
      <c r="E449" s="1634"/>
      <c r="F449" s="1634"/>
      <c r="G449" s="1634"/>
      <c r="H449" s="1634"/>
      <c r="I449" s="1634"/>
      <c r="J449" s="1634"/>
      <c r="K449" s="1634"/>
      <c r="L449" s="1634"/>
      <c r="M449" s="1634"/>
      <c r="N449" s="1634"/>
      <c r="O449" s="1634"/>
      <c r="P449" s="1634"/>
      <c r="Q449" s="1634"/>
      <c r="R449" s="1634"/>
      <c r="S449" s="1634"/>
      <c r="T449" s="1634"/>
      <c r="U449" s="1634"/>
      <c r="V449" s="1634"/>
      <c r="W449" s="1634"/>
      <c r="X449" s="1634"/>
      <c r="Y449" s="1634"/>
      <c r="Z449" s="1634"/>
      <c r="AA449" s="1634"/>
      <c r="AB449" s="1634"/>
      <c r="AC449" s="1634"/>
      <c r="AD449" s="1634"/>
      <c r="AE449" s="1634"/>
      <c r="AF449" s="1737"/>
      <c r="AG449" s="1730">
        <v>0</v>
      </c>
      <c r="AH449" s="1730"/>
      <c r="AI449" s="1730"/>
      <c r="AJ449" s="1730"/>
      <c r="BB449" s="3"/>
      <c r="BC449" s="3"/>
    </row>
    <row r="450" spans="1:55" ht="12.95" customHeight="1">
      <c r="D450" s="1766" t="s">
        <v>1039</v>
      </c>
      <c r="E450" s="1767"/>
      <c r="F450" s="1767"/>
      <c r="G450" s="1767"/>
      <c r="H450" s="1767"/>
      <c r="I450" s="1767"/>
      <c r="J450" s="1767"/>
      <c r="K450" s="1767"/>
      <c r="L450" s="1767"/>
      <c r="M450" s="1767"/>
      <c r="N450" s="1767"/>
      <c r="O450" s="1767"/>
      <c r="P450" s="1767"/>
      <c r="Q450" s="1767"/>
      <c r="R450" s="1767"/>
      <c r="S450" s="1767"/>
      <c r="T450" s="1767"/>
      <c r="U450" s="1767"/>
      <c r="V450" s="1767"/>
      <c r="W450" s="1767"/>
      <c r="X450" s="1767"/>
      <c r="Y450" s="1767"/>
      <c r="Z450" s="1767"/>
      <c r="AA450" s="1767"/>
      <c r="AB450" s="1767"/>
      <c r="AC450" s="1767"/>
      <c r="AD450" s="1767"/>
      <c r="AE450" s="1767"/>
      <c r="AF450" s="1768"/>
      <c r="AG450" s="1842">
        <f>AG442+AG446+AG448+AG449</f>
        <v>117682</v>
      </c>
      <c r="AH450" s="1842"/>
      <c r="AI450" s="1842"/>
      <c r="AJ450" s="1842"/>
      <c r="AZ450" s="3"/>
      <c r="BA450" s="3"/>
      <c r="BB450" s="3"/>
      <c r="BC450" s="3"/>
    </row>
    <row r="451" spans="1:55" ht="12.95" customHeight="1">
      <c r="D451" s="1818" t="s">
        <v>1206</v>
      </c>
      <c r="E451" s="1818"/>
      <c r="F451" s="1818"/>
      <c r="G451" s="1818"/>
      <c r="H451" s="1818"/>
      <c r="I451" s="1818"/>
      <c r="J451" s="1818"/>
      <c r="K451" s="1818"/>
      <c r="L451" s="1818"/>
      <c r="M451" s="1818"/>
      <c r="N451" s="1818"/>
      <c r="O451" s="1818"/>
      <c r="P451" s="1818"/>
      <c r="Q451" s="1818"/>
      <c r="R451" s="1818"/>
      <c r="S451" s="1818"/>
      <c r="T451" s="1818"/>
      <c r="U451" s="1818"/>
      <c r="V451" s="1818"/>
      <c r="W451" s="1818"/>
      <c r="X451" s="1818"/>
      <c r="Y451" s="1818"/>
      <c r="Z451" s="1818"/>
      <c r="AA451" s="1818"/>
      <c r="AB451" s="1818"/>
      <c r="AC451" s="1818"/>
      <c r="AD451" s="1818"/>
      <c r="AE451" s="1818"/>
      <c r="AF451" s="1818"/>
      <c r="AG451" s="1818"/>
      <c r="AH451" s="1818"/>
      <c r="AI451" s="1818"/>
      <c r="AJ451" s="1818"/>
      <c r="AZ451" s="3"/>
      <c r="BA451" s="3"/>
      <c r="BB451" s="3"/>
      <c r="BC451" s="3"/>
    </row>
    <row r="452" spans="1:55" ht="12.95" customHeight="1">
      <c r="D452" s="1819"/>
      <c r="E452" s="1819"/>
      <c r="F452" s="1819"/>
      <c r="G452" s="1819"/>
      <c r="H452" s="1819"/>
      <c r="I452" s="1819"/>
      <c r="J452" s="1819"/>
      <c r="K452" s="1819"/>
      <c r="L452" s="1819"/>
      <c r="M452" s="1819"/>
      <c r="N452" s="1819"/>
      <c r="O452" s="1819"/>
      <c r="P452" s="1819"/>
      <c r="Q452" s="1819"/>
      <c r="R452" s="1819"/>
      <c r="S452" s="1819"/>
      <c r="T452" s="1819"/>
      <c r="U452" s="1819"/>
      <c r="V452" s="1819"/>
      <c r="W452" s="1819"/>
      <c r="X452" s="1819"/>
      <c r="Y452" s="1819"/>
      <c r="Z452" s="1819"/>
      <c r="AA452" s="1819"/>
      <c r="AB452" s="1819"/>
      <c r="AC452" s="1819"/>
      <c r="AD452" s="1819"/>
      <c r="AE452" s="1819"/>
      <c r="AF452" s="1819"/>
      <c r="AG452" s="1819"/>
      <c r="AH452" s="1819"/>
      <c r="AI452" s="1819"/>
      <c r="AJ452" s="1819"/>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7">
        <f>IF(AG437=0,"",'Sources and Uses Budget'!B105/Application!AG437)</f>
        <v>591457.47199999995</v>
      </c>
      <c r="AD454" s="1817"/>
      <c r="AE454" s="1817"/>
      <c r="AF454" s="1817"/>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7">
        <f>IF(AG437=0,"",'Sources and Uses Budget'!C105/Application!AG437)</f>
        <v>590257.47199999995</v>
      </c>
      <c r="AD455" s="1817"/>
      <c r="AE455" s="1817"/>
      <c r="AF455" s="1817"/>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7">
        <f>IF(AG437=0,"",('Sources and Uses Budget'!$S$107+'Sources and Uses Budget'!$T$107)/Application!AG437)</f>
        <v>480808.49599999998</v>
      </c>
      <c r="AD456" s="1817"/>
      <c r="AE456" s="1817"/>
      <c r="AF456" s="1817"/>
      <c r="AG456" s="177"/>
      <c r="AH456" s="177"/>
      <c r="AI456" s="177"/>
      <c r="AJ456" s="183"/>
      <c r="AZ456" s="3"/>
      <c r="BA456" s="3"/>
      <c r="BB456" s="3"/>
      <c r="BC456" s="3"/>
    </row>
    <row r="457" spans="1:55" ht="12.95" customHeight="1">
      <c r="D457" s="177"/>
      <c r="E457" s="177"/>
      <c r="F457" s="1728" t="str">
        <f>IFERROR(IF(AC454&gt;650000,"Please provide a justification of cost per unit in Tab 12 for all projects with per unit costs of greater than $650,000.",""),"")</f>
        <v/>
      </c>
      <c r="G457" s="1728"/>
      <c r="H457" s="1728"/>
      <c r="I457" s="1728"/>
      <c r="J457" s="1728"/>
      <c r="K457" s="1728"/>
      <c r="L457" s="1728"/>
      <c r="M457" s="1728"/>
      <c r="N457" s="1728"/>
      <c r="O457" s="1728"/>
      <c r="P457" s="1728"/>
      <c r="Q457" s="1728"/>
      <c r="R457" s="1728"/>
      <c r="S457" s="1728"/>
      <c r="T457" s="1728"/>
      <c r="U457" s="1728"/>
      <c r="V457" s="1728"/>
      <c r="W457" s="1728"/>
      <c r="X457" s="1728"/>
      <c r="Y457" s="1728"/>
      <c r="Z457" s="1728"/>
      <c r="AA457" s="1728"/>
      <c r="AB457" s="1728"/>
      <c r="AC457" s="515"/>
      <c r="AD457" s="177"/>
      <c r="AE457" s="177"/>
      <c r="AF457" s="177"/>
      <c r="AG457" s="177"/>
      <c r="AH457" s="177"/>
      <c r="AI457" s="177"/>
      <c r="AJ457" s="183"/>
      <c r="AZ457" s="3"/>
      <c r="BA457" s="3"/>
      <c r="BB457" s="3"/>
      <c r="BC457" s="3"/>
    </row>
    <row r="458" spans="1:55" ht="12.95" customHeight="1">
      <c r="A458" s="2"/>
      <c r="D458" s="2"/>
      <c r="E458" s="177"/>
      <c r="F458" s="1728"/>
      <c r="G458" s="1728"/>
      <c r="H458" s="1728"/>
      <c r="I458" s="1728"/>
      <c r="J458" s="1728"/>
      <c r="K458" s="1728"/>
      <c r="L458" s="1728"/>
      <c r="M458" s="1728"/>
      <c r="N458" s="1728"/>
      <c r="O458" s="1728"/>
      <c r="P458" s="1728"/>
      <c r="Q458" s="1728"/>
      <c r="R458" s="1728"/>
      <c r="S458" s="1728"/>
      <c r="T458" s="1728"/>
      <c r="U458" s="1728"/>
      <c r="V458" s="1728"/>
      <c r="W458" s="1728"/>
      <c r="X458" s="1728"/>
      <c r="Y458" s="1728"/>
      <c r="Z458" s="1728"/>
      <c r="AA458" s="1728"/>
      <c r="AB458" s="1728"/>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837" t="s">
        <v>2100</v>
      </c>
      <c r="E465" s="1741"/>
      <c r="F465" s="1741"/>
      <c r="G465" s="1741"/>
      <c r="H465" s="1741"/>
      <c r="I465" s="1741"/>
      <c r="J465" s="1741"/>
      <c r="K465" s="1741"/>
      <c r="L465" s="1741"/>
      <c r="M465" s="1741"/>
      <c r="N465" s="1741"/>
      <c r="O465" s="1741"/>
      <c r="P465" s="1741"/>
      <c r="Q465" s="1741"/>
      <c r="R465" s="1741"/>
      <c r="S465" s="1741"/>
      <c r="T465" s="1741"/>
      <c r="U465" s="1741"/>
      <c r="V465" s="1742"/>
      <c r="W465" s="1503">
        <v>0</v>
      </c>
      <c r="X465" s="1504"/>
      <c r="Y465" s="1505"/>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40" t="s">
        <v>693</v>
      </c>
      <c r="E466" s="1741"/>
      <c r="F466" s="1741"/>
      <c r="G466" s="1741"/>
      <c r="H466" s="1741"/>
      <c r="I466" s="1741"/>
      <c r="J466" s="1741"/>
      <c r="K466" s="1741"/>
      <c r="L466" s="1741"/>
      <c r="M466" s="1741"/>
      <c r="N466" s="1741"/>
      <c r="O466" s="1741"/>
      <c r="P466" s="1741"/>
      <c r="Q466" s="1741"/>
      <c r="R466" s="1741"/>
      <c r="S466" s="1741"/>
      <c r="T466" s="1741"/>
      <c r="U466" s="1741"/>
      <c r="V466" s="1742"/>
      <c r="W466" s="1503">
        <v>0</v>
      </c>
      <c r="X466" s="1504"/>
      <c r="Y466" s="1505"/>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40" t="s">
        <v>694</v>
      </c>
      <c r="E467" s="1741"/>
      <c r="F467" s="1741"/>
      <c r="G467" s="1741"/>
      <c r="H467" s="1741"/>
      <c r="I467" s="1741"/>
      <c r="J467" s="1741"/>
      <c r="K467" s="1741"/>
      <c r="L467" s="1741"/>
      <c r="M467" s="1741"/>
      <c r="N467" s="1741"/>
      <c r="O467" s="1741"/>
      <c r="P467" s="1741"/>
      <c r="Q467" s="1741"/>
      <c r="R467" s="1741"/>
      <c r="S467" s="1741"/>
      <c r="T467" s="1741"/>
      <c r="U467" s="1741"/>
      <c r="V467" s="1742"/>
      <c r="W467" s="1503">
        <v>0</v>
      </c>
      <c r="X467" s="1504"/>
      <c r="Y467" s="1505"/>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40" t="s">
        <v>695</v>
      </c>
      <c r="E468" s="1741"/>
      <c r="F468" s="1741"/>
      <c r="G468" s="1741"/>
      <c r="H468" s="1741"/>
      <c r="I468" s="1741"/>
      <c r="J468" s="1741"/>
      <c r="K468" s="1741"/>
      <c r="L468" s="1741"/>
      <c r="M468" s="1741"/>
      <c r="N468" s="1741"/>
      <c r="O468" s="1741"/>
      <c r="P468" s="1741"/>
      <c r="Q468" s="1741"/>
      <c r="R468" s="1741"/>
      <c r="S468" s="1741"/>
      <c r="T468" s="1741"/>
      <c r="U468" s="1741"/>
      <c r="V468" s="1742"/>
      <c r="W468" s="1503">
        <v>0</v>
      </c>
      <c r="X468" s="1504"/>
      <c r="Y468" s="1505"/>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40" t="s">
        <v>881</v>
      </c>
      <c r="E469" s="1741"/>
      <c r="F469" s="1741"/>
      <c r="G469" s="1741"/>
      <c r="H469" s="1741"/>
      <c r="I469" s="1741"/>
      <c r="J469" s="1741"/>
      <c r="K469" s="1741"/>
      <c r="L469" s="1741"/>
      <c r="M469" s="1741"/>
      <c r="N469" s="1741"/>
      <c r="O469" s="1741"/>
      <c r="P469" s="1741"/>
      <c r="Q469" s="1741"/>
      <c r="R469" s="1741"/>
      <c r="S469" s="1741"/>
      <c r="T469" s="1741"/>
      <c r="U469" s="1741"/>
      <c r="V469" s="1742"/>
      <c r="W469" s="1503">
        <v>0</v>
      </c>
      <c r="X469" s="1504"/>
      <c r="Y469" s="1505"/>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740" t="s">
        <v>696</v>
      </c>
      <c r="E470" s="1741"/>
      <c r="F470" s="1741"/>
      <c r="G470" s="1741"/>
      <c r="H470" s="1741"/>
      <c r="I470" s="1741"/>
      <c r="J470" s="1741"/>
      <c r="K470" s="1741"/>
      <c r="L470" s="1741"/>
      <c r="M470" s="1741"/>
      <c r="N470" s="1741"/>
      <c r="O470" s="1741"/>
      <c r="P470" s="1741"/>
      <c r="Q470" s="1741"/>
      <c r="R470" s="1741"/>
      <c r="S470" s="1741"/>
      <c r="T470" s="1741"/>
      <c r="U470" s="1741"/>
      <c r="V470" s="1742"/>
      <c r="W470" s="1503">
        <v>0</v>
      </c>
      <c r="X470" s="1504"/>
      <c r="Y470" s="1505"/>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40" t="s">
        <v>1012</v>
      </c>
      <c r="E471" s="1741"/>
      <c r="F471" s="1741"/>
      <c r="G471" s="1741"/>
      <c r="H471" s="1741"/>
      <c r="I471" s="1741"/>
      <c r="J471" s="1741"/>
      <c r="K471" s="1741"/>
      <c r="L471" s="1741"/>
      <c r="M471" s="1741"/>
      <c r="N471" s="1741"/>
      <c r="O471" s="1741"/>
      <c r="P471" s="1741"/>
      <c r="Q471" s="1741"/>
      <c r="R471" s="1741"/>
      <c r="S471" s="1741"/>
      <c r="T471" s="1741"/>
      <c r="U471" s="1741"/>
      <c r="V471" s="1742"/>
      <c r="W471" s="1503">
        <v>0</v>
      </c>
      <c r="X471" s="1504"/>
      <c r="Y471" s="1505"/>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837" t="s">
        <v>2191</v>
      </c>
      <c r="E472" s="1850"/>
      <c r="F472" s="1850"/>
      <c r="G472" s="1850"/>
      <c r="H472" s="1850"/>
      <c r="I472" s="1850"/>
      <c r="J472" s="1850"/>
      <c r="K472" s="1850"/>
      <c r="L472" s="1850"/>
      <c r="M472" s="1850"/>
      <c r="N472" s="1850"/>
      <c r="O472" s="1850"/>
      <c r="P472" s="1850"/>
      <c r="Q472" s="1850"/>
      <c r="R472" s="1850"/>
      <c r="S472" s="1850"/>
      <c r="T472" s="1850"/>
      <c r="U472" s="1850"/>
      <c r="V472" s="1851"/>
      <c r="W472" s="1503">
        <v>0</v>
      </c>
      <c r="X472" s="1504"/>
      <c r="Y472" s="1505"/>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837" t="s">
        <v>1654</v>
      </c>
      <c r="E473" s="1741"/>
      <c r="F473" s="1741"/>
      <c r="G473" s="1741"/>
      <c r="H473" s="1741"/>
      <c r="I473" s="1741"/>
      <c r="J473" s="1741"/>
      <c r="K473" s="1741"/>
      <c r="L473" s="1741"/>
      <c r="M473" s="1741"/>
      <c r="N473" s="1741"/>
      <c r="O473" s="1741"/>
      <c r="P473" s="1741"/>
      <c r="Q473" s="1741"/>
      <c r="R473" s="1741"/>
      <c r="S473" s="1741"/>
      <c r="T473" s="1741"/>
      <c r="U473" s="1741"/>
      <c r="V473" s="1742"/>
      <c r="W473" s="1503">
        <v>19</v>
      </c>
      <c r="X473" s="1504"/>
      <c r="Y473" s="1505"/>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734"/>
      <c r="H474" s="1735"/>
      <c r="I474" s="1735"/>
      <c r="J474" s="1735"/>
      <c r="K474" s="1735"/>
      <c r="L474" s="1735"/>
      <c r="M474" s="1735"/>
      <c r="N474" s="1735"/>
      <c r="O474" s="1735"/>
      <c r="P474" s="1735"/>
      <c r="Q474" s="1735"/>
      <c r="R474" s="1735"/>
      <c r="S474" s="1735"/>
      <c r="T474" s="1735"/>
      <c r="U474" s="1735"/>
      <c r="V474" s="1736"/>
      <c r="W474" s="1503">
        <v>0</v>
      </c>
      <c r="X474" s="1504"/>
      <c r="Y474" s="1505"/>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98" t="s">
        <v>810</v>
      </c>
      <c r="B480" s="1498"/>
      <c r="C480" s="1498"/>
      <c r="D480" s="1498"/>
      <c r="E480" s="1498"/>
      <c r="F480" s="1498"/>
      <c r="G480" s="1498"/>
      <c r="H480" s="1498"/>
      <c r="I480" s="1498"/>
      <c r="J480" s="1498"/>
      <c r="K480" s="1498"/>
      <c r="L480" s="1498"/>
      <c r="M480" s="1498"/>
      <c r="N480" s="1498"/>
      <c r="O480" s="1498"/>
      <c r="P480" s="1498"/>
      <c r="Q480" s="1498"/>
      <c r="R480" s="1498"/>
      <c r="S480" s="1498"/>
      <c r="T480" s="1498"/>
      <c r="U480" s="1498"/>
      <c r="V480" s="1498"/>
      <c r="W480" s="1498"/>
      <c r="X480" s="1498"/>
      <c r="Y480" s="1498"/>
      <c r="Z480" s="1498"/>
      <c r="AA480" s="1498"/>
      <c r="AB480" s="1498"/>
      <c r="AC480" s="1498"/>
      <c r="AD480" s="1498"/>
      <c r="AE480" s="1498"/>
      <c r="AF480" s="1498"/>
      <c r="AG480" s="1498"/>
      <c r="AH480" s="1498"/>
      <c r="AI480" s="1498"/>
      <c r="AJ480" s="1498"/>
      <c r="AK480" s="1498"/>
      <c r="AL480" s="1498"/>
      <c r="AM480" s="1498"/>
      <c r="AN480" s="1498"/>
      <c r="AO480" s="1498"/>
      <c r="AP480" s="1498"/>
      <c r="AQ480" s="1498"/>
      <c r="AR480" s="1498"/>
      <c r="AS480" s="1498"/>
      <c r="AT480" s="1498"/>
      <c r="AU480" s="95"/>
      <c r="AV480" s="95"/>
      <c r="AW480" s="95"/>
      <c r="AX480" s="95"/>
      <c r="AY480" s="95"/>
      <c r="AZ480" s="3"/>
      <c r="BB480" s="3"/>
      <c r="BC480" s="3"/>
    </row>
    <row r="481" spans="1:55" ht="12.95" customHeight="1">
      <c r="A481" s="1498"/>
      <c r="B481" s="1498"/>
      <c r="C481" s="1498"/>
      <c r="D481" s="1498"/>
      <c r="E481" s="1498"/>
      <c r="F481" s="1498"/>
      <c r="G481" s="1498"/>
      <c r="H481" s="1498"/>
      <c r="I481" s="1498"/>
      <c r="J481" s="1498"/>
      <c r="K481" s="1498"/>
      <c r="L481" s="1498"/>
      <c r="M481" s="1498"/>
      <c r="N481" s="1498"/>
      <c r="O481" s="1498"/>
      <c r="P481" s="1498"/>
      <c r="Q481" s="1498"/>
      <c r="R481" s="1498"/>
      <c r="S481" s="1498"/>
      <c r="T481" s="1498"/>
      <c r="U481" s="1498"/>
      <c r="V481" s="1498"/>
      <c r="W481" s="1498"/>
      <c r="X481" s="1498"/>
      <c r="Y481" s="1498"/>
      <c r="Z481" s="1498"/>
      <c r="AA481" s="1498"/>
      <c r="AB481" s="1498"/>
      <c r="AC481" s="1498"/>
      <c r="AD481" s="1498"/>
      <c r="AE481" s="1498"/>
      <c r="AF481" s="1498"/>
      <c r="AG481" s="1498"/>
      <c r="AH481" s="1498"/>
      <c r="AI481" s="1498"/>
      <c r="AJ481" s="1498"/>
      <c r="AK481" s="1498"/>
      <c r="AL481" s="1498"/>
      <c r="AM481" s="1498"/>
      <c r="AN481" s="1498"/>
      <c r="AO481" s="1498"/>
      <c r="AP481" s="1498"/>
      <c r="AQ481" s="1498"/>
      <c r="AR481" s="1498"/>
      <c r="AS481" s="1498"/>
      <c r="AT481" s="1498"/>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43" t="s">
        <v>392</v>
      </c>
      <c r="R485" s="1744"/>
      <c r="S485" s="1744"/>
      <c r="T485" s="1744"/>
      <c r="U485" s="1744"/>
      <c r="V485" s="1744"/>
      <c r="W485" s="1744"/>
      <c r="X485" s="1744"/>
      <c r="Y485" s="1744"/>
      <c r="Z485" s="1744"/>
      <c r="AA485" s="1744"/>
      <c r="AB485" s="1744"/>
      <c r="AC485" s="1744"/>
      <c r="AD485" s="1744"/>
      <c r="AE485" s="1744"/>
      <c r="AF485" s="1744"/>
      <c r="AG485" s="1744"/>
      <c r="AH485" s="1744"/>
      <c r="AI485" s="1744"/>
      <c r="AJ485" s="1744"/>
      <c r="AK485" s="1765"/>
      <c r="AZ485" s="3"/>
      <c r="BB485" s="3"/>
      <c r="BC485" s="3"/>
    </row>
    <row r="486" spans="1:55" ht="12.95" customHeight="1">
      <c r="B486" s="45" t="s">
        <v>393</v>
      </c>
      <c r="C486" s="5"/>
      <c r="D486" s="5"/>
      <c r="E486" s="5"/>
      <c r="F486" s="5"/>
      <c r="G486" s="5"/>
      <c r="H486" s="5"/>
      <c r="I486" s="5"/>
      <c r="J486" s="5"/>
      <c r="K486" s="5"/>
      <c r="L486" s="5"/>
      <c r="M486" s="5"/>
      <c r="N486" s="5"/>
      <c r="O486" s="5"/>
      <c r="P486" s="5"/>
      <c r="Q486" s="1619" t="s">
        <v>2725</v>
      </c>
      <c r="R486" s="1480"/>
      <c r="S486" s="1480"/>
      <c r="T486" s="1480"/>
      <c r="U486" s="1480"/>
      <c r="V486" s="1480"/>
      <c r="W486" s="1480"/>
      <c r="X486" s="1480"/>
      <c r="Y486" s="1480"/>
      <c r="Z486" s="1480"/>
      <c r="AA486" s="1480"/>
      <c r="AB486" s="1480"/>
      <c r="AC486" s="1480"/>
      <c r="AD486" s="1480"/>
      <c r="AE486" s="1480"/>
      <c r="AF486" s="1480"/>
      <c r="AG486" s="1480"/>
      <c r="AH486" s="1480"/>
      <c r="AI486" s="1480"/>
      <c r="AJ486" s="1480"/>
      <c r="AK486" s="1620"/>
      <c r="AZ486" s="3"/>
      <c r="BB486" s="3"/>
      <c r="BC486" s="3"/>
    </row>
    <row r="487" spans="1:55" ht="12.95" customHeight="1">
      <c r="B487" s="45" t="s">
        <v>394</v>
      </c>
      <c r="C487" s="5"/>
      <c r="D487" s="5"/>
      <c r="E487" s="5"/>
      <c r="F487" s="5"/>
      <c r="G487" s="5"/>
      <c r="H487" s="5"/>
      <c r="I487" s="5"/>
      <c r="J487" s="5"/>
      <c r="K487" s="5"/>
      <c r="L487" s="5"/>
      <c r="M487" s="5"/>
      <c r="N487" s="5"/>
      <c r="O487" s="5"/>
      <c r="P487" s="5"/>
      <c r="Q487" s="1619" t="s">
        <v>2726</v>
      </c>
      <c r="R487" s="1480"/>
      <c r="S487" s="1480"/>
      <c r="T487" s="1480"/>
      <c r="U487" s="1480"/>
      <c r="V487" s="1480"/>
      <c r="W487" s="1480"/>
      <c r="X487" s="1480"/>
      <c r="Y487" s="1480"/>
      <c r="Z487" s="1480"/>
      <c r="AA487" s="1480"/>
      <c r="AB487" s="1480"/>
      <c r="AC487" s="1480"/>
      <c r="AD487" s="1480"/>
      <c r="AE487" s="1480"/>
      <c r="AF487" s="1480"/>
      <c r="AG487" s="1480"/>
      <c r="AH487" s="1480"/>
      <c r="AI487" s="1480"/>
      <c r="AJ487" s="1480"/>
      <c r="AK487" s="1620"/>
      <c r="AZ487" s="3"/>
      <c r="BB487" s="3"/>
      <c r="BC487" s="3"/>
    </row>
    <row r="488" spans="1:55" ht="12.95" customHeight="1">
      <c r="B488" s="45" t="s">
        <v>395</v>
      </c>
      <c r="C488" s="5"/>
      <c r="D488" s="5"/>
      <c r="E488" s="5"/>
      <c r="F488" s="5"/>
      <c r="G488" s="5"/>
      <c r="H488" s="5"/>
      <c r="I488" s="5"/>
      <c r="J488" s="5"/>
      <c r="K488" s="5"/>
      <c r="L488" s="5"/>
      <c r="M488" s="5"/>
      <c r="N488" s="5"/>
      <c r="O488" s="5"/>
      <c r="P488" s="5"/>
      <c r="Q488" s="1619" t="s">
        <v>2727</v>
      </c>
      <c r="R488" s="1480"/>
      <c r="S488" s="1480"/>
      <c r="T488" s="1480"/>
      <c r="U488" s="1480"/>
      <c r="V488" s="1480"/>
      <c r="W488" s="1480"/>
      <c r="X488" s="1480"/>
      <c r="Y488" s="1480"/>
      <c r="Z488" s="1480"/>
      <c r="AA488" s="1480"/>
      <c r="AB488" s="1480"/>
      <c r="AC488" s="1480"/>
      <c r="AD488" s="1480"/>
      <c r="AE488" s="1480"/>
      <c r="AF488" s="1480"/>
      <c r="AG488" s="1480"/>
      <c r="AH488" s="1480"/>
      <c r="AI488" s="1480"/>
      <c r="AJ488" s="1480"/>
      <c r="AK488" s="1620"/>
      <c r="AZ488" s="3"/>
      <c r="BA488" s="3"/>
      <c r="BB488" s="3"/>
      <c r="BC488" s="3"/>
    </row>
    <row r="489" spans="1:55" ht="12.95" customHeight="1">
      <c r="B489" s="1844" t="s">
        <v>396</v>
      </c>
      <c r="C489" s="1845"/>
      <c r="D489" s="1845"/>
      <c r="E489" s="1845"/>
      <c r="F489" s="1845"/>
      <c r="G489" s="1845"/>
      <c r="H489" s="1845"/>
      <c r="I489" s="1845"/>
      <c r="J489" s="1845"/>
      <c r="K489" s="1845"/>
      <c r="L489" s="1845"/>
      <c r="M489" s="1845"/>
      <c r="N489" s="1845"/>
      <c r="O489" s="1845"/>
      <c r="P489" s="1846"/>
      <c r="Q489" s="1745" t="s">
        <v>545</v>
      </c>
      <c r="R489" s="1746"/>
      <c r="S489" s="1756" t="s">
        <v>2728</v>
      </c>
      <c r="T489" s="1757"/>
      <c r="U489" s="1757"/>
      <c r="V489" s="1757"/>
      <c r="W489" s="1757"/>
      <c r="X489" s="1757"/>
      <c r="Y489" s="1757"/>
      <c r="Z489" s="1757"/>
      <c r="AA489" s="1757"/>
      <c r="AB489" s="1757"/>
      <c r="AC489" s="1757"/>
      <c r="AD489" s="1757"/>
      <c r="AE489" s="1757"/>
      <c r="AF489" s="1757"/>
      <c r="AG489" s="1757"/>
      <c r="AH489" s="1757"/>
      <c r="AI489" s="1757"/>
      <c r="AJ489" s="1757"/>
      <c r="AK489" s="1758"/>
      <c r="AZ489" s="3"/>
      <c r="BA489" s="3"/>
      <c r="BB489" s="3"/>
      <c r="BC489" s="3"/>
    </row>
    <row r="490" spans="1:55" ht="12.95" customHeight="1">
      <c r="B490" s="1847"/>
      <c r="C490" s="1848"/>
      <c r="D490" s="1848"/>
      <c r="E490" s="1848"/>
      <c r="F490" s="1848"/>
      <c r="G490" s="1848"/>
      <c r="H490" s="1848"/>
      <c r="I490" s="1848"/>
      <c r="J490" s="1848"/>
      <c r="K490" s="1848"/>
      <c r="L490" s="1848"/>
      <c r="M490" s="1848"/>
      <c r="N490" s="1848"/>
      <c r="O490" s="1848"/>
      <c r="P490" s="1849"/>
      <c r="Q490" s="1747"/>
      <c r="R490" s="1748"/>
      <c r="S490" s="1759"/>
      <c r="T490" s="1760"/>
      <c r="U490" s="1760"/>
      <c r="V490" s="1760"/>
      <c r="W490" s="1760"/>
      <c r="X490" s="1760"/>
      <c r="Y490" s="1760"/>
      <c r="Z490" s="1760"/>
      <c r="AA490" s="1760"/>
      <c r="AB490" s="1760"/>
      <c r="AC490" s="1760"/>
      <c r="AD490" s="1760"/>
      <c r="AE490" s="1760"/>
      <c r="AF490" s="1760"/>
      <c r="AG490" s="1760"/>
      <c r="AH490" s="1760"/>
      <c r="AI490" s="1760"/>
      <c r="AJ490" s="1760"/>
      <c r="AK490" s="1761"/>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34" t="s">
        <v>2729</v>
      </c>
      <c r="R491" s="1835"/>
      <c r="S491" s="1835"/>
      <c r="T491" s="1835"/>
      <c r="U491" s="1835"/>
      <c r="V491" s="1835"/>
      <c r="W491" s="1835"/>
      <c r="X491" s="1835"/>
      <c r="Y491" s="1835"/>
      <c r="Z491" s="1835"/>
      <c r="AA491" s="1835"/>
      <c r="AB491" s="1835"/>
      <c r="AC491" s="1835"/>
      <c r="AD491" s="1835"/>
      <c r="AE491" s="1835"/>
      <c r="AF491" s="1835"/>
      <c r="AG491" s="1835"/>
      <c r="AH491" s="1835"/>
      <c r="AI491" s="1835"/>
      <c r="AJ491" s="1835"/>
      <c r="AK491" s="1836"/>
      <c r="AZ491" s="3"/>
      <c r="BA491" s="3"/>
      <c r="BB491" s="3"/>
      <c r="BC491" s="3"/>
    </row>
    <row r="492" spans="1:55" ht="12.95" customHeight="1">
      <c r="B492" s="45" t="s">
        <v>397</v>
      </c>
      <c r="C492" s="5"/>
      <c r="D492" s="5"/>
      <c r="E492" s="5"/>
      <c r="F492" s="5"/>
      <c r="G492" s="5"/>
      <c r="H492" s="5"/>
      <c r="I492" s="5"/>
      <c r="J492" s="5"/>
      <c r="K492" s="5"/>
      <c r="L492" s="5"/>
      <c r="M492" s="5"/>
      <c r="N492" s="5"/>
      <c r="O492" s="5"/>
      <c r="P492" s="5"/>
      <c r="Q492" s="1619" t="s">
        <v>2730</v>
      </c>
      <c r="R492" s="1480"/>
      <c r="S492" s="1480"/>
      <c r="T492" s="1480"/>
      <c r="U492" s="1480"/>
      <c r="V492" s="1480"/>
      <c r="W492" s="1480"/>
      <c r="X492" s="1480"/>
      <c r="Y492" s="1480"/>
      <c r="Z492" s="1480"/>
      <c r="AA492" s="1480"/>
      <c r="AB492" s="1480"/>
      <c r="AC492" s="1480"/>
      <c r="AD492" s="1480"/>
      <c r="AE492" s="1480"/>
      <c r="AF492" s="1480"/>
      <c r="AG492" s="1480"/>
      <c r="AH492" s="1480"/>
      <c r="AI492" s="1480"/>
      <c r="AJ492" s="1480"/>
      <c r="AK492" s="1620"/>
      <c r="AZ492" s="3"/>
      <c r="BA492" s="3"/>
      <c r="BB492" s="3"/>
      <c r="BC492" s="3"/>
    </row>
    <row r="493" spans="1:55" ht="12.95" customHeight="1">
      <c r="B493" s="45" t="s">
        <v>398</v>
      </c>
      <c r="C493" s="5"/>
      <c r="D493" s="5"/>
      <c r="E493" s="5"/>
      <c r="F493" s="5"/>
      <c r="G493" s="5"/>
      <c r="H493" s="5"/>
      <c r="I493" s="5"/>
      <c r="J493" s="5"/>
      <c r="K493" s="5"/>
      <c r="L493" s="5"/>
      <c r="M493" s="5"/>
      <c r="N493" s="5"/>
      <c r="O493" s="5"/>
      <c r="P493" s="5"/>
      <c r="Q493" s="1619">
        <v>124</v>
      </c>
      <c r="R493" s="1480"/>
      <c r="S493" s="1480"/>
      <c r="T493" s="1480"/>
      <c r="U493" s="1480"/>
      <c r="V493" s="1480"/>
      <c r="W493" s="1480"/>
      <c r="X493" s="1480"/>
      <c r="Y493" s="1480"/>
      <c r="Z493" s="1480"/>
      <c r="AA493" s="1480"/>
      <c r="AB493" s="1480"/>
      <c r="AC493" s="1480"/>
      <c r="AD493" s="1480"/>
      <c r="AE493" s="1480"/>
      <c r="AF493" s="1480"/>
      <c r="AG493" s="1480"/>
      <c r="AH493" s="1480"/>
      <c r="AI493" s="1480"/>
      <c r="AJ493" s="1480"/>
      <c r="AK493" s="1620"/>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619">
        <v>124</v>
      </c>
      <c r="R494" s="1480"/>
      <c r="S494" s="1480"/>
      <c r="T494" s="1480"/>
      <c r="U494" s="1480"/>
      <c r="V494" s="1480"/>
      <c r="W494" s="1480"/>
      <c r="X494" s="1480"/>
      <c r="Y494" s="1480"/>
      <c r="Z494" s="1480"/>
      <c r="AA494" s="1480"/>
      <c r="AB494" s="1480"/>
      <c r="AC494" s="1480"/>
      <c r="AD494" s="1480"/>
      <c r="AE494" s="1480"/>
      <c r="AF494" s="1480"/>
      <c r="AG494" s="1480"/>
      <c r="AH494" s="1480"/>
      <c r="AI494" s="1480"/>
      <c r="AJ494" s="1480"/>
      <c r="AK494" s="1620"/>
      <c r="AZ494" s="3"/>
      <c r="BA494" s="3"/>
      <c r="BB494" s="3"/>
      <c r="BC494" s="3"/>
    </row>
    <row r="495" spans="1:55" ht="12.95" customHeight="1">
      <c r="B495" s="121" t="s">
        <v>1669</v>
      </c>
      <c r="C495" s="5"/>
      <c r="D495" s="5"/>
      <c r="E495" s="5"/>
      <c r="F495" s="5"/>
      <c r="G495" s="5"/>
      <c r="H495" s="5"/>
      <c r="I495" s="5"/>
      <c r="J495" s="5"/>
      <c r="K495" s="5"/>
      <c r="L495" s="5"/>
      <c r="M495" s="1486">
        <v>0</v>
      </c>
      <c r="N495" s="1487"/>
      <c r="O495" s="1487"/>
      <c r="P495" s="1488"/>
      <c r="Q495" s="121" t="s">
        <v>1670</v>
      </c>
      <c r="R495" s="5"/>
      <c r="S495" s="5"/>
      <c r="T495" s="5"/>
      <c r="U495" s="5"/>
      <c r="V495" s="5"/>
      <c r="W495" s="5"/>
      <c r="X495" s="5"/>
      <c r="Y495" s="5"/>
      <c r="Z495" s="5"/>
      <c r="AA495" s="5"/>
      <c r="AB495" s="5"/>
      <c r="AC495" s="5"/>
      <c r="AD495" s="5"/>
      <c r="AE495" s="5"/>
      <c r="AF495" s="5"/>
      <c r="AG495" s="5"/>
      <c r="AH495" s="1486">
        <v>124</v>
      </c>
      <c r="AI495" s="1487"/>
      <c r="AJ495" s="1487"/>
      <c r="AK495" s="148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43" t="s">
        <v>400</v>
      </c>
      <c r="AD499" s="1744"/>
      <c r="AE499" s="1744"/>
      <c r="AF499" s="1744"/>
      <c r="AG499" s="1744"/>
      <c r="AH499" s="1744"/>
      <c r="AI499" s="1744"/>
      <c r="AJ499" s="1744"/>
      <c r="AK499" s="1765"/>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43" t="s">
        <v>401</v>
      </c>
      <c r="AD500" s="1744"/>
      <c r="AE500" s="1744"/>
      <c r="AF500" s="1744"/>
      <c r="AG500" s="50" t="s">
        <v>402</v>
      </c>
      <c r="AH500" s="1744" t="s">
        <v>403</v>
      </c>
      <c r="AI500" s="1744"/>
      <c r="AJ500" s="1744"/>
      <c r="AK500" s="1765"/>
      <c r="AZ500" s="3"/>
      <c r="BA500" s="3"/>
      <c r="BB500" s="3"/>
      <c r="BC500" s="3"/>
      <c r="BD500" s="3"/>
      <c r="BE500" s="3"/>
      <c r="BF500" s="3"/>
      <c r="BG500" s="3"/>
      <c r="BH500" s="3"/>
      <c r="BI500" s="3"/>
      <c r="BJ500" s="3"/>
      <c r="BK500" s="3"/>
      <c r="BL500" s="3"/>
      <c r="BM500" s="3"/>
      <c r="BN500" s="3"/>
    </row>
    <row r="501" spans="1:66" ht="12.95" customHeight="1">
      <c r="B501" s="1492" t="s">
        <v>404</v>
      </c>
      <c r="C501" s="1434"/>
      <c r="D501" s="1434"/>
      <c r="E501" s="1434"/>
      <c r="F501" s="1434"/>
      <c r="G501" s="1434"/>
      <c r="H501" s="1435"/>
      <c r="I501" s="42" t="s">
        <v>405</v>
      </c>
      <c r="J501" s="42"/>
      <c r="K501" s="42"/>
      <c r="L501" s="42"/>
      <c r="M501" s="42"/>
      <c r="N501" s="42"/>
      <c r="O501" s="42"/>
      <c r="P501" s="42"/>
      <c r="Q501" s="42"/>
      <c r="R501" s="42"/>
      <c r="S501" s="42"/>
      <c r="T501" s="42"/>
      <c r="U501" s="42"/>
      <c r="V501" s="42"/>
      <c r="W501" s="42"/>
      <c r="AC501" s="1739" t="s">
        <v>591</v>
      </c>
      <c r="AD501" s="1727"/>
      <c r="AE501" s="1727"/>
      <c r="AF501" s="1727"/>
      <c r="AG501" s="13" t="s">
        <v>402</v>
      </c>
      <c r="AH501" s="1427">
        <v>0</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493"/>
      <c r="C502" s="1436"/>
      <c r="D502" s="1436"/>
      <c r="E502" s="1436"/>
      <c r="F502" s="1436"/>
      <c r="G502" s="1436"/>
      <c r="H502" s="1437"/>
      <c r="I502" s="48" t="s">
        <v>406</v>
      </c>
      <c r="J502" s="48"/>
      <c r="K502" s="48"/>
      <c r="L502" s="48"/>
      <c r="M502" s="48"/>
      <c r="N502" s="48"/>
      <c r="O502" s="48"/>
      <c r="P502" s="48"/>
      <c r="Q502" s="48"/>
      <c r="R502" s="48"/>
      <c r="S502" s="48"/>
      <c r="T502" s="48"/>
      <c r="U502" s="48"/>
      <c r="V502" s="48"/>
      <c r="W502" s="48"/>
      <c r="X502" s="48"/>
      <c r="Y502" s="48"/>
      <c r="Z502" s="48"/>
      <c r="AA502" s="48"/>
      <c r="AB502" s="48"/>
      <c r="AC502" s="1739">
        <v>1</v>
      </c>
      <c r="AD502" s="1727"/>
      <c r="AE502" s="1727"/>
      <c r="AF502" s="1727"/>
      <c r="AG502" s="38" t="s">
        <v>402</v>
      </c>
      <c r="AH502" s="1427">
        <v>2026</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492" t="s">
        <v>407</v>
      </c>
      <c r="C503" s="1434"/>
      <c r="D503" s="1434"/>
      <c r="E503" s="1434"/>
      <c r="F503" s="1434"/>
      <c r="G503" s="1434"/>
      <c r="H503" s="1435"/>
      <c r="I503" s="42" t="s">
        <v>408</v>
      </c>
      <c r="J503" s="42"/>
      <c r="K503" s="42"/>
      <c r="L503" s="42"/>
      <c r="M503" s="42"/>
      <c r="N503" s="42"/>
      <c r="O503" s="42"/>
      <c r="P503" s="42"/>
      <c r="Q503" s="42"/>
      <c r="R503" s="42"/>
      <c r="S503" s="42"/>
      <c r="T503" s="42"/>
      <c r="U503" s="42"/>
      <c r="V503" s="42"/>
      <c r="W503" s="42"/>
      <c r="AC503" s="1739" t="s">
        <v>591</v>
      </c>
      <c r="AD503" s="1727"/>
      <c r="AE503" s="1727"/>
      <c r="AF503" s="1727"/>
      <c r="AG503" s="13" t="s">
        <v>402</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493"/>
      <c r="C504" s="1436"/>
      <c r="D504" s="1436"/>
      <c r="E504" s="1436"/>
      <c r="F504" s="1436"/>
      <c r="G504" s="1436"/>
      <c r="H504" s="1437"/>
      <c r="I504" t="s">
        <v>409</v>
      </c>
      <c r="AC504" s="1739" t="s">
        <v>591</v>
      </c>
      <c r="AD504" s="1727"/>
      <c r="AE504" s="1727"/>
      <c r="AF504" s="1727"/>
      <c r="AG504" s="13" t="s">
        <v>402</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493"/>
      <c r="C505" s="1436"/>
      <c r="D505" s="1436"/>
      <c r="E505" s="1436"/>
      <c r="F505" s="1436"/>
      <c r="G505" s="1436"/>
      <c r="H505" s="1437"/>
      <c r="I505" t="s">
        <v>410</v>
      </c>
      <c r="AC505" s="1739" t="s">
        <v>591</v>
      </c>
      <c r="AD505" s="1727"/>
      <c r="AE505" s="1727"/>
      <c r="AF505" s="1727"/>
      <c r="AG505" s="13" t="s">
        <v>402</v>
      </c>
      <c r="AH505" s="1427"/>
      <c r="AI505" s="1427"/>
      <c r="AJ505" s="1427"/>
      <c r="AK505" s="1428"/>
      <c r="AZ505" s="3"/>
      <c r="BA505" s="3"/>
      <c r="BB505" s="3"/>
      <c r="BC505" s="3"/>
      <c r="BD505" s="3"/>
      <c r="BE505" s="3"/>
      <c r="BF505" s="3"/>
      <c r="BG505" s="3"/>
      <c r="BH505" s="3"/>
      <c r="BI505" s="3"/>
      <c r="BJ505" s="3"/>
      <c r="BK505" s="3"/>
      <c r="BL505" s="3"/>
      <c r="BM505" s="3"/>
      <c r="BN505" s="3"/>
    </row>
    <row r="506" spans="1:66" ht="12.95" customHeight="1">
      <c r="B506" s="1493"/>
      <c r="C506" s="1436"/>
      <c r="D506" s="1436"/>
      <c r="E506" s="1436"/>
      <c r="F506" s="1436"/>
      <c r="G506" s="1436"/>
      <c r="H506" s="1437"/>
      <c r="I506" t="s">
        <v>411</v>
      </c>
      <c r="AC506" s="1739">
        <v>11</v>
      </c>
      <c r="AD506" s="1727"/>
      <c r="AE506" s="1727"/>
      <c r="AF506" s="1727"/>
      <c r="AG506" s="13" t="s">
        <v>402</v>
      </c>
      <c r="AH506" s="1427">
        <v>2025</v>
      </c>
      <c r="AI506" s="1427"/>
      <c r="AJ506" s="1427"/>
      <c r="AK506" s="1428"/>
      <c r="AZ506" s="3"/>
      <c r="BA506" s="3"/>
      <c r="BB506" s="3"/>
      <c r="BC506" s="3"/>
      <c r="BD506" s="3"/>
      <c r="BE506" s="3"/>
      <c r="BF506" s="3"/>
      <c r="BG506" s="3"/>
      <c r="BH506" s="3"/>
      <c r="BI506" s="3"/>
      <c r="BJ506" s="3"/>
      <c r="BK506" s="3"/>
      <c r="BL506" s="3"/>
      <c r="BM506" s="3"/>
      <c r="BN506" s="3"/>
    </row>
    <row r="507" spans="1:66" ht="12.95" customHeight="1">
      <c r="B507" s="1493"/>
      <c r="C507" s="1436"/>
      <c r="D507" s="1436"/>
      <c r="E507" s="1436"/>
      <c r="F507" s="1436"/>
      <c r="G507" s="1436"/>
      <c r="H507" s="1437"/>
      <c r="I507" s="3" t="s">
        <v>412</v>
      </c>
      <c r="AC507" s="1364">
        <v>11</v>
      </c>
      <c r="AD507" s="1365"/>
      <c r="AE507" s="1365"/>
      <c r="AF507" s="1365"/>
      <c r="AG507" s="13" t="s">
        <v>402</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493"/>
      <c r="C508" s="1436"/>
      <c r="D508" s="1436"/>
      <c r="E508" s="1436"/>
      <c r="F508" s="1436"/>
      <c r="G508" s="1436"/>
      <c r="H508" s="1437"/>
      <c r="I508" s="896" t="s">
        <v>169</v>
      </c>
      <c r="J508" s="48"/>
      <c r="K508" s="48"/>
      <c r="L508" s="1749" t="s">
        <v>2731</v>
      </c>
      <c r="M508" s="1750"/>
      <c r="N508" s="1750"/>
      <c r="O508" s="1750"/>
      <c r="P508" s="1750"/>
      <c r="Q508" s="1750"/>
      <c r="R508" s="1750"/>
      <c r="S508" s="1750"/>
      <c r="T508" s="1750"/>
      <c r="U508" s="1750"/>
      <c r="V508" s="1750"/>
      <c r="W508" s="1750"/>
      <c r="X508" s="1750"/>
      <c r="Y508" s="1750"/>
      <c r="Z508" s="1750"/>
      <c r="AA508" s="1750"/>
      <c r="AB508" s="1852"/>
      <c r="AC508" s="1739">
        <v>12</v>
      </c>
      <c r="AD508" s="1727"/>
      <c r="AE508" s="1727"/>
      <c r="AF508" s="1727"/>
      <c r="AG508" s="38" t="s">
        <v>402</v>
      </c>
      <c r="AH508" s="1427">
        <v>2024</v>
      </c>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06" t="s">
        <v>669</v>
      </c>
      <c r="AD509" s="1806"/>
      <c r="AE509" s="1806"/>
      <c r="AF509" s="1806"/>
      <c r="AG509" s="13"/>
      <c r="AH509" s="1334"/>
      <c r="AI509" s="1334"/>
      <c r="AJ509" s="1334"/>
      <c r="AK509" s="1468"/>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64"/>
      <c r="AD510" s="1365"/>
      <c r="AE510" s="1365"/>
      <c r="AF510" s="1366"/>
      <c r="AG510" s="13"/>
      <c r="AH510" s="1334"/>
      <c r="AI510" s="1334"/>
      <c r="AJ510" s="1334"/>
      <c r="AK510" s="1468"/>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9">
        <v>0.7</v>
      </c>
      <c r="AD512" s="1840"/>
      <c r="AE512" s="1840"/>
      <c r="AF512" s="1841"/>
      <c r="AG512" s="38"/>
      <c r="AH512" s="1820"/>
      <c r="AI512" s="1820"/>
      <c r="AJ512" s="1820"/>
      <c r="AK512" s="1821"/>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838" t="s">
        <v>401</v>
      </c>
      <c r="AD513" s="1646"/>
      <c r="AE513" s="1646"/>
      <c r="AF513" s="1646"/>
      <c r="AG513" s="38" t="s">
        <v>402</v>
      </c>
      <c r="AH513" s="1646" t="s">
        <v>403</v>
      </c>
      <c r="AI513" s="1646"/>
      <c r="AJ513" s="1646"/>
      <c r="AK513" s="1843"/>
      <c r="AZ513" s="3"/>
      <c r="BA513" s="3"/>
      <c r="BB513" s="3"/>
      <c r="BC513" s="3"/>
      <c r="BD513" s="3"/>
      <c r="BE513" s="3"/>
      <c r="BF513" s="3"/>
      <c r="BG513" s="3"/>
      <c r="BH513" s="3"/>
      <c r="BI513" s="3"/>
      <c r="BJ513" s="3"/>
      <c r="BK513" s="3"/>
      <c r="BL513" s="3"/>
      <c r="BM513" s="3"/>
      <c r="BN513" s="3" t="s">
        <v>2105</v>
      </c>
    </row>
    <row r="514" spans="2:66" ht="12.95" customHeight="1">
      <c r="B514" s="1492" t="s">
        <v>413</v>
      </c>
      <c r="C514" s="1434"/>
      <c r="D514" s="1434"/>
      <c r="E514" s="1434"/>
      <c r="F514" s="1434"/>
      <c r="G514" s="1434"/>
      <c r="H514" s="1435"/>
      <c r="I514" s="42" t="s">
        <v>414</v>
      </c>
      <c r="J514" s="42"/>
      <c r="K514" s="42"/>
      <c r="L514" s="42"/>
      <c r="M514" s="42"/>
      <c r="N514" s="42"/>
      <c r="O514" s="42"/>
      <c r="P514" s="42"/>
      <c r="Q514" s="42"/>
      <c r="R514" s="42"/>
      <c r="S514" s="42"/>
      <c r="T514" s="42"/>
      <c r="U514" s="42"/>
      <c r="V514" s="42"/>
      <c r="W514" s="42"/>
      <c r="AC514" s="1739">
        <v>2</v>
      </c>
      <c r="AD514" s="1727"/>
      <c r="AE514" s="1727"/>
      <c r="AF514" s="1727"/>
      <c r="AG514" s="13" t="s">
        <v>402</v>
      </c>
      <c r="AH514" s="1427">
        <v>2025</v>
      </c>
      <c r="AI514" s="1427"/>
      <c r="AJ514" s="1427"/>
      <c r="AK514" s="1428"/>
      <c r="AZ514" s="3"/>
      <c r="BA514" s="3"/>
      <c r="BB514" s="3"/>
      <c r="BC514" s="3"/>
      <c r="BD514" s="3"/>
      <c r="BE514" s="3"/>
      <c r="BF514" s="3"/>
      <c r="BG514" s="3"/>
      <c r="BH514" s="3"/>
      <c r="BI514" s="3"/>
      <c r="BJ514" s="3"/>
      <c r="BK514" s="3"/>
      <c r="BL514" s="3"/>
      <c r="BM514" s="3"/>
      <c r="BN514" s="3" t="s">
        <v>2106</v>
      </c>
    </row>
    <row r="515" spans="2:66" ht="12.95" customHeight="1">
      <c r="B515" s="1493"/>
      <c r="C515" s="1436"/>
      <c r="D515" s="1436"/>
      <c r="E515" s="1436"/>
      <c r="F515" s="1436"/>
      <c r="G515" s="1436"/>
      <c r="H515" s="1437"/>
      <c r="I515" t="s">
        <v>415</v>
      </c>
      <c r="AC515" s="1739">
        <v>3</v>
      </c>
      <c r="AD515" s="1727"/>
      <c r="AE515" s="1727"/>
      <c r="AF515" s="1727"/>
      <c r="AG515" s="13" t="s">
        <v>402</v>
      </c>
      <c r="AH515" s="1427">
        <v>2025</v>
      </c>
      <c r="AI515" s="1427"/>
      <c r="AJ515" s="1427"/>
      <c r="AK515" s="1428"/>
      <c r="AZ515" s="3"/>
      <c r="BA515" s="3"/>
      <c r="BB515" s="3"/>
      <c r="BC515" s="3"/>
      <c r="BD515" s="3"/>
      <c r="BE515" s="3"/>
      <c r="BF515" s="3"/>
      <c r="BG515" s="3"/>
      <c r="BH515" s="3"/>
      <c r="BI515" s="3"/>
      <c r="BJ515" s="3"/>
      <c r="BK515" s="3"/>
      <c r="BL515" s="3"/>
      <c r="BM515" s="3"/>
      <c r="BN515" s="3" t="s">
        <v>2107</v>
      </c>
    </row>
    <row r="516" spans="2:66" ht="12.95" customHeight="1">
      <c r="B516" s="1493"/>
      <c r="C516" s="1436"/>
      <c r="D516" s="1436"/>
      <c r="E516" s="1436"/>
      <c r="F516" s="1436"/>
      <c r="G516" s="1436"/>
      <c r="H516" s="1437"/>
      <c r="I516" s="48" t="s">
        <v>416</v>
      </c>
      <c r="J516" s="48"/>
      <c r="K516" s="48"/>
      <c r="L516" s="48"/>
      <c r="M516" s="48"/>
      <c r="N516" s="48"/>
      <c r="O516" s="48"/>
      <c r="P516" s="48"/>
      <c r="Q516" s="48"/>
      <c r="R516" s="48"/>
      <c r="S516" s="48"/>
      <c r="T516" s="48"/>
      <c r="U516" s="48"/>
      <c r="V516" s="48"/>
      <c r="W516" s="48"/>
      <c r="X516" s="48"/>
      <c r="Y516" s="48"/>
      <c r="Z516" s="48"/>
      <c r="AA516" s="48"/>
      <c r="AB516" s="48"/>
      <c r="AC516" s="1739">
        <v>1</v>
      </c>
      <c r="AD516" s="1727"/>
      <c r="AE516" s="1727"/>
      <c r="AF516" s="1727"/>
      <c r="AG516" s="38" t="s">
        <v>402</v>
      </c>
      <c r="AH516" s="1427">
        <v>2026</v>
      </c>
      <c r="AI516" s="1427"/>
      <c r="AJ516" s="1427"/>
      <c r="AK516" s="1428"/>
      <c r="AZ516" s="3"/>
      <c r="BA516" s="3"/>
      <c r="BB516" s="3"/>
      <c r="BC516" s="3"/>
      <c r="BD516" s="3"/>
      <c r="BE516" s="3"/>
      <c r="BF516" s="3"/>
      <c r="BG516" s="3"/>
      <c r="BH516" s="3"/>
      <c r="BI516" s="3"/>
      <c r="BJ516" s="3"/>
      <c r="BK516" s="3"/>
      <c r="BL516" s="3"/>
      <c r="BM516" s="3"/>
      <c r="BN516" s="3" t="s">
        <v>2108</v>
      </c>
    </row>
    <row r="517" spans="2:66" ht="12.95" customHeight="1">
      <c r="B517" s="1492" t="s">
        <v>417</v>
      </c>
      <c r="C517" s="1434"/>
      <c r="D517" s="1434"/>
      <c r="E517" s="1434"/>
      <c r="F517" s="1434"/>
      <c r="G517" s="1434"/>
      <c r="H517" s="1435"/>
      <c r="I517" s="42" t="s">
        <v>414</v>
      </c>
      <c r="J517" s="42"/>
      <c r="K517" s="42"/>
      <c r="L517" s="42"/>
      <c r="M517" s="42"/>
      <c r="N517" s="42"/>
      <c r="O517" s="42"/>
      <c r="P517" s="42"/>
      <c r="Q517" s="42"/>
      <c r="R517" s="42"/>
      <c r="S517" s="42"/>
      <c r="T517" s="42"/>
      <c r="U517" s="42"/>
      <c r="V517" s="42"/>
      <c r="W517" s="42"/>
      <c r="X517" s="42"/>
      <c r="Y517" s="42"/>
      <c r="Z517" s="42"/>
      <c r="AA517" s="42"/>
      <c r="AB517" s="42"/>
      <c r="AC517" s="1364">
        <v>3</v>
      </c>
      <c r="AD517" s="1365"/>
      <c r="AE517" s="1365"/>
      <c r="AF517" s="1365"/>
      <c r="AG517" s="129" t="s">
        <v>402</v>
      </c>
      <c r="AH517" s="1427">
        <v>2025</v>
      </c>
      <c r="AI517" s="1427"/>
      <c r="AJ517" s="1427"/>
      <c r="AK517" s="1428"/>
      <c r="AZ517" s="3"/>
      <c r="BB517" s="3"/>
      <c r="BC517" s="3"/>
      <c r="BD517" s="3"/>
      <c r="BE517" s="3"/>
      <c r="BF517" s="3"/>
      <c r="BG517" s="3"/>
      <c r="BH517" s="3"/>
      <c r="BI517" s="3"/>
      <c r="BJ517" s="3"/>
      <c r="BK517" s="3"/>
      <c r="BL517" s="3"/>
      <c r="BM517" s="3"/>
      <c r="BN517" s="3" t="s">
        <v>2109</v>
      </c>
    </row>
    <row r="518" spans="2:66" ht="12.95" customHeight="1">
      <c r="B518" s="1493"/>
      <c r="C518" s="1436"/>
      <c r="D518" s="1436"/>
      <c r="E518" s="1436"/>
      <c r="F518" s="1436"/>
      <c r="G518" s="1436"/>
      <c r="H518" s="1437"/>
      <c r="I518" t="s">
        <v>415</v>
      </c>
      <c r="AC518" s="1739">
        <v>5</v>
      </c>
      <c r="AD518" s="1727"/>
      <c r="AE518" s="1727"/>
      <c r="AF518" s="1727"/>
      <c r="AG518" s="13" t="s">
        <v>402</v>
      </c>
      <c r="AH518" s="1427">
        <v>2025</v>
      </c>
      <c r="AI518" s="1427"/>
      <c r="AJ518" s="1427"/>
      <c r="AK518" s="1428"/>
      <c r="BB518" s="3"/>
      <c r="BC518" s="3"/>
      <c r="BD518" s="3"/>
      <c r="BE518" s="3"/>
      <c r="BF518" s="3"/>
      <c r="BG518" s="3"/>
      <c r="BH518" s="3"/>
      <c r="BI518" s="3"/>
      <c r="BJ518" s="3"/>
      <c r="BK518" s="3"/>
      <c r="BL518" s="3"/>
      <c r="BM518" s="3"/>
      <c r="BN518" s="3" t="s">
        <v>2110</v>
      </c>
    </row>
    <row r="519" spans="2:66" ht="12.95" customHeight="1">
      <c r="B519" s="1494"/>
      <c r="C519" s="1438"/>
      <c r="D519" s="1438"/>
      <c r="E519" s="1438"/>
      <c r="F519" s="1438"/>
      <c r="G519" s="1438"/>
      <c r="H519" s="1439"/>
      <c r="I519" s="48" t="s">
        <v>416</v>
      </c>
      <c r="J519" s="48"/>
      <c r="K519" s="48"/>
      <c r="L519" s="48"/>
      <c r="M519" s="48"/>
      <c r="N519" s="48"/>
      <c r="O519" s="48"/>
      <c r="P519" s="48"/>
      <c r="Q519" s="48"/>
      <c r="R519" s="48"/>
      <c r="S519" s="48"/>
      <c r="T519" s="48"/>
      <c r="U519" s="48"/>
      <c r="V519" s="48"/>
      <c r="W519" s="48"/>
      <c r="X519" s="48"/>
      <c r="Y519" s="48"/>
      <c r="Z519" s="48"/>
      <c r="AA519" s="48"/>
      <c r="AB519" s="48"/>
      <c r="AC519" s="1739">
        <v>7</v>
      </c>
      <c r="AD519" s="1727"/>
      <c r="AE519" s="1727"/>
      <c r="AF519" s="1727"/>
      <c r="AG519" s="38" t="s">
        <v>402</v>
      </c>
      <c r="AH519" s="1427">
        <v>2028</v>
      </c>
      <c r="AI519" s="1427"/>
      <c r="AJ519" s="1427"/>
      <c r="AK519" s="1428"/>
      <c r="BB519" s="3"/>
      <c r="BC519" s="3"/>
      <c r="BD519" s="3"/>
      <c r="BE519" s="3"/>
      <c r="BF519" s="3"/>
      <c r="BG519" s="3"/>
      <c r="BH519" s="3"/>
      <c r="BI519" s="3"/>
      <c r="BJ519" s="3"/>
      <c r="BK519" s="3"/>
      <c r="BL519" s="3"/>
      <c r="BM519" s="3"/>
      <c r="BN519" s="3" t="s">
        <v>2111</v>
      </c>
    </row>
    <row r="520" spans="2:66" ht="12.95" customHeight="1">
      <c r="B520" s="1492" t="s">
        <v>418</v>
      </c>
      <c r="C520" s="1434"/>
      <c r="D520" s="1434"/>
      <c r="E520" s="1434"/>
      <c r="F520" s="1434"/>
      <c r="G520" s="1434"/>
      <c r="H520" s="1435"/>
      <c r="I520" s="41" t="s">
        <v>419</v>
      </c>
      <c r="J520" s="42"/>
      <c r="K520" s="42"/>
      <c r="L520" s="42"/>
      <c r="M520" s="42"/>
      <c r="N520" s="42"/>
      <c r="O520" s="1749" t="s">
        <v>2732</v>
      </c>
      <c r="P520" s="1750"/>
      <c r="Q520" s="1750"/>
      <c r="R520" s="1750"/>
      <c r="S520" s="1750"/>
      <c r="T520" s="1750"/>
      <c r="U520" s="1750"/>
      <c r="V520" s="1750"/>
      <c r="W520" s="1750"/>
      <c r="X520" s="1750"/>
      <c r="Y520" s="1750"/>
      <c r="Z520" s="1750"/>
      <c r="AA520" s="1750"/>
      <c r="AB520" s="58"/>
      <c r="AC520" s="1364" t="s">
        <v>591</v>
      </c>
      <c r="AD520" s="1365"/>
      <c r="AE520" s="1365"/>
      <c r="AF520" s="1365"/>
      <c r="AG520" s="129" t="s">
        <v>402</v>
      </c>
      <c r="AH520" s="1427"/>
      <c r="AI520" s="1427"/>
      <c r="AJ520" s="1427"/>
      <c r="AK520" s="1428"/>
      <c r="AZ520" s="3"/>
      <c r="BB520" s="3"/>
      <c r="BC520" s="3"/>
      <c r="BD520" s="3"/>
      <c r="BE520" s="3"/>
      <c r="BF520" s="3"/>
      <c r="BG520" s="3"/>
      <c r="BH520" s="3"/>
      <c r="BI520" s="3"/>
      <c r="BJ520" s="3"/>
      <c r="BK520" s="3"/>
      <c r="BL520" s="3"/>
      <c r="BM520" s="3"/>
      <c r="BN520" s="3" t="s">
        <v>2112</v>
      </c>
    </row>
    <row r="521" spans="2:66" ht="12.95" customHeight="1">
      <c r="B521" s="1493"/>
      <c r="C521" s="1436"/>
      <c r="D521" s="1436"/>
      <c r="E521" s="1436"/>
      <c r="F521" s="1436"/>
      <c r="G521" s="1436"/>
      <c r="H521" s="1437"/>
      <c r="I521" s="114" t="s">
        <v>420</v>
      </c>
      <c r="AB521" s="65"/>
      <c r="AC521" s="1739">
        <v>5</v>
      </c>
      <c r="AD521" s="1727"/>
      <c r="AE521" s="1727"/>
      <c r="AF521" s="1727"/>
      <c r="AG521" s="13" t="s">
        <v>402</v>
      </c>
      <c r="AH521" s="1427">
        <v>2024</v>
      </c>
      <c r="AI521" s="1427"/>
      <c r="AJ521" s="1427"/>
      <c r="AK521" s="1428"/>
      <c r="AZ521" s="3"/>
      <c r="BB521" s="3"/>
      <c r="BC521" s="3"/>
      <c r="BD521" s="3"/>
      <c r="BE521" s="3"/>
      <c r="BF521" s="3"/>
      <c r="BG521" s="3"/>
      <c r="BH521" s="3"/>
      <c r="BI521" s="3"/>
      <c r="BJ521" s="3"/>
      <c r="BK521" s="3"/>
      <c r="BL521" s="3"/>
      <c r="BM521" s="3"/>
      <c r="BN521" s="3" t="s">
        <v>2113</v>
      </c>
    </row>
    <row r="522" spans="2:66" ht="12.95" customHeight="1">
      <c r="B522" s="1493"/>
      <c r="C522" s="1436"/>
      <c r="D522" s="1436"/>
      <c r="E522" s="1436"/>
      <c r="F522" s="1436"/>
      <c r="G522" s="1436"/>
      <c r="H522" s="1437"/>
      <c r="I522" s="47" t="s">
        <v>421</v>
      </c>
      <c r="J522" s="48"/>
      <c r="K522" s="48"/>
      <c r="L522" s="48"/>
      <c r="M522" s="48"/>
      <c r="N522" s="48"/>
      <c r="O522" s="48"/>
      <c r="P522" s="48"/>
      <c r="Q522" s="48"/>
      <c r="R522" s="48"/>
      <c r="S522" s="48"/>
      <c r="T522" s="48"/>
      <c r="U522" s="48"/>
      <c r="V522" s="48"/>
      <c r="W522" s="48"/>
      <c r="X522" s="48"/>
      <c r="Y522" s="48"/>
      <c r="Z522" s="48"/>
      <c r="AA522" s="48"/>
      <c r="AB522" s="49"/>
      <c r="AC522" s="1739">
        <v>12</v>
      </c>
      <c r="AD522" s="1727"/>
      <c r="AE522" s="1727"/>
      <c r="AF522" s="1727"/>
      <c r="AG522" s="38" t="s">
        <v>402</v>
      </c>
      <c r="AH522" s="1427">
        <v>2024</v>
      </c>
      <c r="AI522" s="1427"/>
      <c r="AJ522" s="1427"/>
      <c r="AK522" s="1428"/>
      <c r="AZ522" s="3"/>
      <c r="BA522" s="3"/>
      <c r="BB522" s="3"/>
      <c r="BC522" s="3"/>
      <c r="BD522" s="3"/>
      <c r="BE522" s="3"/>
      <c r="BF522" s="3"/>
      <c r="BG522" s="3"/>
      <c r="BH522" s="3"/>
      <c r="BI522" s="3"/>
      <c r="BJ522" s="3"/>
      <c r="BK522" s="3"/>
      <c r="BL522" s="3"/>
      <c r="BM522" s="3"/>
      <c r="BN522" s="3" t="s">
        <v>2114</v>
      </c>
    </row>
    <row r="523" spans="2:66" ht="12.95" customHeight="1">
      <c r="B523" s="1493"/>
      <c r="C523" s="1436"/>
      <c r="D523" s="1436"/>
      <c r="E523" s="1436"/>
      <c r="F523" s="1436"/>
      <c r="G523" s="1436"/>
      <c r="H523" s="1437"/>
      <c r="I523" s="42" t="s">
        <v>422</v>
      </c>
      <c r="J523" s="42"/>
      <c r="K523" s="42"/>
      <c r="L523" s="42"/>
      <c r="M523" s="42"/>
      <c r="N523" s="42"/>
      <c r="O523" s="1749" t="s">
        <v>2418</v>
      </c>
      <c r="P523" s="1750"/>
      <c r="Q523" s="1750"/>
      <c r="R523" s="1750"/>
      <c r="S523" s="1750"/>
      <c r="T523" s="1750"/>
      <c r="U523" s="1750"/>
      <c r="V523" s="1750"/>
      <c r="W523" s="1750"/>
      <c r="X523" s="1750"/>
      <c r="Y523" s="1750"/>
      <c r="Z523" s="1750"/>
      <c r="AA523" s="1750"/>
      <c r="AC523" s="1739" t="s">
        <v>591</v>
      </c>
      <c r="AD523" s="1727"/>
      <c r="AE523" s="1727"/>
      <c r="AF523" s="1727"/>
      <c r="AG523" s="13" t="s">
        <v>402</v>
      </c>
      <c r="AH523" s="1427"/>
      <c r="AI523" s="1427"/>
      <c r="AJ523" s="1427"/>
      <c r="AK523" s="1428"/>
      <c r="AZ523" s="3"/>
      <c r="BA523" s="3"/>
      <c r="BB523" s="3"/>
      <c r="BC523" s="3"/>
      <c r="BD523" s="3"/>
      <c r="BE523" s="3"/>
      <c r="BF523" s="3"/>
      <c r="BG523" s="3"/>
      <c r="BH523" s="3"/>
      <c r="BI523" s="3"/>
      <c r="BJ523" s="3"/>
      <c r="BK523" s="3"/>
      <c r="BL523" s="3"/>
      <c r="BM523" s="3"/>
      <c r="BN523" s="3" t="s">
        <v>2115</v>
      </c>
    </row>
    <row r="524" spans="2:66" ht="12.95" customHeight="1">
      <c r="B524" s="1493"/>
      <c r="C524" s="1436"/>
      <c r="D524" s="1436"/>
      <c r="E524" s="1436"/>
      <c r="F524" s="1436"/>
      <c r="G524" s="1436"/>
      <c r="H524" s="1437"/>
      <c r="I524" t="s">
        <v>420</v>
      </c>
      <c r="AC524" s="1739">
        <v>3</v>
      </c>
      <c r="AD524" s="1727"/>
      <c r="AE524" s="1727"/>
      <c r="AF524" s="1727"/>
      <c r="AG524" s="13" t="s">
        <v>402</v>
      </c>
      <c r="AH524" s="1427">
        <v>2025</v>
      </c>
      <c r="AI524" s="1427"/>
      <c r="AJ524" s="1427"/>
      <c r="AK524" s="1428"/>
      <c r="AZ524" s="3"/>
      <c r="BA524" s="3"/>
      <c r="BB524" s="3"/>
      <c r="BC524" s="3"/>
      <c r="BD524" s="3"/>
      <c r="BE524" s="3"/>
      <c r="BF524" s="3"/>
      <c r="BG524" s="3"/>
      <c r="BH524" s="3"/>
      <c r="BI524" s="3"/>
      <c r="BJ524" s="3"/>
      <c r="BK524" s="3"/>
      <c r="BL524" s="3"/>
      <c r="BM524" s="3"/>
      <c r="BN524" s="3" t="s">
        <v>2116</v>
      </c>
    </row>
    <row r="525" spans="2:66" ht="12.95" customHeight="1">
      <c r="B525" s="1493"/>
      <c r="C525" s="1436"/>
      <c r="D525" s="1436"/>
      <c r="E525" s="1436"/>
      <c r="F525" s="1436"/>
      <c r="G525" s="1436"/>
      <c r="H525" s="1437"/>
      <c r="I525" s="48" t="s">
        <v>421</v>
      </c>
      <c r="J525" s="48"/>
      <c r="K525" s="48"/>
      <c r="L525" s="48"/>
      <c r="M525" s="48"/>
      <c r="N525" s="48"/>
      <c r="O525" s="48"/>
      <c r="P525" s="48"/>
      <c r="Q525" s="48"/>
      <c r="R525" s="48"/>
      <c r="S525" s="48"/>
      <c r="T525" s="48"/>
      <c r="U525" s="48"/>
      <c r="V525" s="48"/>
      <c r="W525" s="48"/>
      <c r="X525" s="48"/>
      <c r="Y525" s="48"/>
      <c r="Z525" s="48"/>
      <c r="AA525" s="48"/>
      <c r="AB525" s="48"/>
      <c r="AC525" s="1739">
        <v>5</v>
      </c>
      <c r="AD525" s="1727"/>
      <c r="AE525" s="1727"/>
      <c r="AF525" s="1727"/>
      <c r="AG525" s="38" t="s">
        <v>402</v>
      </c>
      <c r="AH525" s="1427">
        <v>2025</v>
      </c>
      <c r="AI525" s="1427"/>
      <c r="AJ525" s="1427"/>
      <c r="AK525" s="1428"/>
      <c r="AZ525" s="3"/>
      <c r="BA525" s="3"/>
      <c r="BB525" s="3"/>
      <c r="BC525" s="3"/>
      <c r="BD525" s="3"/>
      <c r="BE525" s="3"/>
      <c r="BF525" s="3"/>
      <c r="BG525" s="3"/>
      <c r="BH525" s="3"/>
      <c r="BI525" s="3"/>
      <c r="BJ525" s="3"/>
      <c r="BK525" s="3"/>
      <c r="BL525" s="3"/>
      <c r="BM525" s="3"/>
      <c r="BN525" s="3" t="s">
        <v>2117</v>
      </c>
    </row>
    <row r="526" spans="2:66" ht="12.95" customHeight="1">
      <c r="B526" s="1493"/>
      <c r="C526" s="1436"/>
      <c r="D526" s="1436"/>
      <c r="E526" s="1436"/>
      <c r="F526" s="1436"/>
      <c r="G526" s="1436"/>
      <c r="H526" s="1437"/>
      <c r="I526" s="42" t="s">
        <v>422</v>
      </c>
      <c r="J526" s="42"/>
      <c r="K526" s="42"/>
      <c r="L526" s="42"/>
      <c r="M526" s="42"/>
      <c r="N526" s="42"/>
      <c r="O526" s="1749" t="s">
        <v>333</v>
      </c>
      <c r="P526" s="1750"/>
      <c r="Q526" s="1750"/>
      <c r="R526" s="1750"/>
      <c r="S526" s="1750"/>
      <c r="T526" s="1750"/>
      <c r="U526" s="1750"/>
      <c r="V526" s="1750"/>
      <c r="W526" s="1750"/>
      <c r="X526" s="1750"/>
      <c r="Y526" s="1750"/>
      <c r="Z526" s="1750"/>
      <c r="AA526" s="1750"/>
      <c r="AC526" s="1739" t="s">
        <v>591</v>
      </c>
      <c r="AD526" s="1727"/>
      <c r="AE526" s="1727"/>
      <c r="AF526" s="1727"/>
      <c r="AG526" s="13" t="s">
        <v>402</v>
      </c>
      <c r="AH526" s="1427"/>
      <c r="AI526" s="1427"/>
      <c r="AJ526" s="1427"/>
      <c r="AK526" s="1428"/>
      <c r="AZ526" s="3"/>
      <c r="BA526" s="3"/>
      <c r="BB526" s="3"/>
      <c r="BC526" s="3"/>
      <c r="BD526" s="3"/>
      <c r="BE526" s="3"/>
      <c r="BF526" s="3"/>
      <c r="BG526" s="3"/>
      <c r="BH526" s="3"/>
      <c r="BI526" s="3"/>
      <c r="BJ526" s="3"/>
      <c r="BK526" s="3"/>
      <c r="BL526" s="3"/>
      <c r="BM526" s="3"/>
      <c r="BN526" s="3" t="s">
        <v>2118</v>
      </c>
    </row>
    <row r="527" spans="2:66" ht="12.95" customHeight="1">
      <c r="B527" s="1493"/>
      <c r="C527" s="1436"/>
      <c r="D527" s="1436"/>
      <c r="E527" s="1436"/>
      <c r="F527" s="1436"/>
      <c r="G527" s="1436"/>
      <c r="H527" s="1437"/>
      <c r="I527" t="s">
        <v>420</v>
      </c>
      <c r="AC527" s="1739" t="s">
        <v>591</v>
      </c>
      <c r="AD527" s="1727"/>
      <c r="AE527" s="1727"/>
      <c r="AF527" s="1727"/>
      <c r="AG527" s="13" t="s">
        <v>402</v>
      </c>
      <c r="AH527" s="1427"/>
      <c r="AI527" s="1427"/>
      <c r="AJ527" s="1427"/>
      <c r="AK527" s="1428"/>
      <c r="AZ527" s="3"/>
      <c r="BA527" s="3"/>
      <c r="BB527" s="3"/>
      <c r="BC527" s="3"/>
      <c r="BD527" s="3"/>
      <c r="BE527" s="3"/>
      <c r="BF527" s="3"/>
      <c r="BG527" s="3"/>
      <c r="BH527" s="3"/>
      <c r="BI527" s="3"/>
      <c r="BJ527" s="3"/>
      <c r="BK527" s="3"/>
      <c r="BL527" s="3"/>
      <c r="BM527" s="3"/>
      <c r="BN527" s="3" t="s">
        <v>2119</v>
      </c>
    </row>
    <row r="528" spans="2:66" ht="12.95" customHeight="1">
      <c r="B528" s="1493"/>
      <c r="C528" s="1436"/>
      <c r="D528" s="1436"/>
      <c r="E528" s="1436"/>
      <c r="F528" s="1436"/>
      <c r="G528" s="1436"/>
      <c r="H528" s="1437"/>
      <c r="I528" s="48" t="s">
        <v>421</v>
      </c>
      <c r="J528" s="48"/>
      <c r="K528" s="48"/>
      <c r="L528" s="48"/>
      <c r="M528" s="48"/>
      <c r="N528" s="48"/>
      <c r="O528" s="48"/>
      <c r="P528" s="48"/>
      <c r="Q528" s="48"/>
      <c r="R528" s="48"/>
      <c r="S528" s="48"/>
      <c r="T528" s="48"/>
      <c r="U528" s="48"/>
      <c r="V528" s="48"/>
      <c r="W528" s="48"/>
      <c r="X528" s="48"/>
      <c r="Y528" s="48"/>
      <c r="Z528" s="48"/>
      <c r="AA528" s="48"/>
      <c r="AB528" s="48"/>
      <c r="AC528" s="1739" t="s">
        <v>591</v>
      </c>
      <c r="AD528" s="1727"/>
      <c r="AE528" s="1727"/>
      <c r="AF528" s="1727"/>
      <c r="AG528" s="38" t="s">
        <v>402</v>
      </c>
      <c r="AH528" s="1427"/>
      <c r="AI528" s="1427"/>
      <c r="AJ528" s="1427"/>
      <c r="AK528" s="1428"/>
      <c r="AZ528" s="3"/>
      <c r="BA528" s="3"/>
      <c r="BB528" s="3"/>
      <c r="BC528" s="3"/>
      <c r="BD528" s="3"/>
      <c r="BE528" s="3"/>
      <c r="BF528" s="3"/>
      <c r="BG528" s="3"/>
      <c r="BH528" s="3"/>
      <c r="BI528" s="3"/>
      <c r="BJ528" s="3"/>
      <c r="BK528" s="3"/>
      <c r="BL528" s="3"/>
      <c r="BM528" s="3"/>
      <c r="BN528" s="3" t="s">
        <v>2120</v>
      </c>
    </row>
    <row r="529" spans="1:66" ht="12.95" customHeight="1">
      <c r="B529" s="1493"/>
      <c r="C529" s="1436"/>
      <c r="D529" s="1436"/>
      <c r="E529" s="1436"/>
      <c r="F529" s="1436"/>
      <c r="G529" s="1436"/>
      <c r="H529" s="1437"/>
      <c r="I529" s="42" t="s">
        <v>422</v>
      </c>
      <c r="J529" s="42"/>
      <c r="K529" s="42"/>
      <c r="L529" s="42"/>
      <c r="M529" s="42"/>
      <c r="N529" s="42"/>
      <c r="O529" s="1749" t="s">
        <v>333</v>
      </c>
      <c r="P529" s="1750"/>
      <c r="Q529" s="1750"/>
      <c r="R529" s="1750"/>
      <c r="S529" s="1750"/>
      <c r="T529" s="1750"/>
      <c r="U529" s="1750"/>
      <c r="V529" s="1750"/>
      <c r="W529" s="1750"/>
      <c r="X529" s="1750"/>
      <c r="Y529" s="1750"/>
      <c r="Z529" s="1750"/>
      <c r="AA529" s="1750"/>
      <c r="AC529" s="1739" t="s">
        <v>591</v>
      </c>
      <c r="AD529" s="1727"/>
      <c r="AE529" s="1727"/>
      <c r="AF529" s="1727"/>
      <c r="AG529" s="13" t="s">
        <v>402</v>
      </c>
      <c r="AH529" s="1427"/>
      <c r="AI529" s="1427"/>
      <c r="AJ529" s="1427"/>
      <c r="AK529" s="1428"/>
      <c r="AZ529" s="3"/>
      <c r="BA529" s="3"/>
      <c r="BB529" s="3"/>
      <c r="BC529" s="3"/>
      <c r="BD529" s="3"/>
      <c r="BE529" s="3"/>
      <c r="BF529" s="3"/>
      <c r="BG529" s="3"/>
      <c r="BH529" s="3"/>
      <c r="BI529" s="3"/>
      <c r="BJ529" s="3"/>
      <c r="BK529" s="3"/>
      <c r="BL529" s="3"/>
      <c r="BM529" s="3"/>
      <c r="BN529" s="3" t="s">
        <v>2121</v>
      </c>
    </row>
    <row r="530" spans="1:66" ht="12.95" customHeight="1">
      <c r="B530" s="1493"/>
      <c r="C530" s="1436"/>
      <c r="D530" s="1436"/>
      <c r="E530" s="1436"/>
      <c r="F530" s="1436"/>
      <c r="G530" s="1436"/>
      <c r="H530" s="1437"/>
      <c r="I530" t="s">
        <v>420</v>
      </c>
      <c r="AC530" s="1739" t="s">
        <v>591</v>
      </c>
      <c r="AD530" s="1727"/>
      <c r="AE530" s="1727"/>
      <c r="AF530" s="1727"/>
      <c r="AG530" s="13" t="s">
        <v>402</v>
      </c>
      <c r="AH530" s="1427"/>
      <c r="AI530" s="1427"/>
      <c r="AJ530" s="1427"/>
      <c r="AK530" s="1428"/>
      <c r="AZ530" s="3"/>
      <c r="BA530" s="3"/>
      <c r="BB530" s="3"/>
      <c r="BC530" s="3"/>
      <c r="BD530" s="3"/>
      <c r="BE530" s="3"/>
      <c r="BF530" s="3"/>
      <c r="BG530" s="3"/>
      <c r="BH530" s="3"/>
      <c r="BI530" s="3"/>
      <c r="BJ530" s="3"/>
      <c r="BK530" s="3"/>
      <c r="BL530" s="3"/>
      <c r="BM530" s="3"/>
      <c r="BN530" s="3" t="s">
        <v>2122</v>
      </c>
    </row>
    <row r="531" spans="1:66" ht="12.95" customHeight="1">
      <c r="B531" s="1493"/>
      <c r="C531" s="1436"/>
      <c r="D531" s="1436"/>
      <c r="E531" s="1436"/>
      <c r="F531" s="1436"/>
      <c r="G531" s="1436"/>
      <c r="H531" s="1437"/>
      <c r="I531" s="48" t="s">
        <v>421</v>
      </c>
      <c r="J531" s="48"/>
      <c r="K531" s="48"/>
      <c r="L531" s="48"/>
      <c r="M531" s="48"/>
      <c r="N531" s="48"/>
      <c r="O531" s="48"/>
      <c r="P531" s="48"/>
      <c r="Q531" s="48"/>
      <c r="R531" s="48"/>
      <c r="S531" s="48"/>
      <c r="T531" s="48"/>
      <c r="U531" s="48"/>
      <c r="V531" s="48"/>
      <c r="W531" s="48"/>
      <c r="X531" s="48"/>
      <c r="Y531" s="48"/>
      <c r="Z531" s="48"/>
      <c r="AA531" s="48"/>
      <c r="AB531" s="48"/>
      <c r="AC531" s="1739" t="s">
        <v>591</v>
      </c>
      <c r="AD531" s="1727"/>
      <c r="AE531" s="1727"/>
      <c r="AF531" s="1727"/>
      <c r="AG531" s="38" t="s">
        <v>402</v>
      </c>
      <c r="AH531" s="1427"/>
      <c r="AI531" s="1427"/>
      <c r="AJ531" s="1427"/>
      <c r="AK531" s="1428"/>
      <c r="AZ531" s="3"/>
      <c r="BA531" s="3"/>
      <c r="BB531" s="3"/>
      <c r="BC531" s="3"/>
      <c r="BD531" s="3"/>
      <c r="BE531" s="3"/>
      <c r="BF531" s="3"/>
      <c r="BG531" s="3"/>
      <c r="BH531" s="3"/>
      <c r="BI531" s="3"/>
      <c r="BJ531" s="3"/>
      <c r="BK531" s="3"/>
      <c r="BL531" s="3"/>
      <c r="BM531" s="3"/>
      <c r="BN531" s="3" t="s">
        <v>2123</v>
      </c>
    </row>
    <row r="532" spans="1:66" ht="12.95" customHeight="1">
      <c r="B532" s="1493"/>
      <c r="C532" s="1436"/>
      <c r="D532" s="1436"/>
      <c r="E532" s="1436"/>
      <c r="F532" s="1436"/>
      <c r="G532" s="1436"/>
      <c r="H532" s="1437"/>
      <c r="I532" s="42" t="s">
        <v>422</v>
      </c>
      <c r="J532" s="42"/>
      <c r="K532" s="42"/>
      <c r="L532" s="42"/>
      <c r="M532" s="42"/>
      <c r="N532" s="42"/>
      <c r="O532" s="1749" t="s">
        <v>333</v>
      </c>
      <c r="P532" s="1750"/>
      <c r="Q532" s="1750"/>
      <c r="R532" s="1750"/>
      <c r="S532" s="1750"/>
      <c r="T532" s="1750"/>
      <c r="U532" s="1750"/>
      <c r="V532" s="1750"/>
      <c r="W532" s="1750"/>
      <c r="X532" s="1750"/>
      <c r="Y532" s="1750"/>
      <c r="Z532" s="1750"/>
      <c r="AA532" s="1750"/>
      <c r="AC532" s="1739" t="s">
        <v>591</v>
      </c>
      <c r="AD532" s="1727"/>
      <c r="AE532" s="1727"/>
      <c r="AF532" s="1727"/>
      <c r="AG532" s="13" t="s">
        <v>402</v>
      </c>
      <c r="AH532" s="1427"/>
      <c r="AI532" s="1427"/>
      <c r="AJ532" s="1427"/>
      <c r="AK532" s="1428"/>
      <c r="AZ532" s="3"/>
      <c r="BA532" s="3"/>
      <c r="BB532" s="3"/>
      <c r="BC532" s="3"/>
      <c r="BD532" s="3"/>
      <c r="BE532" s="3"/>
      <c r="BF532" s="3"/>
      <c r="BG532" s="3"/>
      <c r="BH532" s="3"/>
      <c r="BI532" s="3"/>
      <c r="BJ532" s="3"/>
      <c r="BK532" s="3"/>
      <c r="BL532" s="3"/>
      <c r="BM532" s="3"/>
      <c r="BN532" s="3" t="s">
        <v>2124</v>
      </c>
    </row>
    <row r="533" spans="1:66" ht="12.95" customHeight="1">
      <c r="B533" s="1493"/>
      <c r="C533" s="1436"/>
      <c r="D533" s="1436"/>
      <c r="E533" s="1436"/>
      <c r="F533" s="1436"/>
      <c r="G533" s="1436"/>
      <c r="H533" s="1437"/>
      <c r="I533" t="s">
        <v>420</v>
      </c>
      <c r="AC533" s="1739" t="s">
        <v>591</v>
      </c>
      <c r="AD533" s="1727"/>
      <c r="AE533" s="1727"/>
      <c r="AF533" s="1727"/>
      <c r="AG533" s="38" t="s">
        <v>402</v>
      </c>
      <c r="AH533" s="1427"/>
      <c r="AI533" s="1427"/>
      <c r="AJ533" s="1427"/>
      <c r="AK533" s="1428"/>
      <c r="AZ533" s="3"/>
      <c r="BA533" s="3"/>
      <c r="BB533" s="3"/>
      <c r="BC533" s="3"/>
      <c r="BD533" s="3"/>
      <c r="BE533" s="3"/>
      <c r="BF533" s="3"/>
      <c r="BG533" s="3"/>
      <c r="BH533" s="3"/>
      <c r="BI533" s="3"/>
      <c r="BJ533" s="3"/>
      <c r="BK533" s="3"/>
      <c r="BL533" s="3"/>
      <c r="BM533" s="3"/>
      <c r="BN533" s="3" t="s">
        <v>2125</v>
      </c>
    </row>
    <row r="534" spans="1:66" ht="12.95" customHeight="1">
      <c r="B534" s="1493"/>
      <c r="C534" s="1436"/>
      <c r="D534" s="1436"/>
      <c r="E534" s="1436"/>
      <c r="F534" s="1436"/>
      <c r="G534" s="1436"/>
      <c r="H534" s="1437"/>
      <c r="I534" s="48" t="s">
        <v>421</v>
      </c>
      <c r="J534" s="48"/>
      <c r="K534" s="48"/>
      <c r="L534" s="48"/>
      <c r="M534" s="48"/>
      <c r="N534" s="48"/>
      <c r="O534" s="48"/>
      <c r="P534" s="48"/>
      <c r="Q534" s="48"/>
      <c r="R534" s="48"/>
      <c r="S534" s="48"/>
      <c r="T534" s="48"/>
      <c r="U534" s="48"/>
      <c r="V534" s="48"/>
      <c r="W534" s="48"/>
      <c r="X534" s="48"/>
      <c r="Y534" s="48"/>
      <c r="Z534" s="48"/>
      <c r="AA534" s="48"/>
      <c r="AB534" s="48"/>
      <c r="AC534" s="1739" t="s">
        <v>591</v>
      </c>
      <c r="AD534" s="1727"/>
      <c r="AE534" s="1727"/>
      <c r="AF534" s="1727"/>
      <c r="AG534" s="13" t="s">
        <v>402</v>
      </c>
      <c r="AH534" s="1427"/>
      <c r="AI534" s="1427"/>
      <c r="AJ534" s="1427"/>
      <c r="AK534" s="1428"/>
      <c r="AZ534" s="3"/>
      <c r="BA534" s="3"/>
      <c r="BB534" s="3"/>
      <c r="BC534" s="3"/>
      <c r="BD534" s="3"/>
      <c r="BE534" s="3"/>
      <c r="BF534" s="3"/>
      <c r="BG534" s="3"/>
      <c r="BH534" s="3"/>
      <c r="BI534" s="3"/>
      <c r="BJ534" s="3"/>
      <c r="BK534" s="3"/>
      <c r="BL534" s="3"/>
      <c r="BM534" s="3"/>
      <c r="BN534" s="3" t="s">
        <v>2126</v>
      </c>
    </row>
    <row r="535" spans="1:66" ht="12.95" customHeight="1">
      <c r="B535" s="1493"/>
      <c r="C535" s="1436"/>
      <c r="D535" s="1436"/>
      <c r="E535" s="1436"/>
      <c r="F535" s="1436"/>
      <c r="G535" s="1436"/>
      <c r="H535" s="1437"/>
      <c r="I535" s="42" t="s">
        <v>422</v>
      </c>
      <c r="J535" s="42"/>
      <c r="K535" s="42"/>
      <c r="L535" s="42"/>
      <c r="M535" s="42"/>
      <c r="N535" s="42"/>
      <c r="O535" s="1749" t="s">
        <v>333</v>
      </c>
      <c r="P535" s="1750"/>
      <c r="Q535" s="1750"/>
      <c r="R535" s="1750"/>
      <c r="S535" s="1750"/>
      <c r="T535" s="1750"/>
      <c r="U535" s="1750"/>
      <c r="V535" s="1750"/>
      <c r="W535" s="1750"/>
      <c r="X535" s="1750"/>
      <c r="Y535" s="1750"/>
      <c r="Z535" s="1750"/>
      <c r="AA535" s="1750"/>
      <c r="AC535" s="1739" t="s">
        <v>591</v>
      </c>
      <c r="AD535" s="1727"/>
      <c r="AE535" s="1727"/>
      <c r="AF535" s="1727"/>
      <c r="AG535" s="38" t="s">
        <v>402</v>
      </c>
      <c r="AH535" s="1427"/>
      <c r="AI535" s="1427"/>
      <c r="AJ535" s="1427"/>
      <c r="AK535" s="1428"/>
      <c r="AZ535" s="3"/>
      <c r="BA535" s="3"/>
      <c r="BB535" s="3"/>
      <c r="BC535" s="3"/>
      <c r="BD535" s="3"/>
      <c r="BE535" s="3"/>
      <c r="BF535" s="3"/>
      <c r="BG535" s="3"/>
      <c r="BH535" s="3"/>
      <c r="BI535" s="3"/>
      <c r="BJ535" s="3"/>
      <c r="BK535" s="3"/>
      <c r="BL535" s="3"/>
      <c r="BM535" s="3"/>
      <c r="BN535" s="3" t="s">
        <v>2127</v>
      </c>
    </row>
    <row r="536" spans="1:66" ht="12.95" customHeight="1">
      <c r="B536" s="1493"/>
      <c r="C536" s="1436"/>
      <c r="D536" s="1436"/>
      <c r="E536" s="1436"/>
      <c r="F536" s="1436"/>
      <c r="G536" s="1436"/>
      <c r="H536" s="1437"/>
      <c r="I536" t="s">
        <v>420</v>
      </c>
      <c r="AC536" s="1739" t="s">
        <v>591</v>
      </c>
      <c r="AD536" s="1727"/>
      <c r="AE536" s="1727"/>
      <c r="AF536" s="1727"/>
      <c r="AG536" s="13" t="s">
        <v>402</v>
      </c>
      <c r="AH536" s="1427"/>
      <c r="AI536" s="1427"/>
      <c r="AJ536" s="1427"/>
      <c r="AK536" s="1428"/>
      <c r="AZ536" s="3"/>
      <c r="BA536" s="3"/>
      <c r="BB536" s="3"/>
      <c r="BC536" s="3"/>
      <c r="BD536" s="3"/>
      <c r="BE536" s="3"/>
      <c r="BF536" s="3"/>
      <c r="BG536" s="3"/>
      <c r="BH536" s="3"/>
      <c r="BI536" s="3"/>
      <c r="BJ536" s="3"/>
      <c r="BK536" s="3"/>
      <c r="BL536" s="3"/>
      <c r="BM536" s="3"/>
      <c r="BN536" s="3" t="s">
        <v>2128</v>
      </c>
    </row>
    <row r="537" spans="1:66" ht="12.95" customHeight="1">
      <c r="B537" s="1493"/>
      <c r="C537" s="1436"/>
      <c r="D537" s="1436"/>
      <c r="E537" s="1436"/>
      <c r="F537" s="1436"/>
      <c r="G537" s="1436"/>
      <c r="H537" s="1437"/>
      <c r="I537" s="48" t="s">
        <v>421</v>
      </c>
      <c r="J537" s="48"/>
      <c r="K537" s="48"/>
      <c r="L537" s="48"/>
      <c r="M537" s="48"/>
      <c r="N537" s="48"/>
      <c r="O537" s="48"/>
      <c r="P537" s="48"/>
      <c r="Q537" s="48"/>
      <c r="R537" s="48"/>
      <c r="S537" s="48"/>
      <c r="T537" s="48"/>
      <c r="U537" s="48"/>
      <c r="V537" s="48"/>
      <c r="W537" s="48"/>
      <c r="X537" s="48"/>
      <c r="Y537" s="48"/>
      <c r="Z537" s="48"/>
      <c r="AA537" s="48"/>
      <c r="AB537" s="48"/>
      <c r="AC537" s="1739" t="s">
        <v>591</v>
      </c>
      <c r="AD537" s="1727"/>
      <c r="AE537" s="1727"/>
      <c r="AF537" s="1727"/>
      <c r="AG537" s="38" t="s">
        <v>402</v>
      </c>
      <c r="AH537" s="1427"/>
      <c r="AI537" s="1427"/>
      <c r="AJ537" s="1427"/>
      <c r="AK537" s="1428"/>
      <c r="AZ537" s="3"/>
      <c r="BA537" s="3"/>
      <c r="BB537" s="3"/>
      <c r="BC537" s="3"/>
      <c r="BD537" s="3"/>
      <c r="BE537" s="3"/>
      <c r="BF537" s="3"/>
      <c r="BG537" s="3"/>
      <c r="BH537" s="3"/>
      <c r="BI537" s="3"/>
      <c r="BJ537" s="3"/>
      <c r="BK537" s="3"/>
      <c r="BL537" s="3"/>
      <c r="BM537" s="3"/>
      <c r="BN537" s="3" t="s">
        <v>2129</v>
      </c>
    </row>
    <row r="538" spans="1:66" ht="12.95" customHeight="1">
      <c r="B538" s="1493"/>
      <c r="C538" s="1436"/>
      <c r="D538" s="1436"/>
      <c r="E538" s="1436"/>
      <c r="F538" s="1436"/>
      <c r="G538" s="1436"/>
      <c r="H538" s="1437"/>
      <c r="I538" s="42" t="s">
        <v>562</v>
      </c>
      <c r="J538" s="42"/>
      <c r="K538" s="42"/>
      <c r="L538" s="42"/>
      <c r="M538" s="42"/>
      <c r="N538" s="42"/>
      <c r="O538" s="42"/>
      <c r="P538" s="42"/>
      <c r="Q538" s="42"/>
      <c r="R538" s="42"/>
      <c r="S538" s="42"/>
      <c r="T538" s="42"/>
      <c r="U538" s="42"/>
      <c r="V538" s="42"/>
      <c r="W538" s="42"/>
      <c r="AC538" s="1739">
        <v>1</v>
      </c>
      <c r="AD538" s="1727"/>
      <c r="AE538" s="1727"/>
      <c r="AF538" s="1727"/>
      <c r="AG538" s="38" t="s">
        <v>402</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493"/>
      <c r="C539" s="1436"/>
      <c r="D539" s="1436"/>
      <c r="E539" s="1436"/>
      <c r="F539" s="1436"/>
      <c r="G539" s="1436"/>
      <c r="H539" s="1437"/>
      <c r="I539" t="s">
        <v>563</v>
      </c>
      <c r="AC539" s="1739">
        <v>1</v>
      </c>
      <c r="AD539" s="1727"/>
      <c r="AE539" s="1727"/>
      <c r="AF539" s="1727"/>
      <c r="AG539" s="13" t="s">
        <v>402</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493"/>
      <c r="C540" s="1436"/>
      <c r="D540" s="1436"/>
      <c r="E540" s="1436"/>
      <c r="F540" s="1436"/>
      <c r="G540" s="1436"/>
      <c r="H540" s="1437"/>
      <c r="I540" t="s">
        <v>564</v>
      </c>
      <c r="AC540" s="1739">
        <v>9</v>
      </c>
      <c r="AD540" s="1727"/>
      <c r="AE540" s="1727"/>
      <c r="AF540" s="1727"/>
      <c r="AG540" s="38" t="s">
        <v>402</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493"/>
      <c r="C541" s="1436"/>
      <c r="D541" s="1436"/>
      <c r="E541" s="1436"/>
      <c r="F541" s="1436"/>
      <c r="G541" s="1436"/>
      <c r="H541" s="1437"/>
      <c r="I541" t="s">
        <v>565</v>
      </c>
      <c r="AC541" s="1739">
        <v>10</v>
      </c>
      <c r="AD541" s="1727"/>
      <c r="AE541" s="1727"/>
      <c r="AF541" s="1727"/>
      <c r="AG541" s="38" t="s">
        <v>402</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94"/>
      <c r="C542" s="1438"/>
      <c r="D542" s="1438"/>
      <c r="E542" s="1438"/>
      <c r="F542" s="1438"/>
      <c r="G542" s="1438"/>
      <c r="H542" s="1439"/>
      <c r="I542" s="48" t="s">
        <v>451</v>
      </c>
      <c r="J542" s="48"/>
      <c r="K542" s="48"/>
      <c r="L542" s="48"/>
      <c r="M542" s="48"/>
      <c r="N542" s="48"/>
      <c r="O542" s="48"/>
      <c r="P542" s="48"/>
      <c r="Q542" s="48"/>
      <c r="R542" s="48"/>
      <c r="S542" s="48"/>
      <c r="T542" s="48"/>
      <c r="U542" s="48"/>
      <c r="V542" s="48"/>
      <c r="W542" s="48"/>
      <c r="X542" s="48"/>
      <c r="Y542" s="48"/>
      <c r="Z542" s="48"/>
      <c r="AA542" s="48"/>
      <c r="AB542" s="48"/>
      <c r="AC542" s="1739">
        <v>2</v>
      </c>
      <c r="AD542" s="1727"/>
      <c r="AE542" s="1727"/>
      <c r="AF542" s="1727"/>
      <c r="AG542" s="38" t="s">
        <v>402</v>
      </c>
      <c r="AH542" s="1427">
        <v>2028</v>
      </c>
      <c r="AI542" s="1427"/>
      <c r="AJ542" s="1427"/>
      <c r="AK542" s="1428"/>
      <c r="BB542" s="3"/>
      <c r="BC542" s="3"/>
      <c r="BD542" s="3"/>
      <c r="BE542" s="3"/>
      <c r="BF542" s="3"/>
      <c r="BG542" s="3"/>
      <c r="BH542" s="3" t="s">
        <v>112</v>
      </c>
      <c r="BI542" s="3" t="str">
        <f>N649</f>
        <v>No</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No</v>
      </c>
      <c r="BJ543" s="3"/>
      <c r="BK543" s="3"/>
      <c r="BL543" s="3"/>
      <c r="BM543" s="3"/>
      <c r="BN543" s="3"/>
    </row>
    <row r="544" spans="1:66" ht="12.95" customHeight="1">
      <c r="A544" s="1262" t="s">
        <v>543</v>
      </c>
      <c r="B544" s="1262"/>
      <c r="C544" s="1262"/>
      <c r="D544" s="1262"/>
      <c r="E544" s="1262"/>
      <c r="F544" s="1262"/>
      <c r="G544" s="1262"/>
      <c r="H544" s="1262"/>
      <c r="I544" s="1262"/>
      <c r="J544" s="1262"/>
      <c r="K544" s="1262"/>
      <c r="L544" s="1262"/>
      <c r="M544" s="1262"/>
      <c r="N544" s="1262"/>
      <c r="O544" s="1262"/>
      <c r="P544" s="1262"/>
      <c r="Q544" s="1262"/>
      <c r="R544" s="1262"/>
      <c r="S544" s="1262"/>
      <c r="T544" s="1262"/>
      <c r="U544" s="1262"/>
      <c r="V544" s="1262"/>
      <c r="W544" s="1262"/>
      <c r="X544" s="1262"/>
      <c r="Y544" s="1262"/>
      <c r="Z544" s="1262"/>
      <c r="AA544" s="1262"/>
      <c r="AB544" s="1262"/>
      <c r="AC544" s="1262"/>
      <c r="AD544" s="1262"/>
      <c r="AE544" s="1262"/>
      <c r="AF544" s="1262"/>
      <c r="AG544" s="1262"/>
      <c r="AH544" s="1262"/>
      <c r="AI544" s="1262"/>
      <c r="AJ544" s="1262"/>
      <c r="AK544" s="1262"/>
      <c r="AL544" s="1262"/>
      <c r="AM544" s="1262"/>
      <c r="AN544" s="1262"/>
      <c r="AO544" s="1262"/>
      <c r="AP544" s="1262"/>
      <c r="AQ544" s="1262"/>
      <c r="AR544" s="1262"/>
      <c r="AS544" s="1262"/>
      <c r="AT544" s="1262"/>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2"/>
      <c r="B545" s="1262"/>
      <c r="C545" s="1262"/>
      <c r="D545" s="1262"/>
      <c r="E545" s="1262"/>
      <c r="F545" s="1262"/>
      <c r="G545" s="1262"/>
      <c r="H545" s="1262"/>
      <c r="I545" s="1262"/>
      <c r="J545" s="1262"/>
      <c r="K545" s="1262"/>
      <c r="L545" s="1262"/>
      <c r="M545" s="1262"/>
      <c r="N545" s="1262"/>
      <c r="O545" s="1262"/>
      <c r="P545" s="1262"/>
      <c r="Q545" s="1262"/>
      <c r="R545" s="1262"/>
      <c r="S545" s="1262"/>
      <c r="T545" s="1262"/>
      <c r="U545" s="1262"/>
      <c r="V545" s="1262"/>
      <c r="W545" s="1262"/>
      <c r="X545" s="1262"/>
      <c r="Y545" s="1262"/>
      <c r="Z545" s="1262"/>
      <c r="AA545" s="1262"/>
      <c r="AB545" s="1262"/>
      <c r="AC545" s="1262"/>
      <c r="AD545" s="1262"/>
      <c r="AE545" s="1262"/>
      <c r="AF545" s="1262"/>
      <c r="AG545" s="1262"/>
      <c r="AH545" s="1262"/>
      <c r="AI545" s="1262"/>
      <c r="AJ545" s="1262"/>
      <c r="AK545" s="1262"/>
      <c r="AL545" s="1262"/>
      <c r="AM545" s="1262"/>
      <c r="AN545" s="1262"/>
      <c r="AO545" s="1262"/>
      <c r="AP545" s="1262"/>
      <c r="AQ545" s="1262"/>
      <c r="AR545" s="1262"/>
      <c r="AS545" s="1262"/>
      <c r="AT545" s="1262"/>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492" t="s">
        <v>2103</v>
      </c>
      <c r="C551" s="1434"/>
      <c r="D551" s="1434"/>
      <c r="E551" s="1434"/>
      <c r="F551" s="1434"/>
      <c r="G551" s="1434"/>
      <c r="H551" s="1434"/>
      <c r="I551" s="1434"/>
      <c r="J551" s="1434"/>
      <c r="K551" s="1434"/>
      <c r="L551" s="1435"/>
      <c r="M551" s="1492" t="s">
        <v>2104</v>
      </c>
      <c r="N551" s="1434"/>
      <c r="O551" s="1434"/>
      <c r="P551" s="1435"/>
      <c r="Q551" s="1492" t="s">
        <v>2130</v>
      </c>
      <c r="R551" s="1434"/>
      <c r="S551" s="1435"/>
      <c r="T551" s="1492" t="s">
        <v>2131</v>
      </c>
      <c r="U551" s="1434"/>
      <c r="V551" s="1435"/>
      <c r="W551" s="1492" t="s">
        <v>453</v>
      </c>
      <c r="X551" s="1434"/>
      <c r="Y551" s="1435"/>
      <c r="Z551" s="1492" t="s">
        <v>1852</v>
      </c>
      <c r="AA551" s="1434"/>
      <c r="AB551" s="1434"/>
      <c r="AC551" s="1434"/>
      <c r="AD551" s="1435"/>
      <c r="AE551" s="1492" t="s">
        <v>1676</v>
      </c>
      <c r="AF551" s="1434"/>
      <c r="AG551" s="1434"/>
      <c r="AH551" s="1435"/>
      <c r="AI551" s="1492" t="s">
        <v>1677</v>
      </c>
      <c r="AJ551" s="1434"/>
      <c r="AK551" s="1434"/>
      <c r="AL551" s="1435"/>
      <c r="AM551" s="1492" t="s">
        <v>454</v>
      </c>
      <c r="AN551" s="1434"/>
      <c r="AO551" s="1434"/>
      <c r="AP551" s="1434"/>
      <c r="AQ551" s="1434"/>
      <c r="AR551" s="1434"/>
      <c r="AS551" s="1435"/>
      <c r="BB551" s="3"/>
      <c r="BC551" s="3"/>
      <c r="BD551" s="3"/>
      <c r="BE551" s="3"/>
      <c r="BF551" s="3"/>
      <c r="BG551" s="3"/>
      <c r="BH551" s="3" t="s">
        <v>581</v>
      </c>
      <c r="BI551" s="3" t="str">
        <f>AG657</f>
        <v>Yes</v>
      </c>
    </row>
    <row r="552" spans="1:61" ht="12.95" customHeight="1">
      <c r="B552" s="1493"/>
      <c r="C552" s="1436"/>
      <c r="D552" s="1436"/>
      <c r="E552" s="1436"/>
      <c r="F552" s="1436"/>
      <c r="G552" s="1436"/>
      <c r="H552" s="1436"/>
      <c r="I552" s="1436"/>
      <c r="J552" s="1436"/>
      <c r="K552" s="1436"/>
      <c r="L552" s="1437"/>
      <c r="M552" s="1493"/>
      <c r="N552" s="1436"/>
      <c r="O552" s="1436"/>
      <c r="P552" s="1437"/>
      <c r="Q552" s="1493"/>
      <c r="R552" s="1436"/>
      <c r="S552" s="1437"/>
      <c r="T552" s="1493"/>
      <c r="U552" s="1436"/>
      <c r="V552" s="1437"/>
      <c r="W552" s="1493"/>
      <c r="X552" s="1436"/>
      <c r="Y552" s="1437"/>
      <c r="Z552" s="1493"/>
      <c r="AA552" s="1436"/>
      <c r="AB552" s="1436"/>
      <c r="AC552" s="1436"/>
      <c r="AD552" s="1437"/>
      <c r="AE552" s="1493"/>
      <c r="AF552" s="1436"/>
      <c r="AG552" s="1436"/>
      <c r="AH552" s="1437"/>
      <c r="AI552" s="1493"/>
      <c r="AJ552" s="1436"/>
      <c r="AK552" s="1436"/>
      <c r="AL552" s="1437"/>
      <c r="AM552" s="1493"/>
      <c r="AN552" s="1436"/>
      <c r="AO552" s="1436"/>
      <c r="AP552" s="1436"/>
      <c r="AQ552" s="1436"/>
      <c r="AR552" s="1436"/>
      <c r="AS552" s="1437"/>
      <c r="AU552" s="1147"/>
      <c r="BB552" s="3"/>
      <c r="BC552" s="3"/>
      <c r="BD552" s="3"/>
      <c r="BE552" s="3"/>
      <c r="BF552" s="3"/>
      <c r="BG552" s="3"/>
      <c r="BH552" s="3"/>
      <c r="BI552" s="3"/>
    </row>
    <row r="553" spans="1:61" ht="12.95" customHeight="1">
      <c r="B553" s="1494"/>
      <c r="C553" s="1438"/>
      <c r="D553" s="1438"/>
      <c r="E553" s="1438"/>
      <c r="F553" s="1438"/>
      <c r="G553" s="1438"/>
      <c r="H553" s="1438"/>
      <c r="I553" s="1438"/>
      <c r="J553" s="1438"/>
      <c r="K553" s="1438"/>
      <c r="L553" s="1439"/>
      <c r="M553" s="1494"/>
      <c r="N553" s="1438"/>
      <c r="O553" s="1438"/>
      <c r="P553" s="1439"/>
      <c r="Q553" s="1494"/>
      <c r="R553" s="1438"/>
      <c r="S553" s="1439"/>
      <c r="T553" s="1494"/>
      <c r="U553" s="1438"/>
      <c r="V553" s="1439"/>
      <c r="W553" s="1494"/>
      <c r="X553" s="1438"/>
      <c r="Y553" s="1439"/>
      <c r="Z553" s="1494"/>
      <c r="AA553" s="1438"/>
      <c r="AB553" s="1438"/>
      <c r="AC553" s="1438"/>
      <c r="AD553" s="1439"/>
      <c r="AE553" s="1494"/>
      <c r="AF553" s="1438"/>
      <c r="AG553" s="1438"/>
      <c r="AH553" s="1439"/>
      <c r="AI553" s="1494"/>
      <c r="AJ553" s="1438"/>
      <c r="AK553" s="1438"/>
      <c r="AL553" s="1439"/>
      <c r="AM553" s="1494"/>
      <c r="AN553" s="1438"/>
      <c r="AO553" s="1438"/>
      <c r="AP553" s="1438"/>
      <c r="AQ553" s="1438"/>
      <c r="AR553" s="1438"/>
      <c r="AS553" s="1439"/>
      <c r="AU553" s="1147"/>
      <c r="BB553" s="3"/>
      <c r="BC553" s="3"/>
      <c r="BD553" s="3"/>
      <c r="BE553" s="3"/>
      <c r="BF553" s="3"/>
      <c r="BG553" s="3"/>
      <c r="BH553" s="3"/>
      <c r="BI553" s="3"/>
    </row>
    <row r="554" spans="1:61" ht="12.95" customHeight="1">
      <c r="B554" s="51" t="s">
        <v>112</v>
      </c>
      <c r="C554" s="1678" t="s">
        <v>2733</v>
      </c>
      <c r="D554" s="1678"/>
      <c r="E554" s="1678"/>
      <c r="F554" s="1678"/>
      <c r="G554" s="1678"/>
      <c r="H554" s="1678"/>
      <c r="I554" s="1678"/>
      <c r="J554" s="1678"/>
      <c r="K554" s="1678"/>
      <c r="L554" s="1678"/>
      <c r="M554" s="1678" t="s">
        <v>2120</v>
      </c>
      <c r="N554" s="1678"/>
      <c r="O554" s="1678"/>
      <c r="P554" s="1678"/>
      <c r="Q554" s="1686">
        <v>36</v>
      </c>
      <c r="R554" s="1686"/>
      <c r="S554" s="1687"/>
      <c r="T554" s="1685"/>
      <c r="U554" s="1686"/>
      <c r="V554" s="1687"/>
      <c r="W554" s="1679">
        <v>0.06</v>
      </c>
      <c r="X554" s="1680"/>
      <c r="Y554" s="1681"/>
      <c r="Z554" s="1677" t="s">
        <v>2738</v>
      </c>
      <c r="AA554" s="1677"/>
      <c r="AB554" s="1677"/>
      <c r="AC554" s="1677"/>
      <c r="AD554" s="1677"/>
      <c r="AE554" s="1482"/>
      <c r="AF554" s="1483"/>
      <c r="AG554" s="1483"/>
      <c r="AH554" s="1484"/>
      <c r="AI554" s="1682"/>
      <c r="AJ554" s="1683"/>
      <c r="AK554" s="1683"/>
      <c r="AL554" s="1684"/>
      <c r="AM554" s="1465">
        <f>36500000-500000</f>
        <v>36000000</v>
      </c>
      <c r="AN554" s="1466"/>
      <c r="AO554" s="1466"/>
      <c r="AP554" s="1466"/>
      <c r="AQ554" s="1466"/>
      <c r="AR554" s="1466"/>
      <c r="AS554" s="1467"/>
      <c r="AT554" s="1148"/>
      <c r="AU554" s="1147"/>
      <c r="BB554" s="3"/>
      <c r="BC554" s="3"/>
      <c r="BD554" s="3"/>
      <c r="BE554" s="3"/>
      <c r="BF554" s="3"/>
      <c r="BG554" s="3"/>
      <c r="BH554" s="3"/>
      <c r="BI554" s="3"/>
    </row>
    <row r="555" spans="1:61" ht="12.95" customHeight="1">
      <c r="B555" s="52" t="s">
        <v>113</v>
      </c>
      <c r="C555" s="1481" t="s">
        <v>2733</v>
      </c>
      <c r="D555" s="1481"/>
      <c r="E555" s="1481"/>
      <c r="F555" s="1481"/>
      <c r="G555" s="1481"/>
      <c r="H555" s="1481"/>
      <c r="I555" s="1481"/>
      <c r="J555" s="1481"/>
      <c r="K555" s="1481"/>
      <c r="L555" s="1481"/>
      <c r="M555" s="1678" t="s">
        <v>2119</v>
      </c>
      <c r="N555" s="1678"/>
      <c r="O555" s="1678"/>
      <c r="P555" s="1678"/>
      <c r="Q555" s="1685">
        <v>36</v>
      </c>
      <c r="R555" s="1686"/>
      <c r="S555" s="1687"/>
      <c r="T555" s="1685"/>
      <c r="U555" s="1686"/>
      <c r="V555" s="1687"/>
      <c r="W555" s="1679">
        <v>6.5000000000000002E-2</v>
      </c>
      <c r="X555" s="1680"/>
      <c r="Y555" s="1681"/>
      <c r="Z555" s="1677" t="s">
        <v>2738</v>
      </c>
      <c r="AA555" s="1677"/>
      <c r="AB555" s="1677"/>
      <c r="AC555" s="1677"/>
      <c r="AD555" s="1677"/>
      <c r="AE555" s="1482"/>
      <c r="AF555" s="1483"/>
      <c r="AG555" s="1483"/>
      <c r="AH555" s="1484"/>
      <c r="AI555" s="1682"/>
      <c r="AJ555" s="1683"/>
      <c r="AK555" s="1683"/>
      <c r="AL555" s="1684"/>
      <c r="AM555" s="1465">
        <f>19749970+500000</f>
        <v>20249970</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5" customHeight="1">
      <c r="B556" s="52" t="s">
        <v>119</v>
      </c>
      <c r="C556" s="1481" t="s">
        <v>2734</v>
      </c>
      <c r="D556" s="1481"/>
      <c r="E556" s="1481"/>
      <c r="F556" s="1481"/>
      <c r="G556" s="1481"/>
      <c r="H556" s="1481"/>
      <c r="I556" s="1481"/>
      <c r="J556" s="1481"/>
      <c r="K556" s="1481"/>
      <c r="L556" s="1481"/>
      <c r="M556" s="1678" t="s">
        <v>2116</v>
      </c>
      <c r="N556" s="1678"/>
      <c r="O556" s="1678"/>
      <c r="P556" s="1678"/>
      <c r="Q556" s="1685">
        <v>660</v>
      </c>
      <c r="R556" s="1686"/>
      <c r="S556" s="1687"/>
      <c r="T556" s="1685"/>
      <c r="U556" s="1686"/>
      <c r="V556" s="1687"/>
      <c r="W556" s="1679">
        <v>0.03</v>
      </c>
      <c r="X556" s="1680"/>
      <c r="Y556" s="1681"/>
      <c r="Z556" s="1677" t="s">
        <v>2739</v>
      </c>
      <c r="AA556" s="1677"/>
      <c r="AB556" s="1677"/>
      <c r="AC556" s="1677"/>
      <c r="AD556" s="1677"/>
      <c r="AE556" s="1482"/>
      <c r="AF556" s="1483"/>
      <c r="AG556" s="1483"/>
      <c r="AH556" s="1484"/>
      <c r="AI556" s="1682"/>
      <c r="AJ556" s="1683"/>
      <c r="AK556" s="1683"/>
      <c r="AL556" s="1684"/>
      <c r="AM556" s="1465">
        <v>6250000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5" customHeight="1">
      <c r="B557" s="52" t="s">
        <v>581</v>
      </c>
      <c r="C557" s="1481" t="s">
        <v>2735</v>
      </c>
      <c r="D557" s="1481"/>
      <c r="E557" s="1481"/>
      <c r="F557" s="1481"/>
      <c r="G557" s="1481"/>
      <c r="H557" s="1481"/>
      <c r="I557" s="1481"/>
      <c r="J557" s="1481"/>
      <c r="K557" s="1481"/>
      <c r="L557" s="1481"/>
      <c r="M557" s="1678" t="s">
        <v>2107</v>
      </c>
      <c r="N557" s="1678"/>
      <c r="O557" s="1678"/>
      <c r="P557" s="1678"/>
      <c r="Q557" s="1685"/>
      <c r="R557" s="1686"/>
      <c r="S557" s="1687"/>
      <c r="T557" s="1685"/>
      <c r="U557" s="1686"/>
      <c r="V557" s="1687"/>
      <c r="W557" s="1679"/>
      <c r="X557" s="1680"/>
      <c r="Y557" s="1681"/>
      <c r="Z557" s="1677" t="s">
        <v>591</v>
      </c>
      <c r="AA557" s="1677"/>
      <c r="AB557" s="1677"/>
      <c r="AC557" s="1677"/>
      <c r="AD557" s="1677"/>
      <c r="AE557" s="1482"/>
      <c r="AF557" s="1483"/>
      <c r="AG557" s="1483"/>
      <c r="AH557" s="1484"/>
      <c r="AI557" s="1682"/>
      <c r="AJ557" s="1683"/>
      <c r="AK557" s="1683"/>
      <c r="AL557" s="1684"/>
      <c r="AM557" s="1465">
        <f>6136186-818630+57357</f>
        <v>5374913</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2.95" customHeight="1">
      <c r="B558" s="52" t="s">
        <v>763</v>
      </c>
      <c r="C558" s="1481" t="s">
        <v>2736</v>
      </c>
      <c r="D558" s="1481"/>
      <c r="E558" s="1481"/>
      <c r="F558" s="1481"/>
      <c r="G558" s="1481"/>
      <c r="H558" s="1481"/>
      <c r="I558" s="1481"/>
      <c r="J558" s="1481"/>
      <c r="K558" s="1481"/>
      <c r="L558" s="1481"/>
      <c r="M558" s="1678" t="s">
        <v>2106</v>
      </c>
      <c r="N558" s="1678"/>
      <c r="O558" s="1678"/>
      <c r="P558" s="1678"/>
      <c r="Q558" s="1685"/>
      <c r="R558" s="1686"/>
      <c r="S558" s="1687"/>
      <c r="T558" s="1685"/>
      <c r="U558" s="1686"/>
      <c r="V558" s="1687"/>
      <c r="W558" s="1679"/>
      <c r="X558" s="1680"/>
      <c r="Y558" s="1681"/>
      <c r="Z558" s="1677" t="s">
        <v>591</v>
      </c>
      <c r="AA558" s="1677"/>
      <c r="AB558" s="1677"/>
      <c r="AC558" s="1677"/>
      <c r="AD558" s="1677"/>
      <c r="AE558" s="1482"/>
      <c r="AF558" s="1483"/>
      <c r="AG558" s="1483"/>
      <c r="AH558" s="1484"/>
      <c r="AI558" s="1682"/>
      <c r="AJ558" s="1683"/>
      <c r="AK558" s="1683"/>
      <c r="AL558" s="1684"/>
      <c r="AM558" s="1465">
        <v>1698006</v>
      </c>
      <c r="AN558" s="1466"/>
      <c r="AO558" s="1466"/>
      <c r="AP558" s="1466"/>
      <c r="AQ558" s="1466"/>
      <c r="AR558" s="1466"/>
      <c r="AS558" s="1467"/>
      <c r="AT558" s="1148" t="str">
        <f t="shared" ref="AT558:AT565" si="0">IF(AND(NOT(C557=""),C558="",NOT(C559="")),"!","")</f>
        <v/>
      </c>
      <c r="AU558" s="1147"/>
      <c r="BB558" s="3"/>
      <c r="BC558" s="3"/>
      <c r="BD558" s="3"/>
      <c r="BE558" s="3"/>
      <c r="BF558" s="3"/>
      <c r="BG558" s="3"/>
      <c r="BH558" s="3" t="s">
        <v>763</v>
      </c>
      <c r="BI558" s="3" t="str">
        <f>N665</f>
        <v>No</v>
      </c>
    </row>
    <row r="559" spans="1:61" ht="12.95" customHeight="1">
      <c r="B559" s="52" t="s">
        <v>584</v>
      </c>
      <c r="C559" s="1481" t="s">
        <v>2737</v>
      </c>
      <c r="D559" s="1481"/>
      <c r="E559" s="1481"/>
      <c r="F559" s="1481"/>
      <c r="G559" s="1481"/>
      <c r="H559" s="1481"/>
      <c r="I559" s="1481"/>
      <c r="J559" s="1481"/>
      <c r="K559" s="1481"/>
      <c r="L559" s="1481"/>
      <c r="M559" s="1678" t="s">
        <v>2111</v>
      </c>
      <c r="N559" s="1678"/>
      <c r="O559" s="1678"/>
      <c r="P559" s="1678"/>
      <c r="Q559" s="1685"/>
      <c r="R559" s="1686"/>
      <c r="S559" s="1687"/>
      <c r="T559" s="1685"/>
      <c r="U559" s="1686"/>
      <c r="V559" s="1687"/>
      <c r="W559" s="1679"/>
      <c r="X559" s="1680"/>
      <c r="Y559" s="1681"/>
      <c r="Z559" s="1677" t="s">
        <v>591</v>
      </c>
      <c r="AA559" s="1677"/>
      <c r="AB559" s="1677"/>
      <c r="AC559" s="1677"/>
      <c r="AD559" s="1677"/>
      <c r="AE559" s="1482"/>
      <c r="AF559" s="1483"/>
      <c r="AG559" s="1483"/>
      <c r="AH559" s="1484"/>
      <c r="AI559" s="1682"/>
      <c r="AJ559" s="1683"/>
      <c r="AK559" s="1683"/>
      <c r="AL559" s="1684"/>
      <c r="AM559" s="1465">
        <v>4359295</v>
      </c>
      <c r="AN559" s="1466"/>
      <c r="AO559" s="1466"/>
      <c r="AP559" s="1466"/>
      <c r="AQ559" s="1466"/>
      <c r="AR559" s="1466"/>
      <c r="AS559" s="1467"/>
      <c r="AT559" s="1148" t="str">
        <f t="shared" si="0"/>
        <v/>
      </c>
      <c r="AU559" s="1147"/>
      <c r="BB559" s="3"/>
      <c r="BC559" s="3"/>
      <c r="BD559" s="3"/>
      <c r="BE559" s="3"/>
      <c r="BF559" s="3"/>
      <c r="BG559" s="3"/>
      <c r="BH559" s="3" t="s">
        <v>584</v>
      </c>
      <c r="BI559" s="3" t="str">
        <f>AG665</f>
        <v>No</v>
      </c>
    </row>
    <row r="560" spans="1:61" ht="12.95" customHeight="1">
      <c r="B560" s="52" t="s">
        <v>455</v>
      </c>
      <c r="C560" s="1481"/>
      <c r="D560" s="1481"/>
      <c r="E560" s="1481"/>
      <c r="F560" s="1481"/>
      <c r="G560" s="1481"/>
      <c r="H560" s="1481"/>
      <c r="I560" s="1481"/>
      <c r="J560" s="1481"/>
      <c r="K560" s="1481"/>
      <c r="L560" s="1481"/>
      <c r="M560" s="1678" t="s">
        <v>1184</v>
      </c>
      <c r="N560" s="1678"/>
      <c r="O560" s="1678"/>
      <c r="P560" s="1678"/>
      <c r="Q560" s="1685"/>
      <c r="R560" s="1686"/>
      <c r="S560" s="1687"/>
      <c r="T560" s="1685"/>
      <c r="U560" s="1686"/>
      <c r="V560" s="1687"/>
      <c r="W560" s="1679"/>
      <c r="X560" s="1680"/>
      <c r="Y560" s="1681"/>
      <c r="Z560" s="1677" t="s">
        <v>1184</v>
      </c>
      <c r="AA560" s="1677"/>
      <c r="AB560" s="1677"/>
      <c r="AC560" s="1677"/>
      <c r="AD560" s="1677"/>
      <c r="AE560" s="1482"/>
      <c r="AF560" s="1483"/>
      <c r="AG560" s="1483"/>
      <c r="AH560" s="1484"/>
      <c r="AI560" s="1682"/>
      <c r="AJ560" s="1683"/>
      <c r="AK560" s="1683"/>
      <c r="AL560" s="1684"/>
      <c r="AM560" s="1465"/>
      <c r="AN560" s="1466"/>
      <c r="AO560" s="1466"/>
      <c r="AP560" s="1466"/>
      <c r="AQ560" s="1466"/>
      <c r="AR560" s="1466"/>
      <c r="AS560" s="1467"/>
      <c r="AT560" s="1148" t="str">
        <f t="shared" si="0"/>
        <v/>
      </c>
      <c r="AU560" s="1147"/>
      <c r="BB560" s="3"/>
      <c r="BC560" s="3"/>
      <c r="BD560" s="3"/>
      <c r="BE560" s="3"/>
      <c r="BF560" s="3"/>
      <c r="BG560" s="3"/>
      <c r="BH560" s="3"/>
      <c r="BI560" s="3"/>
    </row>
    <row r="561" spans="1:61" ht="12.95" customHeight="1">
      <c r="B561" s="52" t="s">
        <v>456</v>
      </c>
      <c r="C561" s="1481"/>
      <c r="D561" s="1481"/>
      <c r="E561" s="1481"/>
      <c r="F561" s="1481"/>
      <c r="G561" s="1481"/>
      <c r="H561" s="1481"/>
      <c r="I561" s="1481"/>
      <c r="J561" s="1481"/>
      <c r="K561" s="1481"/>
      <c r="L561" s="1481"/>
      <c r="M561" s="1678" t="s">
        <v>1184</v>
      </c>
      <c r="N561" s="1678"/>
      <c r="O561" s="1678"/>
      <c r="P561" s="1678"/>
      <c r="Q561" s="1685"/>
      <c r="R561" s="1686"/>
      <c r="S561" s="1687"/>
      <c r="T561" s="1685"/>
      <c r="U561" s="1686"/>
      <c r="V561" s="1687"/>
      <c r="W561" s="1679"/>
      <c r="X561" s="1680"/>
      <c r="Y561" s="1681"/>
      <c r="Z561" s="1677" t="s">
        <v>1184</v>
      </c>
      <c r="AA561" s="1677"/>
      <c r="AB561" s="1677"/>
      <c r="AC561" s="1677"/>
      <c r="AD561" s="1677"/>
      <c r="AE561" s="1482"/>
      <c r="AF561" s="1483"/>
      <c r="AG561" s="1483"/>
      <c r="AH561" s="1484"/>
      <c r="AI561" s="1682"/>
      <c r="AJ561" s="1683"/>
      <c r="AK561" s="1683"/>
      <c r="AL561" s="1684"/>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5" customHeight="1">
      <c r="B562" s="52" t="s">
        <v>461</v>
      </c>
      <c r="C562" s="1481"/>
      <c r="D562" s="1481"/>
      <c r="E562" s="1481"/>
      <c r="F562" s="1481"/>
      <c r="G562" s="1481"/>
      <c r="H562" s="1481"/>
      <c r="I562" s="1481"/>
      <c r="J562" s="1481"/>
      <c r="K562" s="1481"/>
      <c r="L562" s="1481"/>
      <c r="M562" s="1678" t="s">
        <v>1184</v>
      </c>
      <c r="N562" s="1678"/>
      <c r="O562" s="1678"/>
      <c r="P562" s="1678"/>
      <c r="Q562" s="1685"/>
      <c r="R562" s="1686"/>
      <c r="S562" s="1687"/>
      <c r="T562" s="1685"/>
      <c r="U562" s="1686"/>
      <c r="V562" s="1687"/>
      <c r="W562" s="1679"/>
      <c r="X562" s="1680"/>
      <c r="Y562" s="1681"/>
      <c r="Z562" s="1677" t="s">
        <v>1184</v>
      </c>
      <c r="AA562" s="1677"/>
      <c r="AB562" s="1677"/>
      <c r="AC562" s="1677"/>
      <c r="AD562" s="1677"/>
      <c r="AE562" s="1482"/>
      <c r="AF562" s="1483"/>
      <c r="AG562" s="1483"/>
      <c r="AH562" s="1484"/>
      <c r="AI562" s="1682"/>
      <c r="AJ562" s="1683"/>
      <c r="AK562" s="1683"/>
      <c r="AL562" s="1684"/>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5" customHeight="1">
      <c r="B563" s="52" t="s">
        <v>646</v>
      </c>
      <c r="C563" s="1481"/>
      <c r="D563" s="1481"/>
      <c r="E563" s="1481"/>
      <c r="F563" s="1481"/>
      <c r="G563" s="1481"/>
      <c r="H563" s="1481"/>
      <c r="I563" s="1481"/>
      <c r="J563" s="1481"/>
      <c r="K563" s="1481"/>
      <c r="L563" s="1481"/>
      <c r="M563" s="1678" t="s">
        <v>1184</v>
      </c>
      <c r="N563" s="1678"/>
      <c r="O563" s="1678"/>
      <c r="P563" s="1678"/>
      <c r="Q563" s="1685"/>
      <c r="R563" s="1686"/>
      <c r="S563" s="1687"/>
      <c r="T563" s="1685"/>
      <c r="U563" s="1686"/>
      <c r="V563" s="1687"/>
      <c r="W563" s="1679"/>
      <c r="X563" s="1680"/>
      <c r="Y563" s="1681"/>
      <c r="Z563" s="1677" t="s">
        <v>1184</v>
      </c>
      <c r="AA563" s="1677"/>
      <c r="AB563" s="1677"/>
      <c r="AC563" s="1677"/>
      <c r="AD563" s="1677"/>
      <c r="AE563" s="1482"/>
      <c r="AF563" s="1483"/>
      <c r="AG563" s="1483"/>
      <c r="AH563" s="1484"/>
      <c r="AI563" s="1682"/>
      <c r="AJ563" s="1683"/>
      <c r="AK563" s="1683"/>
      <c r="AL563" s="1684"/>
      <c r="AM563" s="1465"/>
      <c r="AN563" s="1466"/>
      <c r="AO563" s="1466"/>
      <c r="AP563" s="1466"/>
      <c r="AQ563" s="1466"/>
      <c r="AR563" s="1466"/>
      <c r="AS563" s="1467"/>
      <c r="AT563" s="1148" t="str">
        <f t="shared" si="0"/>
        <v/>
      </c>
      <c r="BB563" s="3"/>
      <c r="BC563" s="3"/>
      <c r="BD563" s="3"/>
      <c r="BE563" s="3"/>
      <c r="BF563" s="3"/>
      <c r="BG563" s="3"/>
      <c r="BH563" s="3"/>
      <c r="BI563" s="3"/>
    </row>
    <row r="564" spans="1:61" ht="12.95" customHeight="1">
      <c r="B564" s="52" t="s">
        <v>361</v>
      </c>
      <c r="C564" s="1481"/>
      <c r="D564" s="1481"/>
      <c r="E564" s="1481"/>
      <c r="F564" s="1481"/>
      <c r="G564" s="1481"/>
      <c r="H564" s="1481"/>
      <c r="I564" s="1481"/>
      <c r="J564" s="1481"/>
      <c r="K564" s="1481"/>
      <c r="L564" s="1481"/>
      <c r="M564" s="1678" t="s">
        <v>1184</v>
      </c>
      <c r="N564" s="1678"/>
      <c r="O564" s="1678"/>
      <c r="P564" s="1678"/>
      <c r="Q564" s="1685"/>
      <c r="R564" s="1686"/>
      <c r="S564" s="1687"/>
      <c r="T564" s="1685"/>
      <c r="U564" s="1686"/>
      <c r="V564" s="1687"/>
      <c r="W564" s="1679"/>
      <c r="X564" s="1680"/>
      <c r="Y564" s="1681"/>
      <c r="Z564" s="1677" t="s">
        <v>1184</v>
      </c>
      <c r="AA564" s="1677"/>
      <c r="AB564" s="1677"/>
      <c r="AC564" s="1677"/>
      <c r="AD564" s="1677"/>
      <c r="AE564" s="1482"/>
      <c r="AF564" s="1483"/>
      <c r="AG564" s="1483"/>
      <c r="AH564" s="1484"/>
      <c r="AI564" s="1682"/>
      <c r="AJ564" s="1683"/>
      <c r="AK564" s="1683"/>
      <c r="AL564" s="1684"/>
      <c r="AM564" s="1465"/>
      <c r="AN564" s="1466"/>
      <c r="AO564" s="1466"/>
      <c r="AP564" s="1466"/>
      <c r="AQ564" s="1466"/>
      <c r="AR564" s="1466"/>
      <c r="AS564" s="1467"/>
      <c r="AT564" s="1148" t="str">
        <f t="shared" si="0"/>
        <v/>
      </c>
      <c r="BB564" s="3"/>
      <c r="BC564" s="3"/>
      <c r="BD564" s="3"/>
      <c r="BE564" s="3"/>
      <c r="BF564" s="3"/>
      <c r="BG564" s="3"/>
      <c r="BH564" s="3"/>
      <c r="BI564" s="3"/>
    </row>
    <row r="565" spans="1:61" ht="12.95" customHeight="1">
      <c r="B565" s="52" t="s">
        <v>362</v>
      </c>
      <c r="C565" s="1481"/>
      <c r="D565" s="1481"/>
      <c r="E565" s="1481"/>
      <c r="F565" s="1481"/>
      <c r="G565" s="1481"/>
      <c r="H565" s="1481"/>
      <c r="I565" s="1481"/>
      <c r="J565" s="1481"/>
      <c r="K565" s="1481"/>
      <c r="L565" s="1481"/>
      <c r="M565" s="1678" t="s">
        <v>1184</v>
      </c>
      <c r="N565" s="1678"/>
      <c r="O565" s="1678"/>
      <c r="P565" s="1678"/>
      <c r="Q565" s="1685"/>
      <c r="R565" s="1686"/>
      <c r="S565" s="1687"/>
      <c r="T565" s="1685"/>
      <c r="U565" s="1686"/>
      <c r="V565" s="1687"/>
      <c r="W565" s="1679"/>
      <c r="X565" s="1680"/>
      <c r="Y565" s="1681"/>
      <c r="Z565" s="1677" t="s">
        <v>1184</v>
      </c>
      <c r="AA565" s="1677"/>
      <c r="AB565" s="1677"/>
      <c r="AC565" s="1677"/>
      <c r="AD565" s="1677"/>
      <c r="AE565" s="1482"/>
      <c r="AF565" s="1483"/>
      <c r="AG565" s="1483"/>
      <c r="AH565" s="1484"/>
      <c r="AI565" s="1682"/>
      <c r="AJ565" s="1683"/>
      <c r="AK565" s="1683"/>
      <c r="AL565" s="1684"/>
      <c r="AM565" s="1465"/>
      <c r="AN565" s="1466"/>
      <c r="AO565" s="1466"/>
      <c r="AP565" s="1466"/>
      <c r="AQ565" s="1466"/>
      <c r="AR565" s="1466"/>
      <c r="AS565" s="1467"/>
      <c r="AT565" s="1148" t="str">
        <f t="shared" si="0"/>
        <v/>
      </c>
      <c r="BB565" s="3"/>
      <c r="BC565" s="3"/>
      <c r="BD565" s="3"/>
      <c r="BE565" s="3"/>
      <c r="BF565" s="3"/>
      <c r="BG565" s="3"/>
      <c r="BH565" s="3"/>
      <c r="BI565" s="3"/>
    </row>
    <row r="566" spans="1:61" ht="12.95" customHeight="1">
      <c r="B566" s="1508" t="s">
        <v>127</v>
      </c>
      <c r="C566" s="1509"/>
      <c r="D566" s="1509"/>
      <c r="E566" s="1509"/>
      <c r="F566" s="1509"/>
      <c r="G566" s="1509"/>
      <c r="H566" s="1509"/>
      <c r="I566" s="1509"/>
      <c r="J566" s="1509"/>
      <c r="K566" s="1509"/>
      <c r="L566" s="1509"/>
      <c r="M566" s="1509"/>
      <c r="N566" s="1509"/>
      <c r="O566" s="1509"/>
      <c r="P566" s="1509"/>
      <c r="Q566" s="1509"/>
      <c r="R566" s="1509"/>
      <c r="S566" s="1509"/>
      <c r="T566" s="1509"/>
      <c r="U566" s="1626"/>
      <c r="V566" s="1509"/>
      <c r="W566" s="1509"/>
      <c r="X566" s="1509"/>
      <c r="Y566" s="1509"/>
      <c r="Z566" s="1509"/>
      <c r="AA566" s="1509"/>
      <c r="AB566" s="1509"/>
      <c r="AC566" s="1509"/>
      <c r="AD566" s="1509"/>
      <c r="AE566" s="1509"/>
      <c r="AF566" s="1509"/>
      <c r="AG566" s="1509"/>
      <c r="AH566" s="1509"/>
      <c r="AI566" s="1509"/>
      <c r="AJ566" s="1509"/>
      <c r="AK566" s="1509"/>
      <c r="AL566" s="1510"/>
      <c r="AM566" s="1495">
        <f>SUM(AM554:AS565)</f>
        <v>73932184</v>
      </c>
      <c r="AN566" s="1496"/>
      <c r="AO566" s="1496"/>
      <c r="AP566" s="1496"/>
      <c r="AQ566" s="1496"/>
      <c r="AR566" s="1496"/>
      <c r="AS566" s="1497"/>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474" t="str">
        <f>C554</f>
        <v>Citibank</v>
      </c>
      <c r="H568" s="1474"/>
      <c r="I568" s="1474"/>
      <c r="J568" s="1474"/>
      <c r="K568" s="1474"/>
      <c r="L568" s="1474"/>
      <c r="M568" s="1474"/>
      <c r="N568" s="1474"/>
      <c r="O568" s="1474"/>
      <c r="P568" s="1474"/>
      <c r="Q568" s="1474"/>
      <c r="R568" s="1474"/>
      <c r="S568" s="8"/>
      <c r="T568" s="55" t="s">
        <v>113</v>
      </c>
      <c r="U568" t="s">
        <v>463</v>
      </c>
      <c r="Z568" s="1474" t="str">
        <f>C555</f>
        <v>Citibank</v>
      </c>
      <c r="AA568" s="1474"/>
      <c r="AB568" s="1474"/>
      <c r="AC568" s="1474"/>
      <c r="AD568" s="1474"/>
      <c r="AE568" s="1474"/>
      <c r="AF568" s="1474"/>
      <c r="AG568" s="1474"/>
      <c r="AH568" s="1474"/>
      <c r="AI568" s="1474"/>
      <c r="AJ568" s="1474"/>
      <c r="AK568" s="1474"/>
      <c r="BB568" s="3"/>
      <c r="BC568" s="3"/>
      <c r="BD568" s="3"/>
      <c r="BE568" s="3"/>
      <c r="BF568" s="3"/>
      <c r="BG568" s="3"/>
      <c r="BH568" s="3"/>
      <c r="BI568" s="3"/>
    </row>
    <row r="569" spans="1:61" ht="12.95" customHeight="1">
      <c r="A569" s="22"/>
      <c r="B569" t="s">
        <v>85</v>
      </c>
      <c r="G569" s="1485" t="s">
        <v>2740</v>
      </c>
      <c r="H569" s="1485"/>
      <c r="I569" s="1485"/>
      <c r="J569" s="1485"/>
      <c r="K569" s="1485"/>
      <c r="L569" s="1485"/>
      <c r="M569" s="1485"/>
      <c r="N569" s="1485"/>
      <c r="O569" s="1485"/>
      <c r="P569" s="1485"/>
      <c r="Q569" s="1485"/>
      <c r="R569" s="1485"/>
      <c r="S569" s="8"/>
      <c r="T569" s="22"/>
      <c r="U569" t="s">
        <v>85</v>
      </c>
      <c r="Z569" s="1485" t="s">
        <v>2740</v>
      </c>
      <c r="AA569" s="1485"/>
      <c r="AB569" s="1485"/>
      <c r="AC569" s="1485"/>
      <c r="AD569" s="1485"/>
      <c r="AE569" s="1485"/>
      <c r="AF569" s="1485"/>
      <c r="AG569" s="1485"/>
      <c r="AH569" s="1485"/>
      <c r="AI569" s="1485"/>
      <c r="AJ569" s="1485"/>
      <c r="AK569" s="1485"/>
      <c r="BB569" s="3"/>
      <c r="BC569" s="3"/>
      <c r="BD569" s="3"/>
      <c r="BE569" s="3"/>
      <c r="BF569" s="3"/>
      <c r="BG569" s="3"/>
      <c r="BH569" s="3"/>
      <c r="BI569" s="3"/>
    </row>
    <row r="570" spans="1:61" ht="12.95" customHeight="1">
      <c r="A570" s="22"/>
      <c r="B570" t="s">
        <v>580</v>
      </c>
      <c r="G570" s="1485" t="s">
        <v>2741</v>
      </c>
      <c r="H570" s="1485"/>
      <c r="I570" s="1485"/>
      <c r="J570" s="1485"/>
      <c r="K570" s="1485"/>
      <c r="L570" s="1485"/>
      <c r="M570" s="1485"/>
      <c r="N570" s="1485"/>
      <c r="O570" s="1485"/>
      <c r="P570" s="1485"/>
      <c r="Q570" s="1485"/>
      <c r="R570" s="1485"/>
      <c r="T570" s="22"/>
      <c r="U570" t="s">
        <v>580</v>
      </c>
      <c r="Z570" s="1480" t="s">
        <v>2741</v>
      </c>
      <c r="AA570" s="1480"/>
      <c r="AB570" s="1480"/>
      <c r="AC570" s="1480"/>
      <c r="AD570" s="1480"/>
      <c r="AE570" s="1480"/>
      <c r="AF570" s="1480"/>
      <c r="AG570" s="1480"/>
      <c r="AH570" s="1480"/>
      <c r="AI570" s="1480"/>
      <c r="AJ570" s="1480"/>
      <c r="AK570" s="1480"/>
      <c r="BB570" s="3"/>
      <c r="BC570" s="3"/>
      <c r="BD570" s="3"/>
      <c r="BE570" s="3"/>
      <c r="BF570" s="3"/>
      <c r="BG570" s="3"/>
      <c r="BH570" s="3"/>
      <c r="BI570" s="3"/>
    </row>
    <row r="571" spans="1:61" ht="12.95" customHeight="1">
      <c r="A571" s="22"/>
      <c r="B571" t="s">
        <v>17</v>
      </c>
      <c r="G571" s="1485" t="s">
        <v>2742</v>
      </c>
      <c r="H571" s="1485"/>
      <c r="I571" s="1485"/>
      <c r="J571" s="1485"/>
      <c r="K571" s="1485"/>
      <c r="L571" s="1485"/>
      <c r="M571" s="1485"/>
      <c r="N571" s="1485"/>
      <c r="O571" s="1485"/>
      <c r="P571" s="1485"/>
      <c r="Q571" s="1485"/>
      <c r="R571" s="1485"/>
      <c r="S571" s="8"/>
      <c r="T571" s="22"/>
      <c r="U571" t="s">
        <v>17</v>
      </c>
      <c r="Z571" s="1480" t="s">
        <v>2742</v>
      </c>
      <c r="AA571" s="1480"/>
      <c r="AB571" s="1480"/>
      <c r="AC571" s="1480"/>
      <c r="AD571" s="1480"/>
      <c r="AE571" s="1480"/>
      <c r="AF571" s="1480"/>
      <c r="AG571" s="1480"/>
      <c r="AH571" s="1480"/>
      <c r="AI571" s="1480"/>
      <c r="AJ571" s="1480"/>
      <c r="AK571" s="1480"/>
      <c r="BB571" s="3"/>
      <c r="BC571" s="3"/>
      <c r="BD571" s="3"/>
      <c r="BE571" s="3"/>
      <c r="BF571" s="3"/>
      <c r="BG571" s="3"/>
      <c r="BH571" s="3"/>
      <c r="BI571" s="3"/>
    </row>
    <row r="572" spans="1:61" ht="12.95" customHeight="1">
      <c r="A572" s="22"/>
      <c r="B572" t="s">
        <v>315</v>
      </c>
      <c r="G572" s="1478" t="s">
        <v>2743</v>
      </c>
      <c r="H572" s="1479"/>
      <c r="I572" s="1479"/>
      <c r="J572" s="1479"/>
      <c r="K572" s="1479"/>
      <c r="L572" s="1479"/>
      <c r="O572" s="33" t="s">
        <v>205</v>
      </c>
      <c r="P572" s="1440"/>
      <c r="Q572" s="1440"/>
      <c r="R572" s="1440"/>
      <c r="S572" s="10"/>
      <c r="T572" s="22"/>
      <c r="U572" t="s">
        <v>315</v>
      </c>
      <c r="Z572" s="1478" t="s">
        <v>2743</v>
      </c>
      <c r="AA572" s="1479"/>
      <c r="AB572" s="1479"/>
      <c r="AC572" s="1479"/>
      <c r="AD572" s="1479"/>
      <c r="AE572" s="1479"/>
      <c r="AH572" s="33" t="s">
        <v>205</v>
      </c>
      <c r="AI572" s="1440"/>
      <c r="AJ572" s="1440"/>
      <c r="AK572" s="1440"/>
      <c r="BB572" s="3"/>
      <c r="BC572" s="3"/>
      <c r="BD572" s="3"/>
      <c r="BE572" s="3"/>
      <c r="BF572" s="3"/>
      <c r="BG572" s="3"/>
      <c r="BH572" s="3"/>
      <c r="BI572" s="3"/>
    </row>
    <row r="573" spans="1:61" ht="12.95" customHeight="1">
      <c r="A573" s="22"/>
      <c r="B573" t="s">
        <v>18</v>
      </c>
      <c r="H573" s="1485" t="s">
        <v>2744</v>
      </c>
      <c r="I573" s="1485"/>
      <c r="J573" s="1485"/>
      <c r="K573" s="1485"/>
      <c r="L573" s="1485"/>
      <c r="M573" s="1485"/>
      <c r="N573" s="1485"/>
      <c r="O573" s="1485"/>
      <c r="P573" s="1485"/>
      <c r="Q573" s="1485"/>
      <c r="R573" s="1485"/>
      <c r="S573" s="8"/>
      <c r="T573" s="22"/>
      <c r="U573" t="s">
        <v>18</v>
      </c>
      <c r="AA573" s="1485" t="s">
        <v>2745</v>
      </c>
      <c r="AB573" s="1485"/>
      <c r="AC573" s="1485"/>
      <c r="AD573" s="1485"/>
      <c r="AE573" s="1485"/>
      <c r="AF573" s="1485"/>
      <c r="AG573" s="1485"/>
      <c r="AH573" s="1485"/>
      <c r="AI573" s="1485"/>
      <c r="AJ573" s="1485"/>
      <c r="AK573" s="1485"/>
      <c r="BB573" s="3"/>
      <c r="BC573" s="3"/>
      <c r="BD573" s="3"/>
      <c r="BE573" s="3"/>
      <c r="BF573" s="3"/>
      <c r="BG573" s="3"/>
      <c r="BH573" s="3"/>
      <c r="BI573" s="3"/>
    </row>
    <row r="574" spans="1:61" ht="12.95" customHeight="1">
      <c r="A574" s="22"/>
      <c r="B574" s="320" t="s">
        <v>1185</v>
      </c>
      <c r="H574" s="8"/>
      <c r="I574" s="8"/>
      <c r="J574" s="8"/>
      <c r="K574" s="8"/>
      <c r="L574" s="8"/>
      <c r="M574" s="1675"/>
      <c r="N574" s="1675"/>
      <c r="O574" s="1675"/>
      <c r="P574" s="1675"/>
      <c r="Q574" s="1675"/>
      <c r="R574" s="1675"/>
      <c r="S574" s="8"/>
      <c r="T574" s="22"/>
      <c r="U574" s="320" t="s">
        <v>1185</v>
      </c>
      <c r="AA574" s="8"/>
      <c r="AB574" s="8"/>
      <c r="AC574" s="8"/>
      <c r="AD574" s="8"/>
      <c r="AE574" s="8"/>
      <c r="AF574" s="1675"/>
      <c r="AG574" s="1675"/>
      <c r="AH574" s="1675"/>
      <c r="AI574" s="1675"/>
      <c r="AJ574" s="1675"/>
      <c r="AK574" s="1675"/>
      <c r="BB574" s="3"/>
      <c r="BC574" s="3"/>
      <c r="BD574" s="3"/>
      <c r="BE574" s="3"/>
      <c r="BF574" s="3"/>
      <c r="BG574" s="3"/>
      <c r="BH574" s="3"/>
      <c r="BI574" s="3"/>
    </row>
    <row r="575" spans="1:61" ht="12.95" customHeight="1">
      <c r="A575" s="22"/>
      <c r="B575" t="s">
        <v>20</v>
      </c>
      <c r="N575" s="1351" t="s">
        <v>545</v>
      </c>
      <c r="O575" s="1351"/>
      <c r="T575" s="22"/>
      <c r="U575" t="s">
        <v>20</v>
      </c>
      <c r="AG575" s="1351" t="s">
        <v>545</v>
      </c>
      <c r="AH575" s="1351"/>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474" t="str">
        <f>C556</f>
        <v>County of Marin HTF Loan</v>
      </c>
      <c r="H577" s="1474"/>
      <c r="I577" s="1474"/>
      <c r="J577" s="1474"/>
      <c r="K577" s="1474"/>
      <c r="L577" s="1474"/>
      <c r="M577" s="1474"/>
      <c r="N577" s="1474"/>
      <c r="O577" s="1474"/>
      <c r="P577" s="1474"/>
      <c r="Q577" s="1474"/>
      <c r="R577" s="1474"/>
      <c r="T577" s="55" t="s">
        <v>581</v>
      </c>
      <c r="U577" t="s">
        <v>463</v>
      </c>
      <c r="Z577" s="1474" t="str">
        <f>C557</f>
        <v>Deferred developer fee</v>
      </c>
      <c r="AA577" s="1474"/>
      <c r="AB577" s="1474"/>
      <c r="AC577" s="1474"/>
      <c r="AD577" s="1474"/>
      <c r="AE577" s="1474"/>
      <c r="AF577" s="1474"/>
      <c r="AG577" s="1474"/>
      <c r="AH577" s="1474"/>
      <c r="AI577" s="1474"/>
      <c r="AJ577" s="1474"/>
      <c r="AK577" s="1474"/>
      <c r="BB577" s="3"/>
      <c r="BC577" s="3"/>
    </row>
    <row r="578" spans="1:55" ht="12.95" customHeight="1">
      <c r="A578" s="22"/>
      <c r="B578" t="s">
        <v>85</v>
      </c>
      <c r="G578" s="1485" t="s">
        <v>2746</v>
      </c>
      <c r="H578" s="1485"/>
      <c r="I578" s="1485"/>
      <c r="J578" s="1485"/>
      <c r="K578" s="1485"/>
      <c r="L578" s="1485"/>
      <c r="M578" s="1485"/>
      <c r="N578" s="1485"/>
      <c r="O578" s="1485"/>
      <c r="P578" s="1485"/>
      <c r="Q578" s="1485"/>
      <c r="R578" s="1485"/>
      <c r="T578" s="22"/>
      <c r="U578" t="s">
        <v>85</v>
      </c>
      <c r="Z578" s="1485" t="s">
        <v>2751</v>
      </c>
      <c r="AA578" s="1485"/>
      <c r="AB578" s="1485"/>
      <c r="AC578" s="1485"/>
      <c r="AD578" s="1485"/>
      <c r="AE578" s="1485"/>
      <c r="AF578" s="1485"/>
      <c r="AG578" s="1485"/>
      <c r="AH578" s="1485"/>
      <c r="AI578" s="1485"/>
      <c r="AJ578" s="1485"/>
      <c r="AK578" s="1485"/>
      <c r="BB578" s="3"/>
      <c r="BC578" s="3"/>
    </row>
    <row r="579" spans="1:55" ht="12.95" customHeight="1">
      <c r="A579" s="22"/>
      <c r="B579" t="s">
        <v>580</v>
      </c>
      <c r="G579" s="1480" t="s">
        <v>2747</v>
      </c>
      <c r="H579" s="1480"/>
      <c r="I579" s="1480"/>
      <c r="J579" s="1480"/>
      <c r="K579" s="1480"/>
      <c r="L579" s="1480"/>
      <c r="M579" s="1480"/>
      <c r="N579" s="1480"/>
      <c r="O579" s="1480"/>
      <c r="P579" s="1480"/>
      <c r="Q579" s="1480"/>
      <c r="R579" s="1480"/>
      <c r="T579" s="22"/>
      <c r="U579" t="s">
        <v>580</v>
      </c>
      <c r="Z579" s="1480" t="s">
        <v>2752</v>
      </c>
      <c r="AA579" s="1480"/>
      <c r="AB579" s="1480"/>
      <c r="AC579" s="1480"/>
      <c r="AD579" s="1480"/>
      <c r="AE579" s="1480"/>
      <c r="AF579" s="1480"/>
      <c r="AG579" s="1480"/>
      <c r="AH579" s="1480"/>
      <c r="AI579" s="1480"/>
      <c r="AJ579" s="1480"/>
      <c r="AK579" s="1480"/>
      <c r="BB579" s="3"/>
      <c r="BC579" s="3"/>
    </row>
    <row r="580" spans="1:55" ht="12.95" customHeight="1">
      <c r="A580" s="22"/>
      <c r="B580" t="s">
        <v>17</v>
      </c>
      <c r="G580" s="1480" t="s">
        <v>2748</v>
      </c>
      <c r="H580" s="1480"/>
      <c r="I580" s="1480"/>
      <c r="J580" s="1480"/>
      <c r="K580" s="1480"/>
      <c r="L580" s="1480"/>
      <c r="M580" s="1480"/>
      <c r="N580" s="1480"/>
      <c r="O580" s="1480"/>
      <c r="P580" s="1480"/>
      <c r="Q580" s="1480"/>
      <c r="R580" s="1480"/>
      <c r="T580" s="22"/>
      <c r="U580" t="s">
        <v>17</v>
      </c>
      <c r="Z580" s="1480" t="s">
        <v>2753</v>
      </c>
      <c r="AA580" s="1480"/>
      <c r="AB580" s="1480"/>
      <c r="AC580" s="1480"/>
      <c r="AD580" s="1480"/>
      <c r="AE580" s="1480"/>
      <c r="AF580" s="1480"/>
      <c r="AG580" s="1480"/>
      <c r="AH580" s="1480"/>
      <c r="AI580" s="1480"/>
      <c r="AJ580" s="1480"/>
      <c r="AK580" s="1480"/>
      <c r="BB580" s="3"/>
      <c r="BC580" s="3"/>
    </row>
    <row r="581" spans="1:55" ht="12.95" customHeight="1">
      <c r="A581" s="22"/>
      <c r="B581" t="s">
        <v>315</v>
      </c>
      <c r="G581" s="1478" t="s">
        <v>2749</v>
      </c>
      <c r="H581" s="1479"/>
      <c r="I581" s="1479"/>
      <c r="J581" s="1479"/>
      <c r="K581" s="1479"/>
      <c r="L581" s="1479"/>
      <c r="O581" s="33" t="s">
        <v>205</v>
      </c>
      <c r="P581" s="1440"/>
      <c r="Q581" s="1440"/>
      <c r="R581" s="1440"/>
      <c r="T581" s="22"/>
      <c r="U581" t="s">
        <v>315</v>
      </c>
      <c r="Z581" s="1478" t="s">
        <v>2754</v>
      </c>
      <c r="AA581" s="1479"/>
      <c r="AB581" s="1479"/>
      <c r="AC581" s="1479"/>
      <c r="AD581" s="1479"/>
      <c r="AE581" s="1479"/>
      <c r="AH581" s="33" t="s">
        <v>205</v>
      </c>
      <c r="AI581" s="1440"/>
      <c r="AJ581" s="1440"/>
      <c r="AK581" s="1440"/>
      <c r="BB581" s="3"/>
      <c r="BC581" s="3"/>
    </row>
    <row r="582" spans="1:55" ht="12.95" customHeight="1">
      <c r="A582" s="22"/>
      <c r="B582" t="s">
        <v>18</v>
      </c>
      <c r="H582" s="1485" t="s">
        <v>2750</v>
      </c>
      <c r="I582" s="1485"/>
      <c r="J582" s="1485"/>
      <c r="K582" s="1485"/>
      <c r="L582" s="1485"/>
      <c r="M582" s="1485"/>
      <c r="N582" s="1485"/>
      <c r="O582" s="1485"/>
      <c r="P582" s="1485"/>
      <c r="Q582" s="1485"/>
      <c r="R582" s="1485"/>
      <c r="T582" s="22"/>
      <c r="U582" t="s">
        <v>18</v>
      </c>
      <c r="AA582" s="1485" t="s">
        <v>2755</v>
      </c>
      <c r="AB582" s="1485"/>
      <c r="AC582" s="1485"/>
      <c r="AD582" s="1485"/>
      <c r="AE582" s="1485"/>
      <c r="AF582" s="1485"/>
      <c r="AG582" s="1485"/>
      <c r="AH582" s="1485"/>
      <c r="AI582" s="1485"/>
      <c r="AJ582" s="1485"/>
      <c r="AK582" s="1485"/>
      <c r="BB582" s="3"/>
      <c r="BC582" s="3"/>
    </row>
    <row r="583" spans="1:55" ht="12.95" customHeight="1">
      <c r="A583" s="22"/>
      <c r="B583" t="s">
        <v>20</v>
      </c>
      <c r="N583" s="1351" t="s">
        <v>545</v>
      </c>
      <c r="O583" s="1351"/>
      <c r="T583" s="22"/>
      <c r="U583" t="s">
        <v>20</v>
      </c>
      <c r="AG583" s="1351" t="s">
        <v>545</v>
      </c>
      <c r="AH583" s="1351"/>
      <c r="BB583" s="3"/>
      <c r="BC583" s="3"/>
    </row>
    <row r="584" spans="1:55" ht="12.95" customHeight="1">
      <c r="A584" s="22"/>
      <c r="T584" s="22"/>
      <c r="BB584" s="3"/>
      <c r="BC584" s="3"/>
    </row>
    <row r="585" spans="1:55" ht="12.95" customHeight="1">
      <c r="A585" s="55" t="s">
        <v>763</v>
      </c>
      <c r="B585" t="s">
        <v>463</v>
      </c>
      <c r="G585" s="1474" t="str">
        <f>C558</f>
        <v>Deferred reserves</v>
      </c>
      <c r="H585" s="1474"/>
      <c r="I585" s="1474"/>
      <c r="J585" s="1474"/>
      <c r="K585" s="1474"/>
      <c r="L585" s="1474"/>
      <c r="M585" s="1474"/>
      <c r="N585" s="1474"/>
      <c r="O585" s="1474"/>
      <c r="P585" s="1474"/>
      <c r="Q585" s="1474"/>
      <c r="R585" s="1474"/>
      <c r="T585" s="55" t="s">
        <v>584</v>
      </c>
      <c r="U585" t="s">
        <v>463</v>
      </c>
      <c r="Z585" s="1474" t="str">
        <f>C559</f>
        <v>LIHTC Equity</v>
      </c>
      <c r="AA585" s="1474"/>
      <c r="AB585" s="1474"/>
      <c r="AC585" s="1474"/>
      <c r="AD585" s="1474"/>
      <c r="AE585" s="1474"/>
      <c r="AF585" s="1474"/>
      <c r="AG585" s="1474"/>
      <c r="AH585" s="1474"/>
      <c r="AI585" s="1474"/>
      <c r="AJ585" s="1474"/>
      <c r="AK585" s="1474"/>
      <c r="BB585" s="3"/>
      <c r="BC585" s="3"/>
    </row>
    <row r="586" spans="1:55" ht="12.95" customHeight="1">
      <c r="A586" s="22"/>
      <c r="B586" t="s">
        <v>85</v>
      </c>
      <c r="G586" s="1485"/>
      <c r="H586" s="1485"/>
      <c r="I586" s="1485"/>
      <c r="J586" s="1485"/>
      <c r="K586" s="1485"/>
      <c r="L586" s="1485"/>
      <c r="M586" s="1485"/>
      <c r="N586" s="1485"/>
      <c r="O586" s="1485"/>
      <c r="P586" s="1485"/>
      <c r="Q586" s="1485"/>
      <c r="R586" s="1485"/>
      <c r="T586" s="22"/>
      <c r="U586" t="s">
        <v>85</v>
      </c>
      <c r="Z586" s="1485"/>
      <c r="AA586" s="1485"/>
      <c r="AB586" s="1485"/>
      <c r="AC586" s="1485"/>
      <c r="AD586" s="1485"/>
      <c r="AE586" s="1485"/>
      <c r="AF586" s="1485"/>
      <c r="AG586" s="1485"/>
      <c r="AH586" s="1485"/>
      <c r="AI586" s="1485"/>
      <c r="AJ586" s="1485"/>
      <c r="AK586" s="1485"/>
      <c r="BB586" s="3"/>
      <c r="BC586" s="3"/>
    </row>
    <row r="587" spans="1:55" ht="12.95" customHeight="1">
      <c r="A587" s="22"/>
      <c r="B587" t="s">
        <v>580</v>
      </c>
      <c r="G587" s="1485"/>
      <c r="H587" s="1485"/>
      <c r="I587" s="1485"/>
      <c r="J587" s="1485"/>
      <c r="K587" s="1485"/>
      <c r="L587" s="1485"/>
      <c r="M587" s="1485"/>
      <c r="N587" s="1485"/>
      <c r="O587" s="1485"/>
      <c r="P587" s="1485"/>
      <c r="Q587" s="1485"/>
      <c r="R587" s="1485"/>
      <c r="T587" s="22"/>
      <c r="U587" t="s">
        <v>580</v>
      </c>
      <c r="Z587" s="1480"/>
      <c r="AA587" s="1480"/>
      <c r="AB587" s="1480"/>
      <c r="AC587" s="1480"/>
      <c r="AD587" s="1480"/>
      <c r="AE587" s="1480"/>
      <c r="AF587" s="1480"/>
      <c r="AG587" s="1480"/>
      <c r="AH587" s="1480"/>
      <c r="AI587" s="1480"/>
      <c r="AJ587" s="1480"/>
      <c r="AK587" s="1480"/>
      <c r="BB587" s="3"/>
      <c r="BC587" s="3"/>
    </row>
    <row r="588" spans="1:55" ht="12.95" customHeight="1">
      <c r="A588" s="22"/>
      <c r="B588" t="s">
        <v>17</v>
      </c>
      <c r="G588" s="1485"/>
      <c r="H588" s="1485"/>
      <c r="I588" s="1485"/>
      <c r="J588" s="1485"/>
      <c r="K588" s="1485"/>
      <c r="L588" s="1485"/>
      <c r="M588" s="1485"/>
      <c r="N588" s="1485"/>
      <c r="O588" s="1485"/>
      <c r="P588" s="1485"/>
      <c r="Q588" s="1485"/>
      <c r="R588" s="1485"/>
      <c r="T588" s="22"/>
      <c r="U588" t="s">
        <v>17</v>
      </c>
      <c r="Z588" s="1480"/>
      <c r="AA588" s="1480"/>
      <c r="AB588" s="1480"/>
      <c r="AC588" s="1480"/>
      <c r="AD588" s="1480"/>
      <c r="AE588" s="1480"/>
      <c r="AF588" s="1480"/>
      <c r="AG588" s="1480"/>
      <c r="AH588" s="1480"/>
      <c r="AI588" s="1480"/>
      <c r="AJ588" s="1480"/>
      <c r="AK588" s="1480"/>
    </row>
    <row r="589" spans="1:55" ht="12.95" customHeight="1">
      <c r="A589" s="22"/>
      <c r="B589" t="s">
        <v>315</v>
      </c>
      <c r="G589" s="1479"/>
      <c r="H589" s="1479"/>
      <c r="I589" s="1479"/>
      <c r="J589" s="1479"/>
      <c r="K589" s="1479"/>
      <c r="L589" s="1479"/>
      <c r="O589" s="33" t="s">
        <v>205</v>
      </c>
      <c r="P589" s="1440"/>
      <c r="Q589" s="1440"/>
      <c r="R589" s="1440"/>
      <c r="T589" s="22"/>
      <c r="U589" t="s">
        <v>315</v>
      </c>
      <c r="Z589" s="1479"/>
      <c r="AA589" s="1479"/>
      <c r="AB589" s="1479"/>
      <c r="AC589" s="1479"/>
      <c r="AD589" s="1479"/>
      <c r="AE589" s="1479"/>
      <c r="AH589" s="33" t="s">
        <v>205</v>
      </c>
      <c r="AI589" s="1440"/>
      <c r="AJ589" s="1440"/>
      <c r="AK589" s="1440"/>
      <c r="AZ589" s="3"/>
      <c r="BA589" s="3"/>
      <c r="BB589" s="3"/>
      <c r="BC589" s="3"/>
    </row>
    <row r="590" spans="1:55" ht="12.95" customHeight="1">
      <c r="A590" s="22"/>
      <c r="B590" t="s">
        <v>18</v>
      </c>
      <c r="H590" s="1485"/>
      <c r="I590" s="1485"/>
      <c r="J590" s="1485"/>
      <c r="K590" s="1485"/>
      <c r="L590" s="1485"/>
      <c r="M590" s="1485"/>
      <c r="N590" s="1485"/>
      <c r="O590" s="1485"/>
      <c r="P590" s="1485"/>
      <c r="Q590" s="1485"/>
      <c r="R590" s="1485"/>
      <c r="T590" s="22"/>
      <c r="U590" t="s">
        <v>18</v>
      </c>
      <c r="AA590" s="1485"/>
      <c r="AB590" s="1485"/>
      <c r="AC590" s="1485"/>
      <c r="AD590" s="1485"/>
      <c r="AE590" s="1485"/>
      <c r="AF590" s="1485"/>
      <c r="AG590" s="1485"/>
      <c r="AH590" s="1485"/>
      <c r="AI590" s="1485"/>
      <c r="AJ590" s="1485"/>
      <c r="AK590" s="1485"/>
      <c r="AZ590" s="3"/>
      <c r="BA590" s="3"/>
      <c r="BB590" s="3"/>
      <c r="BC590" s="3"/>
    </row>
    <row r="591" spans="1:55" ht="12.95" customHeight="1">
      <c r="A591" s="22"/>
      <c r="B591" t="s">
        <v>20</v>
      </c>
      <c r="N591" s="1351" t="s">
        <v>669</v>
      </c>
      <c r="O591" s="1351"/>
      <c r="T591" s="22"/>
      <c r="U591" t="s">
        <v>20</v>
      </c>
      <c r="AG591" s="1351" t="s">
        <v>669</v>
      </c>
      <c r="AH591" s="1351"/>
      <c r="AZ591" s="3"/>
      <c r="BA591" s="3"/>
      <c r="BB591" s="3"/>
      <c r="BC591" s="3"/>
    </row>
    <row r="592" spans="1:55" ht="12.95" customHeight="1">
      <c r="A592" s="22"/>
      <c r="T592" s="22"/>
      <c r="AZ592" s="3"/>
      <c r="BA592" s="3"/>
      <c r="BB592" s="3"/>
      <c r="BC592" s="3"/>
    </row>
    <row r="593" spans="1:55" ht="12.95" customHeight="1">
      <c r="A593" s="55" t="s">
        <v>455</v>
      </c>
      <c r="B593" t="s">
        <v>463</v>
      </c>
      <c r="G593" s="1474">
        <f>C560</f>
        <v>0</v>
      </c>
      <c r="H593" s="1474"/>
      <c r="I593" s="1474"/>
      <c r="J593" s="1474"/>
      <c r="K593" s="1474"/>
      <c r="L593" s="1474"/>
      <c r="M593" s="1474"/>
      <c r="N593" s="1474"/>
      <c r="O593" s="1474"/>
      <c r="P593" s="1474"/>
      <c r="Q593" s="1474"/>
      <c r="R593" s="1474"/>
      <c r="T593" s="55" t="s">
        <v>456</v>
      </c>
      <c r="U593" t="s">
        <v>463</v>
      </c>
      <c r="Z593" s="1474">
        <f>C561</f>
        <v>0</v>
      </c>
      <c r="AA593" s="1474"/>
      <c r="AB593" s="1474"/>
      <c r="AC593" s="1474"/>
      <c r="AD593" s="1474"/>
      <c r="AE593" s="1474"/>
      <c r="AF593" s="1474"/>
      <c r="AG593" s="1474"/>
      <c r="AH593" s="1474"/>
      <c r="AI593" s="1474"/>
      <c r="AJ593" s="1474"/>
      <c r="AK593" s="1474"/>
      <c r="AZ593" s="3"/>
      <c r="BA593" s="3"/>
      <c r="BB593" s="3"/>
      <c r="BC593" s="3"/>
    </row>
    <row r="594" spans="1:55" s="4" customFormat="1" ht="12.95" customHeight="1">
      <c r="A594" s="22"/>
      <c r="B594" t="s">
        <v>85</v>
      </c>
      <c r="C594"/>
      <c r="D594"/>
      <c r="E594"/>
      <c r="F594"/>
      <c r="G594" s="1485"/>
      <c r="H594" s="1485"/>
      <c r="I594" s="1485"/>
      <c r="J594" s="1485"/>
      <c r="K594" s="1485"/>
      <c r="L594" s="1485"/>
      <c r="M594" s="1485"/>
      <c r="N594" s="1485"/>
      <c r="O594" s="1485"/>
      <c r="P594" s="1485"/>
      <c r="Q594" s="1485"/>
      <c r="R594" s="1485"/>
      <c r="S594"/>
      <c r="T594" s="22"/>
      <c r="U594" t="s">
        <v>85</v>
      </c>
      <c r="V594"/>
      <c r="W594"/>
      <c r="X594"/>
      <c r="Y594"/>
      <c r="Z594" s="1485"/>
      <c r="AA594" s="1485"/>
      <c r="AB594" s="1485"/>
      <c r="AC594" s="1485"/>
      <c r="AD594" s="1485"/>
      <c r="AE594" s="1485"/>
      <c r="AF594" s="1485"/>
      <c r="AG594" s="1485"/>
      <c r="AH594" s="1485"/>
      <c r="AI594" s="1485"/>
      <c r="AJ594" s="1485"/>
      <c r="AK594" s="1485"/>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485"/>
      <c r="H595" s="1485"/>
      <c r="I595" s="1485"/>
      <c r="J595" s="1485"/>
      <c r="K595" s="1485"/>
      <c r="L595" s="1485"/>
      <c r="M595" s="1485"/>
      <c r="N595" s="1485"/>
      <c r="O595" s="1485"/>
      <c r="P595" s="1485"/>
      <c r="Q595" s="1485"/>
      <c r="R595" s="1485"/>
      <c r="S595"/>
      <c r="T595" s="22"/>
      <c r="U595" t="s">
        <v>580</v>
      </c>
      <c r="V595"/>
      <c r="W595"/>
      <c r="X595"/>
      <c r="Y595"/>
      <c r="Z595" s="1480"/>
      <c r="AA595" s="1480"/>
      <c r="AB595" s="1480"/>
      <c r="AC595" s="1480"/>
      <c r="AD595" s="1480"/>
      <c r="AE595" s="1480"/>
      <c r="AF595" s="1480"/>
      <c r="AG595" s="1480"/>
      <c r="AH595" s="1480"/>
      <c r="AI595" s="1480"/>
      <c r="AJ595" s="1480"/>
      <c r="AK595" s="1480"/>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85"/>
      <c r="H596" s="1485"/>
      <c r="I596" s="1485"/>
      <c r="J596" s="1485"/>
      <c r="K596" s="1485"/>
      <c r="L596" s="1485"/>
      <c r="M596" s="1485"/>
      <c r="N596" s="1485"/>
      <c r="O596" s="1485"/>
      <c r="P596" s="1485"/>
      <c r="Q596" s="1485"/>
      <c r="R596" s="1485"/>
      <c r="S596"/>
      <c r="T596" s="22"/>
      <c r="U596" t="s">
        <v>17</v>
      </c>
      <c r="V596"/>
      <c r="W596"/>
      <c r="X596"/>
      <c r="Y596"/>
      <c r="Z596" s="1480"/>
      <c r="AA596" s="1480"/>
      <c r="AB596" s="1480"/>
      <c r="AC596" s="1480"/>
      <c r="AD596" s="1480"/>
      <c r="AE596" s="1480"/>
      <c r="AF596" s="1480"/>
      <c r="AG596" s="1480"/>
      <c r="AH596" s="1480"/>
      <c r="AI596" s="1480"/>
      <c r="AJ596" s="1480"/>
      <c r="AK596" s="1480"/>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479"/>
      <c r="H597" s="1479"/>
      <c r="I597" s="1479"/>
      <c r="J597" s="1479"/>
      <c r="K597" s="1479"/>
      <c r="L597" s="1479"/>
      <c r="M597"/>
      <c r="N597"/>
      <c r="O597" s="33" t="s">
        <v>205</v>
      </c>
      <c r="P597" s="1440"/>
      <c r="Q597" s="1440"/>
      <c r="R597" s="1440"/>
      <c r="S597"/>
      <c r="T597" s="22"/>
      <c r="U597" t="s">
        <v>315</v>
      </c>
      <c r="V597"/>
      <c r="W597"/>
      <c r="X597"/>
      <c r="Y597"/>
      <c r="Z597" s="1479"/>
      <c r="AA597" s="1479"/>
      <c r="AB597" s="1479"/>
      <c r="AC597" s="1479"/>
      <c r="AD597" s="1479"/>
      <c r="AE597" s="1479"/>
      <c r="AF597"/>
      <c r="AG597"/>
      <c r="AH597" s="33" t="s">
        <v>205</v>
      </c>
      <c r="AI597" s="1440"/>
      <c r="AJ597" s="1440"/>
      <c r="AK597" s="1440"/>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85"/>
      <c r="I598" s="1485"/>
      <c r="J598" s="1485"/>
      <c r="K598" s="1485"/>
      <c r="L598" s="1485"/>
      <c r="M598" s="1485"/>
      <c r="N598" s="1485"/>
      <c r="O598" s="1485"/>
      <c r="P598" s="1485"/>
      <c r="Q598" s="1485"/>
      <c r="R598" s="1485"/>
      <c r="S598"/>
      <c r="T598" s="22"/>
      <c r="U598" t="s">
        <v>18</v>
      </c>
      <c r="V598"/>
      <c r="W598"/>
      <c r="X598"/>
      <c r="Y598"/>
      <c r="Z598"/>
      <c r="AA598" s="1485"/>
      <c r="AB598" s="1485"/>
      <c r="AC598" s="1485"/>
      <c r="AD598" s="1485"/>
      <c r="AE598" s="1485"/>
      <c r="AF598" s="1485"/>
      <c r="AG598" s="1485"/>
      <c r="AH598" s="1485"/>
      <c r="AI598" s="1485"/>
      <c r="AJ598" s="1485"/>
      <c r="AK598" s="1485"/>
      <c r="AL598"/>
      <c r="AM598"/>
      <c r="AN598"/>
      <c r="AO598"/>
      <c r="AP598"/>
      <c r="AQ598"/>
      <c r="AR598"/>
      <c r="AS598"/>
      <c r="AT598"/>
      <c r="AU598"/>
      <c r="AV598"/>
      <c r="AW598"/>
      <c r="AX598"/>
      <c r="AY598"/>
      <c r="BB598" s="3"/>
      <c r="BC598" s="3"/>
    </row>
    <row r="599" spans="1:55" ht="12.95" customHeight="1">
      <c r="A599" s="22"/>
      <c r="B599" t="s">
        <v>20</v>
      </c>
      <c r="N599" s="1351" t="s">
        <v>669</v>
      </c>
      <c r="O599" s="1351"/>
      <c r="T599" s="22"/>
      <c r="U599" t="s">
        <v>20</v>
      </c>
      <c r="AG599" s="1351" t="s">
        <v>669</v>
      </c>
      <c r="AH599" s="1351"/>
      <c r="BB599" s="3"/>
      <c r="BC599" s="3"/>
    </row>
    <row r="600" spans="1:55" ht="12.95" customHeight="1">
      <c r="A600" s="22"/>
      <c r="T600" s="22"/>
      <c r="BB600" s="3"/>
      <c r="BC600" s="3"/>
    </row>
    <row r="601" spans="1:55" ht="12.95" customHeight="1">
      <c r="A601" s="55" t="s">
        <v>461</v>
      </c>
      <c r="B601" t="s">
        <v>463</v>
      </c>
      <c r="G601" s="1474">
        <f>C562</f>
        <v>0</v>
      </c>
      <c r="H601" s="1474"/>
      <c r="I601" s="1474"/>
      <c r="J601" s="1474"/>
      <c r="K601" s="1474"/>
      <c r="L601" s="1474"/>
      <c r="M601" s="1474"/>
      <c r="N601" s="1474"/>
      <c r="O601" s="1474"/>
      <c r="P601" s="1474"/>
      <c r="Q601" s="1474"/>
      <c r="R601" s="1474"/>
      <c r="T601" s="55" t="s">
        <v>646</v>
      </c>
      <c r="U601" t="s">
        <v>463</v>
      </c>
      <c r="Z601" s="1474">
        <f>C563</f>
        <v>0</v>
      </c>
      <c r="AA601" s="1474"/>
      <c r="AB601" s="1474"/>
      <c r="AC601" s="1474"/>
      <c r="AD601" s="1474"/>
      <c r="AE601" s="1474"/>
      <c r="AF601" s="1474"/>
      <c r="AG601" s="1474"/>
      <c r="AH601" s="1474"/>
      <c r="AI601" s="1474"/>
      <c r="AJ601" s="1474"/>
      <c r="AK601" s="1474"/>
      <c r="BB601" s="3"/>
      <c r="BC601" s="3"/>
    </row>
    <row r="602" spans="1:55" ht="12.95" customHeight="1">
      <c r="A602" s="22"/>
      <c r="B602" t="s">
        <v>85</v>
      </c>
      <c r="G602" s="1485"/>
      <c r="H602" s="1485"/>
      <c r="I602" s="1485"/>
      <c r="J602" s="1485"/>
      <c r="K602" s="1485"/>
      <c r="L602" s="1485"/>
      <c r="M602" s="1485"/>
      <c r="N602" s="1485"/>
      <c r="O602" s="1485"/>
      <c r="P602" s="1485"/>
      <c r="Q602" s="1485"/>
      <c r="R602" s="1485"/>
      <c r="T602" s="22"/>
      <c r="U602" t="s">
        <v>85</v>
      </c>
      <c r="Z602" s="1485"/>
      <c r="AA602" s="1485"/>
      <c r="AB602" s="1485"/>
      <c r="AC602" s="1485"/>
      <c r="AD602" s="1485"/>
      <c r="AE602" s="1485"/>
      <c r="AF602" s="1485"/>
      <c r="AG602" s="1485"/>
      <c r="AH602" s="1485"/>
      <c r="AI602" s="1485"/>
      <c r="AJ602" s="1485"/>
      <c r="AK602" s="1485"/>
      <c r="AZ602" s="3"/>
      <c r="BA602" s="3"/>
      <c r="BB602" s="3"/>
      <c r="BC602" s="3"/>
    </row>
    <row r="603" spans="1:55" ht="12.95" customHeight="1">
      <c r="A603" s="22"/>
      <c r="B603" t="s">
        <v>580</v>
      </c>
      <c r="G603" s="1485"/>
      <c r="H603" s="1485"/>
      <c r="I603" s="1485"/>
      <c r="J603" s="1485"/>
      <c r="K603" s="1485"/>
      <c r="L603" s="1485"/>
      <c r="M603" s="1485"/>
      <c r="N603" s="1485"/>
      <c r="O603" s="1485"/>
      <c r="P603" s="1485"/>
      <c r="Q603" s="1485"/>
      <c r="R603" s="1485"/>
      <c r="T603" s="22"/>
      <c r="U603" t="s">
        <v>580</v>
      </c>
      <c r="Z603" s="1480"/>
      <c r="AA603" s="1480"/>
      <c r="AB603" s="1480"/>
      <c r="AC603" s="1480"/>
      <c r="AD603" s="1480"/>
      <c r="AE603" s="1480"/>
      <c r="AF603" s="1480"/>
      <c r="AG603" s="1480"/>
      <c r="AH603" s="1480"/>
      <c r="AI603" s="1480"/>
      <c r="AJ603" s="1480"/>
      <c r="AK603" s="1480"/>
      <c r="AZ603" s="3"/>
      <c r="BA603" s="3"/>
      <c r="BB603" s="3"/>
      <c r="BC603" s="3"/>
    </row>
    <row r="604" spans="1:55" ht="12.95" customHeight="1">
      <c r="A604" s="22"/>
      <c r="B604" t="s">
        <v>17</v>
      </c>
      <c r="G604" s="1485"/>
      <c r="H604" s="1485"/>
      <c r="I604" s="1485"/>
      <c r="J604" s="1485"/>
      <c r="K604" s="1485"/>
      <c r="L604" s="1485"/>
      <c r="M604" s="1485"/>
      <c r="N604" s="1485"/>
      <c r="O604" s="1485"/>
      <c r="P604" s="1485"/>
      <c r="Q604" s="1485"/>
      <c r="R604" s="1485"/>
      <c r="T604" s="22"/>
      <c r="U604" t="s">
        <v>17</v>
      </c>
      <c r="Z604" s="1480"/>
      <c r="AA604" s="1480"/>
      <c r="AB604" s="1480"/>
      <c r="AC604" s="1480"/>
      <c r="AD604" s="1480"/>
      <c r="AE604" s="1480"/>
      <c r="AF604" s="1480"/>
      <c r="AG604" s="1480"/>
      <c r="AH604" s="1480"/>
      <c r="AI604" s="1480"/>
      <c r="AJ604" s="1480"/>
      <c r="AK604" s="1480"/>
      <c r="AZ604" s="3"/>
      <c r="BA604" s="3"/>
      <c r="BB604" s="3"/>
      <c r="BC604" s="3"/>
    </row>
    <row r="605" spans="1:55" s="4" customFormat="1" ht="12.95" customHeight="1">
      <c r="A605" s="22"/>
      <c r="B605" t="s">
        <v>315</v>
      </c>
      <c r="C605"/>
      <c r="D605"/>
      <c r="E605"/>
      <c r="F605"/>
      <c r="G605" s="1479"/>
      <c r="H605" s="1479"/>
      <c r="I605" s="1479"/>
      <c r="J605" s="1479"/>
      <c r="K605" s="1479"/>
      <c r="L605" s="1479"/>
      <c r="M605"/>
      <c r="N605"/>
      <c r="O605" s="33" t="s">
        <v>205</v>
      </c>
      <c r="P605" s="1440"/>
      <c r="Q605" s="1440"/>
      <c r="R605" s="1440"/>
      <c r="S605"/>
      <c r="T605" s="22"/>
      <c r="U605" t="s">
        <v>315</v>
      </c>
      <c r="V605"/>
      <c r="W605"/>
      <c r="X605"/>
      <c r="Y605"/>
      <c r="Z605" s="1479"/>
      <c r="AA605" s="1479"/>
      <c r="AB605" s="1479"/>
      <c r="AC605" s="1479"/>
      <c r="AD605" s="1479"/>
      <c r="AE605" s="1479"/>
      <c r="AF605"/>
      <c r="AG605"/>
      <c r="AH605" s="33" t="s">
        <v>205</v>
      </c>
      <c r="AI605" s="1440"/>
      <c r="AJ605" s="1440"/>
      <c r="AK605" s="1440"/>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85"/>
      <c r="I606" s="1485"/>
      <c r="J606" s="1485"/>
      <c r="K606" s="1485"/>
      <c r="L606" s="1485"/>
      <c r="M606" s="1485"/>
      <c r="N606" s="1485"/>
      <c r="O606" s="1485"/>
      <c r="P606" s="1485"/>
      <c r="Q606" s="1485"/>
      <c r="R606" s="1485"/>
      <c r="S606"/>
      <c r="T606" s="22"/>
      <c r="U606" t="s">
        <v>18</v>
      </c>
      <c r="V606"/>
      <c r="W606"/>
      <c r="X606"/>
      <c r="Y606"/>
      <c r="Z606"/>
      <c r="AA606" s="1485"/>
      <c r="AB606" s="1485"/>
      <c r="AC606" s="1485"/>
      <c r="AD606" s="1485"/>
      <c r="AE606" s="1485"/>
      <c r="AF606" s="1485"/>
      <c r="AG606" s="1485"/>
      <c r="AH606" s="1485"/>
      <c r="AI606" s="1485"/>
      <c r="AJ606" s="1485"/>
      <c r="AK606" s="1485"/>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51" t="s">
        <v>669</v>
      </c>
      <c r="O607" s="1351"/>
      <c r="P607"/>
      <c r="Q607"/>
      <c r="R607"/>
      <c r="S607"/>
      <c r="T607" s="22"/>
      <c r="U607" t="s">
        <v>20</v>
      </c>
      <c r="V607"/>
      <c r="W607"/>
      <c r="X607"/>
      <c r="Y607"/>
      <c r="Z607"/>
      <c r="AA607"/>
      <c r="AB607"/>
      <c r="AC607"/>
      <c r="AD607"/>
      <c r="AE607"/>
      <c r="AF607"/>
      <c r="AG607" s="1351" t="s">
        <v>669</v>
      </c>
      <c r="AH607" s="1351"/>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474">
        <f>C564</f>
        <v>0</v>
      </c>
      <c r="H609" s="1474"/>
      <c r="I609" s="1474"/>
      <c r="J609" s="1474"/>
      <c r="K609" s="1474"/>
      <c r="L609" s="1474"/>
      <c r="M609" s="1474"/>
      <c r="N609" s="1474"/>
      <c r="O609" s="1474"/>
      <c r="P609" s="1474"/>
      <c r="Q609" s="1474"/>
      <c r="R609" s="1474"/>
      <c r="T609" s="55" t="s">
        <v>362</v>
      </c>
      <c r="U609" t="s">
        <v>463</v>
      </c>
      <c r="Z609" s="1474">
        <f>C565</f>
        <v>0</v>
      </c>
      <c r="AA609" s="1474"/>
      <c r="AB609" s="1474"/>
      <c r="AC609" s="1474"/>
      <c r="AD609" s="1474"/>
      <c r="AE609" s="1474"/>
      <c r="AF609" s="1474"/>
      <c r="AG609" s="1474"/>
      <c r="AH609" s="1474"/>
      <c r="AI609" s="1474"/>
      <c r="AJ609" s="1474"/>
      <c r="AK609" s="1474"/>
      <c r="AZ609" s="3"/>
      <c r="BA609" s="3"/>
      <c r="BB609" s="3"/>
      <c r="BC609" s="3"/>
    </row>
    <row r="610" spans="1:55" ht="12.95" customHeight="1">
      <c r="B610" t="s">
        <v>85</v>
      </c>
      <c r="G610" s="1485"/>
      <c r="H610" s="1485"/>
      <c r="I610" s="1485"/>
      <c r="J610" s="1485"/>
      <c r="K610" s="1485"/>
      <c r="L610" s="1485"/>
      <c r="M610" s="1485"/>
      <c r="N610" s="1485"/>
      <c r="O610" s="1485"/>
      <c r="P610" s="1485"/>
      <c r="Q610" s="1485"/>
      <c r="R610" s="1485"/>
      <c r="U610" t="s">
        <v>85</v>
      </c>
      <c r="Z610" s="1485"/>
      <c r="AA610" s="1485"/>
      <c r="AB610" s="1485"/>
      <c r="AC610" s="1485"/>
      <c r="AD610" s="1485"/>
      <c r="AE610" s="1485"/>
      <c r="AF610" s="1485"/>
      <c r="AG610" s="1485"/>
      <c r="AH610" s="1485"/>
      <c r="AI610" s="1485"/>
      <c r="AJ610" s="1485"/>
      <c r="AK610" s="1485"/>
      <c r="AZ610" s="3"/>
      <c r="BA610" s="3"/>
      <c r="BB610" s="3"/>
      <c r="BC610" s="3"/>
    </row>
    <row r="611" spans="1:55" ht="12.95" customHeight="1">
      <c r="B611" t="s">
        <v>580</v>
      </c>
      <c r="G611" s="1485"/>
      <c r="H611" s="1485"/>
      <c r="I611" s="1485"/>
      <c r="J611" s="1485"/>
      <c r="K611" s="1485"/>
      <c r="L611" s="1485"/>
      <c r="M611" s="1485"/>
      <c r="N611" s="1485"/>
      <c r="O611" s="1485"/>
      <c r="P611" s="1485"/>
      <c r="Q611" s="1485"/>
      <c r="R611" s="1485"/>
      <c r="U611" t="s">
        <v>580</v>
      </c>
      <c r="Z611" s="1480"/>
      <c r="AA611" s="1480"/>
      <c r="AB611" s="1480"/>
      <c r="AC611" s="1480"/>
      <c r="AD611" s="1480"/>
      <c r="AE611" s="1480"/>
      <c r="AF611" s="1480"/>
      <c r="AG611" s="1480"/>
      <c r="AH611" s="1480"/>
      <c r="AI611" s="1480"/>
      <c r="AJ611" s="1480"/>
      <c r="AK611" s="1480"/>
      <c r="AZ611" s="3"/>
      <c r="BA611" s="3"/>
      <c r="BB611" s="3"/>
      <c r="BC611" s="3"/>
    </row>
    <row r="612" spans="1:55" ht="12.95" customHeight="1">
      <c r="B612" t="s">
        <v>17</v>
      </c>
      <c r="G612" s="1485"/>
      <c r="H612" s="1485"/>
      <c r="I612" s="1485"/>
      <c r="J612" s="1485"/>
      <c r="K612" s="1485"/>
      <c r="L612" s="1485"/>
      <c r="M612" s="1485"/>
      <c r="N612" s="1485"/>
      <c r="O612" s="1485"/>
      <c r="P612" s="1485"/>
      <c r="Q612" s="1485"/>
      <c r="R612" s="1485"/>
      <c r="U612" t="s">
        <v>17</v>
      </c>
      <c r="Z612" s="1480"/>
      <c r="AA612" s="1480"/>
      <c r="AB612" s="1480"/>
      <c r="AC612" s="1480"/>
      <c r="AD612" s="1480"/>
      <c r="AE612" s="1480"/>
      <c r="AF612" s="1480"/>
      <c r="AG612" s="1480"/>
      <c r="AH612" s="1480"/>
      <c r="AI612" s="1480"/>
      <c r="AJ612" s="1480"/>
      <c r="AK612" s="1480"/>
      <c r="AZ612" s="3"/>
      <c r="BA612" s="3"/>
      <c r="BB612" s="3"/>
      <c r="BC612" s="3"/>
    </row>
    <row r="613" spans="1:55" ht="12.95" customHeight="1">
      <c r="B613" t="s">
        <v>315</v>
      </c>
      <c r="G613" s="1479"/>
      <c r="H613" s="1479"/>
      <c r="I613" s="1479"/>
      <c r="J613" s="1479"/>
      <c r="K613" s="1479"/>
      <c r="L613" s="1479"/>
      <c r="O613" s="33" t="s">
        <v>205</v>
      </c>
      <c r="P613" s="1440"/>
      <c r="Q613" s="1440"/>
      <c r="R613" s="1440"/>
      <c r="U613" t="s">
        <v>315</v>
      </c>
      <c r="Z613" s="1479"/>
      <c r="AA613" s="1479"/>
      <c r="AB613" s="1479"/>
      <c r="AC613" s="1479"/>
      <c r="AD613" s="1479"/>
      <c r="AE613" s="1479"/>
      <c r="AH613" s="33" t="s">
        <v>205</v>
      </c>
      <c r="AI613" s="1440"/>
      <c r="AJ613" s="1440"/>
      <c r="AK613" s="1440"/>
      <c r="AZ613" s="3"/>
      <c r="BA613" s="3"/>
      <c r="BB613" s="3"/>
      <c r="BC613" s="3"/>
    </row>
    <row r="614" spans="1:55" ht="12.95" customHeight="1">
      <c r="B614" t="s">
        <v>18</v>
      </c>
      <c r="H614" s="1485"/>
      <c r="I614" s="1485"/>
      <c r="J614" s="1485"/>
      <c r="K614" s="1485"/>
      <c r="L614" s="1485"/>
      <c r="M614" s="1485"/>
      <c r="N614" s="1485"/>
      <c r="O614" s="1485"/>
      <c r="P614" s="1485"/>
      <c r="Q614" s="1485"/>
      <c r="R614" s="1485"/>
      <c r="U614" t="s">
        <v>18</v>
      </c>
      <c r="AA614" s="1485"/>
      <c r="AB614" s="1485"/>
      <c r="AC614" s="1485"/>
      <c r="AD614" s="1485"/>
      <c r="AE614" s="1485"/>
      <c r="AF614" s="1485"/>
      <c r="AG614" s="1485"/>
      <c r="AH614" s="1485"/>
      <c r="AI614" s="1485"/>
      <c r="AJ614" s="1485"/>
      <c r="AK614" s="1485"/>
      <c r="AU614" s="899"/>
      <c r="AV614" s="899"/>
      <c r="AW614" s="899"/>
      <c r="AX614" s="899"/>
      <c r="AY614" s="899"/>
      <c r="AZ614" s="3"/>
      <c r="BA614" s="3"/>
      <c r="BB614" s="3"/>
      <c r="BC614" s="3"/>
    </row>
    <row r="615" spans="1:55" ht="12.95" customHeight="1">
      <c r="B615" t="s">
        <v>20</v>
      </c>
      <c r="N615" s="1351" t="s">
        <v>669</v>
      </c>
      <c r="O615" s="1351"/>
      <c r="U615" t="s">
        <v>20</v>
      </c>
      <c r="AG615" s="1351" t="s">
        <v>669</v>
      </c>
      <c r="AH615" s="1351"/>
      <c r="AU615" s="899"/>
      <c r="AV615" s="899"/>
      <c r="AW615" s="899"/>
      <c r="AX615" s="899"/>
      <c r="AY615" s="899"/>
      <c r="AZ615" s="3"/>
      <c r="BA615" s="3"/>
      <c r="BB615" s="3"/>
      <c r="BC615" s="3"/>
    </row>
    <row r="616" spans="1:55" ht="12.95" customHeight="1">
      <c r="AZ616" s="3"/>
      <c r="BA616" s="3"/>
      <c r="BB616" s="3"/>
      <c r="BC616" s="3"/>
    </row>
    <row r="617" spans="1:55" ht="12.95" customHeight="1">
      <c r="A617" s="1262" t="s">
        <v>544</v>
      </c>
      <c r="B617" s="1262"/>
      <c r="C617" s="1262"/>
      <c r="D617" s="1262"/>
      <c r="E617" s="1262"/>
      <c r="F617" s="1262"/>
      <c r="G617" s="1262"/>
      <c r="H617" s="1262"/>
      <c r="I617" s="1262"/>
      <c r="J617" s="1262"/>
      <c r="K617" s="1262"/>
      <c r="L617" s="1262"/>
      <c r="M617" s="1262"/>
      <c r="N617" s="1262"/>
      <c r="O617" s="1262"/>
      <c r="P617" s="1262"/>
      <c r="Q617" s="1262"/>
      <c r="R617" s="1262"/>
      <c r="S617" s="1262"/>
      <c r="T617" s="1262"/>
      <c r="U617" s="1262"/>
      <c r="V617" s="1262"/>
      <c r="W617" s="1262"/>
      <c r="X617" s="1262"/>
      <c r="Y617" s="1262"/>
      <c r="Z617" s="1262"/>
      <c r="AA617" s="1262"/>
      <c r="AB617" s="1262"/>
      <c r="AC617" s="1262"/>
      <c r="AD617" s="1262"/>
      <c r="AE617" s="1262"/>
      <c r="AF617" s="1262"/>
      <c r="AG617" s="1262"/>
      <c r="AH617" s="1262"/>
      <c r="AI617" s="1262"/>
      <c r="AJ617" s="1262"/>
      <c r="AK617" s="1262"/>
      <c r="AL617" s="1262"/>
      <c r="AM617" s="1262"/>
      <c r="AN617" s="1262"/>
      <c r="AO617" s="1262"/>
      <c r="AP617" s="1262"/>
      <c r="AQ617" s="1262"/>
      <c r="AR617" s="1262"/>
      <c r="AS617" s="1262"/>
      <c r="AT617" s="1262"/>
      <c r="AZ617" s="3"/>
      <c r="BA617" s="3"/>
      <c r="BB617" s="3"/>
      <c r="BC617" s="3"/>
    </row>
    <row r="618" spans="1:55" ht="12.95" customHeight="1">
      <c r="A618" s="1262"/>
      <c r="B618" s="1262"/>
      <c r="C618" s="1262"/>
      <c r="D618" s="1262"/>
      <c r="E618" s="1262"/>
      <c r="F618" s="1262"/>
      <c r="G618" s="1262"/>
      <c r="H618" s="1262"/>
      <c r="I618" s="1262"/>
      <c r="J618" s="1262"/>
      <c r="K618" s="1262"/>
      <c r="L618" s="1262"/>
      <c r="M618" s="1262"/>
      <c r="N618" s="1262"/>
      <c r="O618" s="1262"/>
      <c r="P618" s="1262"/>
      <c r="Q618" s="1262"/>
      <c r="R618" s="1262"/>
      <c r="S618" s="1262"/>
      <c r="T618" s="1262"/>
      <c r="U618" s="1262"/>
      <c r="V618" s="1262"/>
      <c r="W618" s="1262"/>
      <c r="X618" s="1262"/>
      <c r="Y618" s="1262"/>
      <c r="Z618" s="1262"/>
      <c r="AA618" s="1262"/>
      <c r="AB618" s="1262"/>
      <c r="AC618" s="1262"/>
      <c r="AD618" s="1262"/>
      <c r="AE618" s="1262"/>
      <c r="AF618" s="1262"/>
      <c r="AG618" s="1262"/>
      <c r="AH618" s="1262"/>
      <c r="AI618" s="1262"/>
      <c r="AJ618" s="1262"/>
      <c r="AK618" s="1262"/>
      <c r="AL618" s="1262"/>
      <c r="AM618" s="1262"/>
      <c r="AN618" s="1262"/>
      <c r="AO618" s="1262"/>
      <c r="AP618" s="1262"/>
      <c r="AQ618" s="1262"/>
      <c r="AR618" s="1262"/>
      <c r="AS618" s="1262"/>
      <c r="AT618" s="1262"/>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76" t="s">
        <v>2103</v>
      </c>
      <c r="C624" s="1676"/>
      <c r="D624" s="1676"/>
      <c r="E624" s="1676"/>
      <c r="F624" s="1676"/>
      <c r="G624" s="1676"/>
      <c r="H624" s="1676"/>
      <c r="I624" s="1676"/>
      <c r="J624" s="1676"/>
      <c r="K624" s="1676"/>
      <c r="L624" s="1676"/>
      <c r="M624" s="1469" t="s">
        <v>2104</v>
      </c>
      <c r="N624" s="1469"/>
      <c r="O624" s="1469"/>
      <c r="P624" s="1469"/>
      <c r="Q624" s="1469" t="s">
        <v>1853</v>
      </c>
      <c r="R624" s="1469"/>
      <c r="S624" s="1469"/>
      <c r="T624" s="1469" t="s">
        <v>1851</v>
      </c>
      <c r="U624" s="1469"/>
      <c r="V624" s="1469"/>
      <c r="W624" s="1674" t="s">
        <v>453</v>
      </c>
      <c r="X624" s="1674"/>
      <c r="Y624" s="1674"/>
      <c r="Z624" s="1434" t="s">
        <v>2133</v>
      </c>
      <c r="AA624" s="1434"/>
      <c r="AB624" s="1435"/>
      <c r="AC624" s="1665" t="s">
        <v>1676</v>
      </c>
      <c r="AD624" s="1666"/>
      <c r="AE624" s="1667"/>
      <c r="AF624" s="1492" t="s">
        <v>1931</v>
      </c>
      <c r="AG624" s="1434"/>
      <c r="AH624" s="1434"/>
      <c r="AI624" s="1434"/>
      <c r="AJ624" s="1435"/>
      <c r="AK624" s="1825" t="s">
        <v>1932</v>
      </c>
      <c r="AL624" s="1826"/>
      <c r="AM624" s="1826"/>
      <c r="AN624" s="1827"/>
      <c r="AO624" s="1469" t="s">
        <v>454</v>
      </c>
      <c r="AP624" s="1469"/>
      <c r="AQ624" s="1469"/>
      <c r="AR624" s="1469"/>
      <c r="AS624" s="1469"/>
      <c r="AU624" s="3"/>
      <c r="AZ624" s="3"/>
      <c r="BA624" s="3"/>
      <c r="BB624" s="3"/>
      <c r="BC624" s="3"/>
    </row>
    <row r="625" spans="2:157" ht="12.95" customHeight="1">
      <c r="B625" s="1676"/>
      <c r="C625" s="1676"/>
      <c r="D625" s="1676"/>
      <c r="E625" s="1676"/>
      <c r="F625" s="1676"/>
      <c r="G625" s="1676"/>
      <c r="H625" s="1676"/>
      <c r="I625" s="1676"/>
      <c r="J625" s="1676"/>
      <c r="K625" s="1676"/>
      <c r="L625" s="1676"/>
      <c r="M625" s="1469"/>
      <c r="N625" s="1469"/>
      <c r="O625" s="1469"/>
      <c r="P625" s="1469"/>
      <c r="Q625" s="1469"/>
      <c r="R625" s="1469"/>
      <c r="S625" s="1469"/>
      <c r="T625" s="1469"/>
      <c r="U625" s="1469"/>
      <c r="V625" s="1469"/>
      <c r="W625" s="1674"/>
      <c r="X625" s="1674"/>
      <c r="Y625" s="1674"/>
      <c r="Z625" s="1436"/>
      <c r="AA625" s="1436"/>
      <c r="AB625" s="1437"/>
      <c r="AC625" s="1668"/>
      <c r="AD625" s="1669"/>
      <c r="AE625" s="1670"/>
      <c r="AF625" s="1493"/>
      <c r="AG625" s="1436"/>
      <c r="AH625" s="1436"/>
      <c r="AI625" s="1436"/>
      <c r="AJ625" s="1437"/>
      <c r="AK625" s="1828"/>
      <c r="AL625" s="1829"/>
      <c r="AM625" s="1829"/>
      <c r="AN625" s="1830"/>
      <c r="AO625" s="1469"/>
      <c r="AP625" s="1469"/>
      <c r="AQ625" s="1469"/>
      <c r="AR625" s="1469"/>
      <c r="AS625" s="1469"/>
      <c r="AU625" s="3"/>
      <c r="AZ625" s="3"/>
      <c r="BA625" s="3"/>
      <c r="BB625" s="3"/>
      <c r="BC625" s="3"/>
      <c r="BD625" s="3"/>
    </row>
    <row r="626" spans="2:157" ht="12.95" customHeight="1">
      <c r="B626" s="1676"/>
      <c r="C626" s="1676"/>
      <c r="D626" s="1676"/>
      <c r="E626" s="1676"/>
      <c r="F626" s="1676"/>
      <c r="G626" s="1676"/>
      <c r="H626" s="1676"/>
      <c r="I626" s="1676"/>
      <c r="J626" s="1676"/>
      <c r="K626" s="1676"/>
      <c r="L626" s="1676"/>
      <c r="M626" s="1469"/>
      <c r="N626" s="1469"/>
      <c r="O626" s="1469"/>
      <c r="P626" s="1469"/>
      <c r="Q626" s="1469"/>
      <c r="R626" s="1469"/>
      <c r="S626" s="1469"/>
      <c r="T626" s="1469"/>
      <c r="U626" s="1469"/>
      <c r="V626" s="1469"/>
      <c r="W626" s="1674"/>
      <c r="X626" s="1674"/>
      <c r="Y626" s="1674"/>
      <c r="Z626" s="1438"/>
      <c r="AA626" s="1438"/>
      <c r="AB626" s="1439"/>
      <c r="AC626" s="1671"/>
      <c r="AD626" s="1672"/>
      <c r="AE626" s="1673"/>
      <c r="AF626" s="1494"/>
      <c r="AG626" s="1438"/>
      <c r="AH626" s="1438"/>
      <c r="AI626" s="1438"/>
      <c r="AJ626" s="1439"/>
      <c r="AK626" s="1831"/>
      <c r="AL626" s="1832"/>
      <c r="AM626" s="1832"/>
      <c r="AN626" s="1833"/>
      <c r="AO626" s="1469"/>
      <c r="AP626" s="1469"/>
      <c r="AQ626" s="1469"/>
      <c r="AR626" s="1469"/>
      <c r="AS626" s="1469"/>
      <c r="AT626" s="3"/>
      <c r="AU626" s="3"/>
      <c r="AZ626" s="3"/>
      <c r="BA626" s="3"/>
      <c r="BB626" s="3"/>
      <c r="BC626" s="3"/>
      <c r="BD626" s="3"/>
    </row>
    <row r="627" spans="2:157" ht="12.95" customHeight="1">
      <c r="B627" s="51" t="s">
        <v>112</v>
      </c>
      <c r="C627" s="1470" t="s">
        <v>2756</v>
      </c>
      <c r="D627" s="1470"/>
      <c r="E627" s="1470"/>
      <c r="F627" s="1470"/>
      <c r="G627" s="1470"/>
      <c r="H627" s="1470"/>
      <c r="I627" s="1470"/>
      <c r="J627" s="1470"/>
      <c r="K627" s="1470"/>
      <c r="L627" s="1470"/>
      <c r="M627" s="1624" t="s">
        <v>2114</v>
      </c>
      <c r="N627" s="1624"/>
      <c r="O627" s="1624"/>
      <c r="P627" s="1624"/>
      <c r="Q627" s="1444">
        <v>204</v>
      </c>
      <c r="R627" s="1444"/>
      <c r="S627" s="1445"/>
      <c r="T627" s="1446">
        <v>480</v>
      </c>
      <c r="U627" s="1444"/>
      <c r="V627" s="1445"/>
      <c r="W627" s="1441">
        <v>6.9400000000000003E-2</v>
      </c>
      <c r="X627" s="1442"/>
      <c r="Y627" s="1443"/>
      <c r="Z627" s="1489" t="s">
        <v>1184</v>
      </c>
      <c r="AA627" s="1490"/>
      <c r="AB627" s="1491"/>
      <c r="AC627" s="1486">
        <v>1</v>
      </c>
      <c r="AD627" s="1487"/>
      <c r="AE627" s="1488"/>
      <c r="AF627" s="1651">
        <v>2157354</v>
      </c>
      <c r="AG627" s="1652"/>
      <c r="AH627" s="1652"/>
      <c r="AI627" s="1652"/>
      <c r="AJ627" s="1653"/>
      <c r="AK627" s="1471"/>
      <c r="AL627" s="1472"/>
      <c r="AM627" s="1472"/>
      <c r="AN627" s="1473"/>
      <c r="AO627" s="1645">
        <v>29134000</v>
      </c>
      <c r="AP627" s="1645"/>
      <c r="AQ627" s="1645"/>
      <c r="AR627" s="1645"/>
      <c r="AS627" s="1645"/>
      <c r="AT627" s="3"/>
      <c r="AU627" s="3"/>
      <c r="AZ627" s="3"/>
      <c r="BA627" s="3"/>
      <c r="BB627" s="3"/>
      <c r="BC627" s="3"/>
      <c r="BD627" s="3"/>
    </row>
    <row r="628" spans="2:157" ht="12.95" customHeight="1">
      <c r="B628" s="52" t="s">
        <v>113</v>
      </c>
      <c r="C628" s="1470" t="s">
        <v>2518</v>
      </c>
      <c r="D628" s="1470"/>
      <c r="E628" s="1470"/>
      <c r="F628" s="1470"/>
      <c r="G628" s="1470"/>
      <c r="H628" s="1470"/>
      <c r="I628" s="1470"/>
      <c r="J628" s="1470"/>
      <c r="K628" s="1470"/>
      <c r="L628" s="1470"/>
      <c r="M628" s="1624" t="s">
        <v>2116</v>
      </c>
      <c r="N628" s="1624"/>
      <c r="O628" s="1624"/>
      <c r="P628" s="1624"/>
      <c r="Q628" s="1446">
        <v>204</v>
      </c>
      <c r="R628" s="1444"/>
      <c r="S628" s="1445"/>
      <c r="T628" s="1446"/>
      <c r="U628" s="1444"/>
      <c r="V628" s="1445"/>
      <c r="W628" s="1441">
        <v>0.03</v>
      </c>
      <c r="X628" s="1442"/>
      <c r="Y628" s="1443"/>
      <c r="Z628" s="1489" t="s">
        <v>1184</v>
      </c>
      <c r="AA628" s="1490"/>
      <c r="AB628" s="1491"/>
      <c r="AC628" s="1486">
        <v>2</v>
      </c>
      <c r="AD628" s="1487"/>
      <c r="AE628" s="1488"/>
      <c r="AF628" s="1651"/>
      <c r="AG628" s="1652"/>
      <c r="AH628" s="1652"/>
      <c r="AI628" s="1652"/>
      <c r="AJ628" s="1653"/>
      <c r="AK628" s="1471"/>
      <c r="AL628" s="1472"/>
      <c r="AM628" s="1472"/>
      <c r="AN628" s="1473"/>
      <c r="AO628" s="1475">
        <v>4000000</v>
      </c>
      <c r="AP628" s="1476"/>
      <c r="AQ628" s="1476"/>
      <c r="AR628" s="1476"/>
      <c r="AS628" s="1477"/>
      <c r="AT628" s="1148" t="str">
        <f>IF(AND(NOT(C627=""),C628="",NOT(C629="")),"!","")</f>
        <v/>
      </c>
      <c r="AU628" s="3"/>
      <c r="AZ628" s="3"/>
      <c r="BA628" s="3"/>
      <c r="BB628" s="3"/>
      <c r="BC628" s="3"/>
      <c r="BD628" s="3"/>
    </row>
    <row r="629" spans="2:157" ht="12.95" customHeight="1">
      <c r="B629" s="52" t="s">
        <v>119</v>
      </c>
      <c r="C629" s="1470" t="s">
        <v>2734</v>
      </c>
      <c r="D629" s="1470"/>
      <c r="E629" s="1470"/>
      <c r="F629" s="1470"/>
      <c r="G629" s="1470"/>
      <c r="H629" s="1470"/>
      <c r="I629" s="1470"/>
      <c r="J629" s="1470"/>
      <c r="K629" s="1470"/>
      <c r="L629" s="1470"/>
      <c r="M629" s="1624" t="s">
        <v>2116</v>
      </c>
      <c r="N629" s="1624"/>
      <c r="O629" s="1624"/>
      <c r="P629" s="1624"/>
      <c r="Q629" s="1446">
        <v>660</v>
      </c>
      <c r="R629" s="1444"/>
      <c r="S629" s="1445"/>
      <c r="T629" s="1446"/>
      <c r="U629" s="1444"/>
      <c r="V629" s="1445"/>
      <c r="W629" s="1441">
        <v>0.03</v>
      </c>
      <c r="X629" s="1442"/>
      <c r="Y629" s="1443"/>
      <c r="Z629" s="1489" t="s">
        <v>1184</v>
      </c>
      <c r="AA629" s="1490"/>
      <c r="AB629" s="1491"/>
      <c r="AC629" s="1486">
        <v>3</v>
      </c>
      <c r="AD629" s="1487"/>
      <c r="AE629" s="1488"/>
      <c r="AF629" s="1651"/>
      <c r="AG629" s="1652"/>
      <c r="AH629" s="1652"/>
      <c r="AI629" s="1652"/>
      <c r="AJ629" s="1653"/>
      <c r="AK629" s="1471"/>
      <c r="AL629" s="1472"/>
      <c r="AM629" s="1472"/>
      <c r="AN629" s="1473"/>
      <c r="AO629" s="1475">
        <v>6250000</v>
      </c>
      <c r="AP629" s="1476"/>
      <c r="AQ629" s="1476"/>
      <c r="AR629" s="1476"/>
      <c r="AS629" s="1477"/>
      <c r="AT629" s="1148" t="str">
        <f t="shared" ref="AT629:AT638" si="1">IF(AND(NOT(C628=""),C629="",NOT(C630="")),"!","")</f>
        <v/>
      </c>
      <c r="AU629" s="3"/>
      <c r="AZ629" s="3"/>
      <c r="BA629" s="3"/>
      <c r="BB629" s="3"/>
      <c r="BC629" s="3"/>
      <c r="BD629" s="3"/>
    </row>
    <row r="630" spans="2:157" ht="12.95" customHeight="1">
      <c r="B630" s="52" t="s">
        <v>581</v>
      </c>
      <c r="C630" s="1470" t="s">
        <v>2757</v>
      </c>
      <c r="D630" s="1470"/>
      <c r="E630" s="1470"/>
      <c r="F630" s="1470"/>
      <c r="G630" s="1470"/>
      <c r="H630" s="1470"/>
      <c r="I630" s="1470"/>
      <c r="J630" s="1470"/>
      <c r="K630" s="1470"/>
      <c r="L630" s="1470"/>
      <c r="M630" s="1624" t="s">
        <v>2107</v>
      </c>
      <c r="N630" s="1624"/>
      <c r="O630" s="1624"/>
      <c r="P630" s="1624"/>
      <c r="Q630" s="1446"/>
      <c r="R630" s="1444"/>
      <c r="S630" s="1445"/>
      <c r="T630" s="1446"/>
      <c r="U630" s="1444"/>
      <c r="V630" s="1445"/>
      <c r="W630" s="1441">
        <v>0.08</v>
      </c>
      <c r="X630" s="1442"/>
      <c r="Y630" s="1443"/>
      <c r="Z630" s="1489" t="s">
        <v>1184</v>
      </c>
      <c r="AA630" s="1490"/>
      <c r="AB630" s="1491"/>
      <c r="AC630" s="1486"/>
      <c r="AD630" s="1487"/>
      <c r="AE630" s="1488"/>
      <c r="AF630" s="1651"/>
      <c r="AG630" s="1652"/>
      <c r="AH630" s="1652"/>
      <c r="AI630" s="1652"/>
      <c r="AJ630" s="1653"/>
      <c r="AK630" s="1471"/>
      <c r="AL630" s="1472"/>
      <c r="AM630" s="1472"/>
      <c r="AN630" s="1473"/>
      <c r="AO630" s="1475">
        <v>4590083</v>
      </c>
      <c r="AP630" s="1476"/>
      <c r="AQ630" s="1476"/>
      <c r="AR630" s="1476"/>
      <c r="AS630" s="1477"/>
      <c r="AT630" s="1148" t="str">
        <f t="shared" si="1"/>
        <v/>
      </c>
      <c r="AU630" s="3"/>
      <c r="AZ630" s="3"/>
      <c r="BA630" s="3"/>
      <c r="BB630" s="3"/>
      <c r="BC630" s="3"/>
      <c r="BD630" s="3"/>
    </row>
    <row r="631" spans="2:157" ht="12.95" customHeight="1">
      <c r="B631" s="52" t="s">
        <v>763</v>
      </c>
      <c r="C631" s="1470" t="s">
        <v>2758</v>
      </c>
      <c r="D631" s="1470"/>
      <c r="E631" s="1470"/>
      <c r="F631" s="1470"/>
      <c r="G631" s="1470"/>
      <c r="H631" s="1470"/>
      <c r="I631" s="1470"/>
      <c r="J631" s="1470"/>
      <c r="K631" s="1470"/>
      <c r="L631" s="1470"/>
      <c r="M631" s="1624" t="s">
        <v>2122</v>
      </c>
      <c r="N631" s="1624"/>
      <c r="O631" s="1624"/>
      <c r="P631" s="1624"/>
      <c r="Q631" s="1446"/>
      <c r="R631" s="1444"/>
      <c r="S631" s="1445"/>
      <c r="T631" s="1446"/>
      <c r="U631" s="1444"/>
      <c r="V631" s="1445"/>
      <c r="W631" s="1441"/>
      <c r="X631" s="1442"/>
      <c r="Y631" s="1443"/>
      <c r="Z631" s="1489" t="s">
        <v>1184</v>
      </c>
      <c r="AA631" s="1490"/>
      <c r="AB631" s="1491"/>
      <c r="AC631" s="1486"/>
      <c r="AD631" s="1487"/>
      <c r="AE631" s="1488"/>
      <c r="AF631" s="1651"/>
      <c r="AG631" s="1652"/>
      <c r="AH631" s="1652"/>
      <c r="AI631" s="1652"/>
      <c r="AJ631" s="1653"/>
      <c r="AK631" s="1471"/>
      <c r="AL631" s="1472"/>
      <c r="AM631" s="1472"/>
      <c r="AN631" s="1473"/>
      <c r="AO631" s="1475">
        <v>896134</v>
      </c>
      <c r="AP631" s="1476"/>
      <c r="AQ631" s="1476"/>
      <c r="AR631" s="1476"/>
      <c r="AS631" s="1477"/>
      <c r="AT631" s="1148" t="str">
        <f t="shared" si="1"/>
        <v/>
      </c>
      <c r="AU631" s="3"/>
      <c r="AZ631" s="3"/>
      <c r="BA631" s="3"/>
      <c r="BB631" s="3"/>
      <c r="BC631" s="3"/>
      <c r="BD631" s="3"/>
    </row>
    <row r="632" spans="2:157" ht="12.95" customHeight="1">
      <c r="B632" s="52" t="s">
        <v>584</v>
      </c>
      <c r="C632" s="1501"/>
      <c r="D632" s="1501"/>
      <c r="E632" s="1501"/>
      <c r="F632" s="1501"/>
      <c r="G632" s="1501"/>
      <c r="H632" s="1501"/>
      <c r="I632" s="1501"/>
      <c r="J632" s="1501"/>
      <c r="K632" s="1501"/>
      <c r="L632" s="1501"/>
      <c r="M632" s="1624" t="s">
        <v>1184</v>
      </c>
      <c r="N632" s="1624"/>
      <c r="O632" s="1624"/>
      <c r="P632" s="1624"/>
      <c r="Q632" s="1446"/>
      <c r="R632" s="1444"/>
      <c r="S632" s="1445"/>
      <c r="T632" s="1446"/>
      <c r="U632" s="1444"/>
      <c r="V632" s="1445"/>
      <c r="W632" s="1441"/>
      <c r="X632" s="1442"/>
      <c r="Y632" s="1443"/>
      <c r="Z632" s="1489" t="s">
        <v>1184</v>
      </c>
      <c r="AA632" s="1490"/>
      <c r="AB632" s="1491"/>
      <c r="AC632" s="1486"/>
      <c r="AD632" s="1487"/>
      <c r="AE632" s="1488"/>
      <c r="AF632" s="1651"/>
      <c r="AG632" s="1652"/>
      <c r="AH632" s="1652"/>
      <c r="AI632" s="1652"/>
      <c r="AJ632" s="1653"/>
      <c r="AK632" s="1471"/>
      <c r="AL632" s="1472"/>
      <c r="AM632" s="1472"/>
      <c r="AN632" s="1473"/>
      <c r="AO632" s="1475"/>
      <c r="AP632" s="1476"/>
      <c r="AQ632" s="1476"/>
      <c r="AR632" s="1476"/>
      <c r="AS632" s="1477"/>
      <c r="AT632" s="1148" t="str">
        <f t="shared" si="1"/>
        <v/>
      </c>
      <c r="AU632" s="3"/>
      <c r="AZ632" s="3"/>
      <c r="BA632" s="3"/>
      <c r="BB632" s="3"/>
      <c r="BC632" s="3"/>
      <c r="BD632" s="3"/>
    </row>
    <row r="633" spans="2:157" ht="12.95" customHeight="1">
      <c r="B633" s="52" t="s">
        <v>455</v>
      </c>
      <c r="C633" s="1501"/>
      <c r="D633" s="1501"/>
      <c r="E633" s="1501"/>
      <c r="F633" s="1501"/>
      <c r="G633" s="1501"/>
      <c r="H633" s="1501"/>
      <c r="I633" s="1501"/>
      <c r="J633" s="1501"/>
      <c r="K633" s="1501"/>
      <c r="L633" s="1501"/>
      <c r="M633" s="1624" t="s">
        <v>1184</v>
      </c>
      <c r="N633" s="1624"/>
      <c r="O633" s="1624"/>
      <c r="P633" s="1624"/>
      <c r="Q633" s="1446"/>
      <c r="R633" s="1444"/>
      <c r="S633" s="1445"/>
      <c r="T633" s="1446"/>
      <c r="U633" s="1444"/>
      <c r="V633" s="1445"/>
      <c r="W633" s="1441"/>
      <c r="X633" s="1442"/>
      <c r="Y633" s="1443"/>
      <c r="Z633" s="1489" t="s">
        <v>1184</v>
      </c>
      <c r="AA633" s="1490"/>
      <c r="AB633" s="1491"/>
      <c r="AC633" s="1486"/>
      <c r="AD633" s="1487"/>
      <c r="AE633" s="1488"/>
      <c r="AF633" s="1651"/>
      <c r="AG633" s="1652"/>
      <c r="AH633" s="1652"/>
      <c r="AI633" s="1652"/>
      <c r="AJ633" s="1653"/>
      <c r="AK633" s="1471"/>
      <c r="AL633" s="1472"/>
      <c r="AM633" s="1472"/>
      <c r="AN633" s="1473"/>
      <c r="AO633" s="1475"/>
      <c r="AP633" s="1476"/>
      <c r="AQ633" s="1476"/>
      <c r="AR633" s="1476"/>
      <c r="AS633" s="1477"/>
      <c r="AT633" s="1148" t="str">
        <f t="shared" si="1"/>
        <v/>
      </c>
      <c r="AU633" s="3"/>
      <c r="AV633" s="3"/>
      <c r="AW633" s="3"/>
      <c r="AX633" s="3"/>
      <c r="AY633" s="3"/>
      <c r="AZ633" s="3"/>
      <c r="BA633" s="3"/>
      <c r="BB633" s="3"/>
      <c r="BC633" s="3"/>
      <c r="BD633" s="3"/>
    </row>
    <row r="634" spans="2:157" ht="12.95" customHeight="1">
      <c r="B634" s="52" t="s">
        <v>456</v>
      </c>
      <c r="C634" s="1501"/>
      <c r="D634" s="1501"/>
      <c r="E634" s="1501"/>
      <c r="F634" s="1501"/>
      <c r="G634" s="1501"/>
      <c r="H634" s="1501"/>
      <c r="I634" s="1501"/>
      <c r="J634" s="1501"/>
      <c r="K634" s="1501"/>
      <c r="L634" s="1501"/>
      <c r="M634" s="1624" t="s">
        <v>1184</v>
      </c>
      <c r="N634" s="1624"/>
      <c r="O634" s="1624"/>
      <c r="P634" s="1624"/>
      <c r="Q634" s="1446"/>
      <c r="R634" s="1444"/>
      <c r="S634" s="1445"/>
      <c r="T634" s="1446"/>
      <c r="U634" s="1444"/>
      <c r="V634" s="1445"/>
      <c r="W634" s="1441"/>
      <c r="X634" s="1442"/>
      <c r="Y634" s="1443"/>
      <c r="Z634" s="1489" t="s">
        <v>1184</v>
      </c>
      <c r="AA634" s="1490"/>
      <c r="AB634" s="1491"/>
      <c r="AC634" s="1486"/>
      <c r="AD634" s="1487"/>
      <c r="AE634" s="1488"/>
      <c r="AF634" s="1651"/>
      <c r="AG634" s="1652"/>
      <c r="AH634" s="1652"/>
      <c r="AI634" s="1652"/>
      <c r="AJ634" s="1653"/>
      <c r="AK634" s="1471"/>
      <c r="AL634" s="1472"/>
      <c r="AM634" s="1472"/>
      <c r="AN634" s="1473"/>
      <c r="AO634" s="1475"/>
      <c r="AP634" s="1476"/>
      <c r="AQ634" s="1476"/>
      <c r="AR634" s="1476"/>
      <c r="AS634" s="1477"/>
      <c r="AT634" s="1148" t="str">
        <f t="shared" si="1"/>
        <v/>
      </c>
      <c r="AU634" s="3"/>
      <c r="AV634" s="3"/>
      <c r="AW634" s="3"/>
      <c r="AX634" s="3"/>
      <c r="AY634" s="3"/>
      <c r="AZ634" s="3"/>
      <c r="BA634" s="3" t="s">
        <v>1184</v>
      </c>
      <c r="BB634" s="3"/>
      <c r="BC634" s="3"/>
      <c r="BD634" s="3"/>
    </row>
    <row r="635" spans="2:157" ht="12.95" customHeight="1">
      <c r="B635" s="52" t="s">
        <v>461</v>
      </c>
      <c r="C635" s="1501"/>
      <c r="D635" s="1501"/>
      <c r="E635" s="1501"/>
      <c r="F635" s="1501"/>
      <c r="G635" s="1501"/>
      <c r="H635" s="1501"/>
      <c r="I635" s="1501"/>
      <c r="J635" s="1501"/>
      <c r="K635" s="1501"/>
      <c r="L635" s="1501"/>
      <c r="M635" s="1624" t="s">
        <v>1184</v>
      </c>
      <c r="N635" s="1624"/>
      <c r="O635" s="1624"/>
      <c r="P635" s="1624"/>
      <c r="Q635" s="1446"/>
      <c r="R635" s="1444"/>
      <c r="S635" s="1445"/>
      <c r="T635" s="1446"/>
      <c r="U635" s="1444"/>
      <c r="V635" s="1445"/>
      <c r="W635" s="1441"/>
      <c r="X635" s="1442"/>
      <c r="Y635" s="1443"/>
      <c r="Z635" s="1489" t="s">
        <v>1184</v>
      </c>
      <c r="AA635" s="1490"/>
      <c r="AB635" s="1491"/>
      <c r="AC635" s="1486"/>
      <c r="AD635" s="1487"/>
      <c r="AE635" s="1488"/>
      <c r="AF635" s="1651"/>
      <c r="AG635" s="1652"/>
      <c r="AH635" s="1652"/>
      <c r="AI635" s="1652"/>
      <c r="AJ635" s="1653"/>
      <c r="AK635" s="1471"/>
      <c r="AL635" s="1472"/>
      <c r="AM635" s="1472"/>
      <c r="AN635" s="1473"/>
      <c r="AO635" s="1475"/>
      <c r="AP635" s="1476"/>
      <c r="AQ635" s="1476"/>
      <c r="AR635" s="1476"/>
      <c r="AS635" s="1477"/>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506" t="e">
        <f t="shared" ref="DX635:DX669" si="2">EZ718*(CP718/$CP$753)</f>
        <v>#VALUE!</v>
      </c>
      <c r="DY635" s="1506"/>
      <c r="DZ635" s="1506"/>
      <c r="EA635" s="1506"/>
      <c r="EB635" s="1506"/>
      <c r="EC635" s="1506">
        <f t="shared" ref="EC635:EC669" si="3">FE718*(CU718/$CU$753)</f>
        <v>118.1111111111111</v>
      </c>
      <c r="ED635" s="1506"/>
      <c r="EE635" s="1506"/>
      <c r="EF635" s="1506"/>
      <c r="EG635" s="1506"/>
      <c r="EH635" s="1506" t="e">
        <f t="shared" ref="EH635:EH669" si="4">FJ718*(CZ718/$CZ$753)</f>
        <v>#VALUE!</v>
      </c>
      <c r="EI635" s="1506"/>
      <c r="EJ635" s="1506"/>
      <c r="EK635" s="1506"/>
      <c r="EL635" s="1506"/>
      <c r="EM635" s="1506" t="e">
        <f t="shared" ref="EM635:EM669" si="5">FO718*(DE718/$DE$753)</f>
        <v>#VALUE!</v>
      </c>
      <c r="EN635" s="1506"/>
      <c r="EO635" s="1506"/>
      <c r="EP635" s="1506"/>
      <c r="EQ635" s="1506"/>
      <c r="ER635" s="1506" t="e">
        <f t="shared" ref="ER635:ER669" si="6">FT718*(DJ718/$DJ$753)</f>
        <v>#VALUE!</v>
      </c>
      <c r="ES635" s="1506"/>
      <c r="ET635" s="1506"/>
      <c r="EU635" s="1506"/>
      <c r="EV635" s="1506"/>
      <c r="EW635" s="1506" t="e">
        <f t="shared" ref="EW635:EW669" si="7">FY718*(DO718/$DO$753)</f>
        <v>#VALUE!</v>
      </c>
      <c r="EX635" s="1506"/>
      <c r="EY635" s="1506"/>
      <c r="EZ635" s="1506"/>
      <c r="FA635" s="1506"/>
    </row>
    <row r="636" spans="2:157" ht="12.95" customHeight="1">
      <c r="B636" s="52" t="s">
        <v>646</v>
      </c>
      <c r="C636" s="1501"/>
      <c r="D636" s="1501"/>
      <c r="E636" s="1501"/>
      <c r="F636" s="1501"/>
      <c r="G636" s="1501"/>
      <c r="H636" s="1501"/>
      <c r="I636" s="1501"/>
      <c r="J636" s="1501"/>
      <c r="K636" s="1501"/>
      <c r="L636" s="1501"/>
      <c r="M636" s="1624" t="s">
        <v>1184</v>
      </c>
      <c r="N636" s="1624"/>
      <c r="O636" s="1624"/>
      <c r="P636" s="1624"/>
      <c r="Q636" s="1446"/>
      <c r="R636" s="1444"/>
      <c r="S636" s="1445"/>
      <c r="T636" s="1446"/>
      <c r="U636" s="1444"/>
      <c r="V636" s="1445"/>
      <c r="W636" s="1441"/>
      <c r="X636" s="1442"/>
      <c r="Y636" s="1443"/>
      <c r="Z636" s="1489" t="s">
        <v>1184</v>
      </c>
      <c r="AA636" s="1490"/>
      <c r="AB636" s="1491"/>
      <c r="AC636" s="1486"/>
      <c r="AD636" s="1487"/>
      <c r="AE636" s="1488"/>
      <c r="AF636" s="1651"/>
      <c r="AG636" s="1652"/>
      <c r="AH636" s="1652"/>
      <c r="AI636" s="1652"/>
      <c r="AJ636" s="1653"/>
      <c r="AK636" s="1471"/>
      <c r="AL636" s="1472"/>
      <c r="AM636" s="1472"/>
      <c r="AN636" s="1473"/>
      <c r="AO636" s="1475"/>
      <c r="AP636" s="1476"/>
      <c r="AQ636" s="1476"/>
      <c r="AR636" s="1476"/>
      <c r="AS636" s="1477"/>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506" t="e">
        <f t="shared" si="2"/>
        <v>#VALUE!</v>
      </c>
      <c r="DY636" s="1506"/>
      <c r="DZ636" s="1506"/>
      <c r="EA636" s="1506"/>
      <c r="EB636" s="1506"/>
      <c r="EC636" s="1506" t="e">
        <f t="shared" si="3"/>
        <v>#VALUE!</v>
      </c>
      <c r="ED636" s="1506"/>
      <c r="EE636" s="1506"/>
      <c r="EF636" s="1506"/>
      <c r="EG636" s="1506"/>
      <c r="EH636" s="1506">
        <f t="shared" si="4"/>
        <v>156.51063829787233</v>
      </c>
      <c r="EI636" s="1506"/>
      <c r="EJ636" s="1506"/>
      <c r="EK636" s="1506"/>
      <c r="EL636" s="1506"/>
      <c r="EM636" s="1506" t="e">
        <f t="shared" si="5"/>
        <v>#VALUE!</v>
      </c>
      <c r="EN636" s="1506"/>
      <c r="EO636" s="1506"/>
      <c r="EP636" s="1506"/>
      <c r="EQ636" s="1506"/>
      <c r="ER636" s="1506" t="e">
        <f t="shared" si="6"/>
        <v>#VALUE!</v>
      </c>
      <c r="ES636" s="1506"/>
      <c r="ET636" s="1506"/>
      <c r="EU636" s="1506"/>
      <c r="EV636" s="1506"/>
      <c r="EW636" s="1506" t="e">
        <f t="shared" si="7"/>
        <v>#VALUE!</v>
      </c>
      <c r="EX636" s="1506"/>
      <c r="EY636" s="1506"/>
      <c r="EZ636" s="1506"/>
      <c r="FA636" s="1506"/>
    </row>
    <row r="637" spans="2:157" ht="12.95" customHeight="1">
      <c r="B637" s="52" t="s">
        <v>361</v>
      </c>
      <c r="C637" s="1501"/>
      <c r="D637" s="1501"/>
      <c r="E637" s="1501"/>
      <c r="F637" s="1501"/>
      <c r="G637" s="1501"/>
      <c r="H637" s="1501"/>
      <c r="I637" s="1501"/>
      <c r="J637" s="1501"/>
      <c r="K637" s="1501"/>
      <c r="L637" s="1501"/>
      <c r="M637" s="1624" t="s">
        <v>1184</v>
      </c>
      <c r="N637" s="1624"/>
      <c r="O637" s="1624"/>
      <c r="P637" s="1624"/>
      <c r="Q637" s="1446"/>
      <c r="R637" s="1444"/>
      <c r="S637" s="1445"/>
      <c r="T637" s="1446"/>
      <c r="U637" s="1444"/>
      <c r="V637" s="1445"/>
      <c r="W637" s="1441"/>
      <c r="X637" s="1442"/>
      <c r="Y637" s="1443"/>
      <c r="Z637" s="1489" t="s">
        <v>1184</v>
      </c>
      <c r="AA637" s="1490"/>
      <c r="AB637" s="1491"/>
      <c r="AC637" s="1486"/>
      <c r="AD637" s="1487"/>
      <c r="AE637" s="1488"/>
      <c r="AF637" s="1651"/>
      <c r="AG637" s="1652"/>
      <c r="AH637" s="1652"/>
      <c r="AI637" s="1652"/>
      <c r="AJ637" s="1653"/>
      <c r="AK637" s="1471"/>
      <c r="AL637" s="1472"/>
      <c r="AM637" s="1472"/>
      <c r="AN637" s="1473"/>
      <c r="AO637" s="1475"/>
      <c r="AP637" s="1476"/>
      <c r="AQ637" s="1476"/>
      <c r="AR637" s="1476"/>
      <c r="AS637" s="1477"/>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506" t="e">
        <f t="shared" si="2"/>
        <v>#VALUE!</v>
      </c>
      <c r="DY637" s="1506"/>
      <c r="DZ637" s="1506"/>
      <c r="EA637" s="1506"/>
      <c r="EB637" s="1506"/>
      <c r="EC637" s="1506" t="e">
        <f t="shared" si="3"/>
        <v>#VALUE!</v>
      </c>
      <c r="ED637" s="1506"/>
      <c r="EE637" s="1506"/>
      <c r="EF637" s="1506"/>
      <c r="EG637" s="1506"/>
      <c r="EH637" s="1506" t="e">
        <f t="shared" si="4"/>
        <v>#VALUE!</v>
      </c>
      <c r="EI637" s="1506"/>
      <c r="EJ637" s="1506"/>
      <c r="EK637" s="1506"/>
      <c r="EL637" s="1506"/>
      <c r="EM637" s="1506">
        <f t="shared" si="5"/>
        <v>137.34375</v>
      </c>
      <c r="EN637" s="1506"/>
      <c r="EO637" s="1506"/>
      <c r="EP637" s="1506"/>
      <c r="EQ637" s="1506"/>
      <c r="ER637" s="1506" t="e">
        <f t="shared" si="6"/>
        <v>#VALUE!</v>
      </c>
      <c r="ES637" s="1506"/>
      <c r="ET637" s="1506"/>
      <c r="EU637" s="1506"/>
      <c r="EV637" s="1506"/>
      <c r="EW637" s="1506" t="e">
        <f t="shared" si="7"/>
        <v>#VALUE!</v>
      </c>
      <c r="EX637" s="1506"/>
      <c r="EY637" s="1506"/>
      <c r="EZ637" s="1506"/>
      <c r="FA637" s="1506"/>
    </row>
    <row r="638" spans="2:157" ht="12.95" customHeight="1">
      <c r="B638" s="52" t="s">
        <v>362</v>
      </c>
      <c r="C638" s="1501"/>
      <c r="D638" s="1501"/>
      <c r="E638" s="1501"/>
      <c r="F638" s="1501"/>
      <c r="G638" s="1501"/>
      <c r="H638" s="1501"/>
      <c r="I638" s="1501"/>
      <c r="J638" s="1501"/>
      <c r="K638" s="1501"/>
      <c r="L638" s="1501"/>
      <c r="M638" s="1624" t="s">
        <v>1184</v>
      </c>
      <c r="N638" s="1624"/>
      <c r="O638" s="1624"/>
      <c r="P638" s="1624"/>
      <c r="Q638" s="1446"/>
      <c r="R638" s="1444"/>
      <c r="S638" s="1445"/>
      <c r="T638" s="1446"/>
      <c r="U638" s="1444"/>
      <c r="V638" s="1445"/>
      <c r="W638" s="1441"/>
      <c r="X638" s="1442"/>
      <c r="Y638" s="1443"/>
      <c r="Z638" s="1489" t="s">
        <v>1184</v>
      </c>
      <c r="AA638" s="1490"/>
      <c r="AB638" s="1491"/>
      <c r="AC638" s="1486"/>
      <c r="AD638" s="1487"/>
      <c r="AE638" s="1488"/>
      <c r="AF638" s="1651"/>
      <c r="AG638" s="1652"/>
      <c r="AH638" s="1652"/>
      <c r="AI638" s="1652"/>
      <c r="AJ638" s="1653"/>
      <c r="AK638" s="1471"/>
      <c r="AL638" s="1472"/>
      <c r="AM638" s="1472"/>
      <c r="AN638" s="1473"/>
      <c r="AO638" s="1475"/>
      <c r="AP638" s="1476"/>
      <c r="AQ638" s="1476"/>
      <c r="AR638" s="1476"/>
      <c r="AS638" s="1477"/>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506" t="e">
        <f t="shared" si="2"/>
        <v>#VALUE!</v>
      </c>
      <c r="DY638" s="1506"/>
      <c r="DZ638" s="1506"/>
      <c r="EA638" s="1506"/>
      <c r="EB638" s="1506"/>
      <c r="EC638" s="1506">
        <f t="shared" si="3"/>
        <v>754.93333333333328</v>
      </c>
      <c r="ED638" s="1506"/>
      <c r="EE638" s="1506"/>
      <c r="EF638" s="1506"/>
      <c r="EG638" s="1506"/>
      <c r="EH638" s="1506" t="e">
        <f t="shared" si="4"/>
        <v>#VALUE!</v>
      </c>
      <c r="EI638" s="1506"/>
      <c r="EJ638" s="1506"/>
      <c r="EK638" s="1506"/>
      <c r="EL638" s="1506"/>
      <c r="EM638" s="1506" t="e">
        <f t="shared" si="5"/>
        <v>#VALUE!</v>
      </c>
      <c r="EN638" s="1506"/>
      <c r="EO638" s="1506"/>
      <c r="EP638" s="1506"/>
      <c r="EQ638" s="1506"/>
      <c r="ER638" s="1506" t="e">
        <f t="shared" si="6"/>
        <v>#VALUE!</v>
      </c>
      <c r="ES638" s="1506"/>
      <c r="ET638" s="1506"/>
      <c r="EU638" s="1506"/>
      <c r="EV638" s="1506"/>
      <c r="EW638" s="1506" t="e">
        <f t="shared" si="7"/>
        <v>#VALUE!</v>
      </c>
      <c r="EX638" s="1506"/>
      <c r="EY638" s="1506"/>
      <c r="EZ638" s="1506"/>
      <c r="FA638" s="1506"/>
    </row>
    <row r="639" spans="2:157" ht="12.95" customHeight="1">
      <c r="B639" s="1508" t="s">
        <v>128</v>
      </c>
      <c r="C639" s="1509"/>
      <c r="D639" s="1509"/>
      <c r="E639" s="1509"/>
      <c r="F639" s="1509"/>
      <c r="G639" s="1509"/>
      <c r="H639" s="1509"/>
      <c r="I639" s="1509"/>
      <c r="J639" s="1509"/>
      <c r="K639" s="1509"/>
      <c r="L639" s="1509"/>
      <c r="M639" s="1509"/>
      <c r="N639" s="1509"/>
      <c r="O639" s="1509"/>
      <c r="P639" s="1509"/>
      <c r="Q639" s="1509"/>
      <c r="R639" s="1509"/>
      <c r="S639" s="1509"/>
      <c r="T639" s="1509"/>
      <c r="U639" s="1509"/>
      <c r="V639" s="1509"/>
      <c r="W639" s="1509"/>
      <c r="X639" s="1509"/>
      <c r="Y639" s="1509"/>
      <c r="Z639" s="1509"/>
      <c r="AA639" s="1509"/>
      <c r="AB639" s="1509"/>
      <c r="AC639" s="1509"/>
      <c r="AD639" s="1509"/>
      <c r="AE639" s="1509"/>
      <c r="AF639" s="1509"/>
      <c r="AG639" s="1509"/>
      <c r="AH639" s="1509"/>
      <c r="AI639" s="1509"/>
      <c r="AJ639" s="1509"/>
      <c r="AK639" s="1509"/>
      <c r="AL639" s="1509"/>
      <c r="AM639" s="1509"/>
      <c r="AN639" s="1510"/>
      <c r="AO639" s="1495">
        <f>SUM(AO627:AR638)</f>
        <v>44870217</v>
      </c>
      <c r="AP639" s="1496"/>
      <c r="AQ639" s="1496"/>
      <c r="AR639" s="1496"/>
      <c r="AS639" s="149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506" t="e">
        <f t="shared" si="2"/>
        <v>#VALUE!</v>
      </c>
      <c r="DY639" s="1506"/>
      <c r="DZ639" s="1506"/>
      <c r="EA639" s="1506"/>
      <c r="EB639" s="1506"/>
      <c r="EC639" s="1506" t="e">
        <f t="shared" si="3"/>
        <v>#VALUE!</v>
      </c>
      <c r="ED639" s="1506"/>
      <c r="EE639" s="1506"/>
      <c r="EF639" s="1506"/>
      <c r="EG639" s="1506"/>
      <c r="EH639" s="1506">
        <f t="shared" si="4"/>
        <v>847.72340425531911</v>
      </c>
      <c r="EI639" s="1506"/>
      <c r="EJ639" s="1506"/>
      <c r="EK639" s="1506"/>
      <c r="EL639" s="1506"/>
      <c r="EM639" s="1506" t="e">
        <f t="shared" si="5"/>
        <v>#VALUE!</v>
      </c>
      <c r="EN639" s="1506"/>
      <c r="EO639" s="1506"/>
      <c r="EP639" s="1506"/>
      <c r="EQ639" s="1506"/>
      <c r="ER639" s="1506" t="e">
        <f t="shared" si="6"/>
        <v>#VALUE!</v>
      </c>
      <c r="ES639" s="1506"/>
      <c r="ET639" s="1506"/>
      <c r="EU639" s="1506"/>
      <c r="EV639" s="1506"/>
      <c r="EW639" s="1506" t="e">
        <f t="shared" si="7"/>
        <v>#VALUE!</v>
      </c>
      <c r="EX639" s="1506"/>
      <c r="EY639" s="1506"/>
      <c r="EZ639" s="1506"/>
      <c r="FA639" s="1506"/>
    </row>
    <row r="640" spans="2:157" ht="12.95" customHeight="1">
      <c r="B640" s="1508" t="s">
        <v>266</v>
      </c>
      <c r="C640" s="1509"/>
      <c r="D640" s="1509"/>
      <c r="E640" s="1509"/>
      <c r="F640" s="1509"/>
      <c r="G640" s="1509"/>
      <c r="H640" s="1509"/>
      <c r="I640" s="1509"/>
      <c r="J640" s="1509"/>
      <c r="K640" s="1509"/>
      <c r="L640" s="1509"/>
      <c r="M640" s="1509"/>
      <c r="N640" s="1509"/>
      <c r="O640" s="1509"/>
      <c r="P640" s="1509"/>
      <c r="Q640" s="1509"/>
      <c r="R640" s="1509"/>
      <c r="S640" s="1509"/>
      <c r="T640" s="1509"/>
      <c r="U640" s="1509"/>
      <c r="V640" s="1509"/>
      <c r="W640" s="1509"/>
      <c r="X640" s="1509"/>
      <c r="Y640" s="1509"/>
      <c r="Z640" s="1509"/>
      <c r="AA640" s="1509"/>
      <c r="AB640" s="1509"/>
      <c r="AC640" s="1509"/>
      <c r="AD640" s="1509"/>
      <c r="AE640" s="1509"/>
      <c r="AF640" s="1509"/>
      <c r="AG640" s="1509"/>
      <c r="AH640" s="1509"/>
      <c r="AI640" s="1509"/>
      <c r="AJ640" s="1509"/>
      <c r="AK640" s="1509"/>
      <c r="AL640" s="1509"/>
      <c r="AM640" s="1509"/>
      <c r="AN640" s="1510"/>
      <c r="AO640" s="1475">
        <v>29061967</v>
      </c>
      <c r="AP640" s="1476"/>
      <c r="AQ640" s="1476"/>
      <c r="AR640" s="1476"/>
      <c r="AS640" s="147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506" t="e">
        <f t="shared" si="2"/>
        <v>#VALUE!</v>
      </c>
      <c r="DY640" s="1506"/>
      <c r="DZ640" s="1506"/>
      <c r="EA640" s="1506"/>
      <c r="EB640" s="1506"/>
      <c r="EC640" s="1506" t="e">
        <f t="shared" si="3"/>
        <v>#VALUE!</v>
      </c>
      <c r="ED640" s="1506"/>
      <c r="EE640" s="1506"/>
      <c r="EF640" s="1506"/>
      <c r="EG640" s="1506"/>
      <c r="EH640" s="1506" t="e">
        <f t="shared" si="4"/>
        <v>#VALUE!</v>
      </c>
      <c r="EI640" s="1506"/>
      <c r="EJ640" s="1506"/>
      <c r="EK640" s="1506"/>
      <c r="EL640" s="1506"/>
      <c r="EM640" s="1506">
        <f t="shared" si="5"/>
        <v>849.40625</v>
      </c>
      <c r="EN640" s="1506"/>
      <c r="EO640" s="1506"/>
      <c r="EP640" s="1506"/>
      <c r="EQ640" s="1506"/>
      <c r="ER640" s="1506" t="e">
        <f t="shared" si="6"/>
        <v>#VALUE!</v>
      </c>
      <c r="ES640" s="1506"/>
      <c r="ET640" s="1506"/>
      <c r="EU640" s="1506"/>
      <c r="EV640" s="1506"/>
      <c r="EW640" s="1506" t="e">
        <f t="shared" si="7"/>
        <v>#VALUE!</v>
      </c>
      <c r="EX640" s="1506"/>
      <c r="EY640" s="1506"/>
      <c r="EZ640" s="1506"/>
      <c r="FA640" s="1506"/>
    </row>
    <row r="641" spans="1:157" ht="12.95" customHeight="1">
      <c r="B641" s="1625" t="s">
        <v>267</v>
      </c>
      <c r="C641" s="1626"/>
      <c r="D641" s="1626"/>
      <c r="E641" s="1626"/>
      <c r="F641" s="1626"/>
      <c r="G641" s="1626"/>
      <c r="H641" s="1626"/>
      <c r="I641" s="1626"/>
      <c r="J641" s="1626"/>
      <c r="K641" s="1626"/>
      <c r="L641" s="1626"/>
      <c r="M641" s="1626"/>
      <c r="N641" s="1626"/>
      <c r="O641" s="1626"/>
      <c r="P641" s="1626"/>
      <c r="Q641" s="1626"/>
      <c r="R641" s="1626"/>
      <c r="S641" s="1626"/>
      <c r="T641" s="1626"/>
      <c r="U641" s="1626"/>
      <c r="V641" s="1626"/>
      <c r="W641" s="1626"/>
      <c r="X641" s="1626"/>
      <c r="Y641" s="1626"/>
      <c r="Z641" s="1626"/>
      <c r="AA641" s="1626"/>
      <c r="AB641" s="1626"/>
      <c r="AC641" s="1626"/>
      <c r="AD641" s="1626"/>
      <c r="AE641" s="1626"/>
      <c r="AF641" s="1626"/>
      <c r="AG641" s="1626"/>
      <c r="AH641" s="1626"/>
      <c r="AI641" s="1626"/>
      <c r="AJ641" s="1626"/>
      <c r="AK641" s="1626"/>
      <c r="AL641" s="1626"/>
      <c r="AM641" s="1626"/>
      <c r="AN641" s="1627"/>
      <c r="AO641" s="1495">
        <f>AO639+AO640</f>
        <v>73932184</v>
      </c>
      <c r="AP641" s="1496"/>
      <c r="AQ641" s="1496"/>
      <c r="AR641" s="1496"/>
      <c r="AS641" s="149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506" t="e">
        <f t="shared" si="2"/>
        <v>#VALUE!</v>
      </c>
      <c r="DY641" s="1506"/>
      <c r="DZ641" s="1506"/>
      <c r="EA641" s="1506"/>
      <c r="EB641" s="1506"/>
      <c r="EC641" s="1506">
        <f t="shared" si="3"/>
        <v>1173.2</v>
      </c>
      <c r="ED641" s="1506"/>
      <c r="EE641" s="1506"/>
      <c r="EF641" s="1506"/>
      <c r="EG641" s="1506"/>
      <c r="EH641" s="1506" t="e">
        <f t="shared" si="4"/>
        <v>#VALUE!</v>
      </c>
      <c r="EI641" s="1506"/>
      <c r="EJ641" s="1506"/>
      <c r="EK641" s="1506"/>
      <c r="EL641" s="1506"/>
      <c r="EM641" s="1506" t="e">
        <f t="shared" si="5"/>
        <v>#VALUE!</v>
      </c>
      <c r="EN641" s="1506"/>
      <c r="EO641" s="1506"/>
      <c r="EP641" s="1506"/>
      <c r="EQ641" s="1506"/>
      <c r="ER641" s="1506" t="e">
        <f t="shared" si="6"/>
        <v>#VALUE!</v>
      </c>
      <c r="ES641" s="1506"/>
      <c r="ET641" s="1506"/>
      <c r="EU641" s="1506"/>
      <c r="EV641" s="1506"/>
      <c r="EW641" s="1506" t="e">
        <f t="shared" si="7"/>
        <v>#VALUE!</v>
      </c>
      <c r="EX641" s="1506"/>
      <c r="EY641" s="1506"/>
      <c r="EZ641" s="1506"/>
      <c r="FA641" s="150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506" t="e">
        <f t="shared" si="2"/>
        <v>#VALUE!</v>
      </c>
      <c r="DY642" s="1506"/>
      <c r="DZ642" s="1506"/>
      <c r="EA642" s="1506"/>
      <c r="EB642" s="1506"/>
      <c r="EC642" s="1506" t="e">
        <f t="shared" si="3"/>
        <v>#VALUE!</v>
      </c>
      <c r="ED642" s="1506"/>
      <c r="EE642" s="1506"/>
      <c r="EF642" s="1506"/>
      <c r="EG642" s="1506"/>
      <c r="EH642" s="1506">
        <f t="shared" si="4"/>
        <v>1388.808510638298</v>
      </c>
      <c r="EI642" s="1506"/>
      <c r="EJ642" s="1506"/>
      <c r="EK642" s="1506"/>
      <c r="EL642" s="1506"/>
      <c r="EM642" s="1506" t="e">
        <f t="shared" si="5"/>
        <v>#VALUE!</v>
      </c>
      <c r="EN642" s="1506"/>
      <c r="EO642" s="1506"/>
      <c r="EP642" s="1506"/>
      <c r="EQ642" s="1506"/>
      <c r="ER642" s="1506" t="e">
        <f t="shared" si="6"/>
        <v>#VALUE!</v>
      </c>
      <c r="ES642" s="1506"/>
      <c r="ET642" s="1506"/>
      <c r="EU642" s="1506"/>
      <c r="EV642" s="1506"/>
      <c r="EW642" s="1506" t="e">
        <f t="shared" si="7"/>
        <v>#VALUE!</v>
      </c>
      <c r="EX642" s="1506"/>
      <c r="EY642" s="1506"/>
      <c r="EZ642" s="1506"/>
      <c r="FA642" s="1506"/>
    </row>
    <row r="643" spans="1:157" ht="12.95" customHeight="1">
      <c r="A643" s="55" t="s">
        <v>112</v>
      </c>
      <c r="B643" t="s">
        <v>463</v>
      </c>
      <c r="G643" s="1474" t="str">
        <f>C627</f>
        <v>CalHFA Permanent Loan</v>
      </c>
      <c r="H643" s="1474"/>
      <c r="I643" s="1474"/>
      <c r="J643" s="1474"/>
      <c r="K643" s="1474"/>
      <c r="L643" s="1474"/>
      <c r="M643" s="1474"/>
      <c r="N643" s="1474"/>
      <c r="O643" s="1474"/>
      <c r="P643" s="1474"/>
      <c r="Q643" s="1474"/>
      <c r="R643" s="1474"/>
      <c r="S643" s="8"/>
      <c r="T643" s="55" t="s">
        <v>113</v>
      </c>
      <c r="U643" t="s">
        <v>463</v>
      </c>
      <c r="Z643" s="1474" t="str">
        <f>C628</f>
        <v>CalHFA MIP Loan</v>
      </c>
      <c r="AA643" s="1474"/>
      <c r="AB643" s="1474"/>
      <c r="AC643" s="1474"/>
      <c r="AD643" s="1474"/>
      <c r="AE643" s="1474"/>
      <c r="AF643" s="1474"/>
      <c r="AG643" s="1474"/>
      <c r="AH643" s="1474"/>
      <c r="AI643" s="1474"/>
      <c r="AJ643" s="1474"/>
      <c r="AK643" s="147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506" t="e">
        <f t="shared" si="2"/>
        <v>#VALUE!</v>
      </c>
      <c r="DY643" s="1506"/>
      <c r="DZ643" s="1506"/>
      <c r="EA643" s="1506"/>
      <c r="EB643" s="1506"/>
      <c r="EC643" s="1506" t="e">
        <f t="shared" si="3"/>
        <v>#VALUE!</v>
      </c>
      <c r="ED643" s="1506"/>
      <c r="EE643" s="1506"/>
      <c r="EF643" s="1506"/>
      <c r="EG643" s="1506"/>
      <c r="EH643" s="1506" t="e">
        <f t="shared" si="4"/>
        <v>#VALUE!</v>
      </c>
      <c r="EI643" s="1506"/>
      <c r="EJ643" s="1506"/>
      <c r="EK643" s="1506"/>
      <c r="EL643" s="1506"/>
      <c r="EM643" s="1506">
        <f t="shared" si="5"/>
        <v>1955.8125</v>
      </c>
      <c r="EN643" s="1506"/>
      <c r="EO643" s="1506"/>
      <c r="EP643" s="1506"/>
      <c r="EQ643" s="1506"/>
      <c r="ER643" s="1506" t="e">
        <f t="shared" si="6"/>
        <v>#VALUE!</v>
      </c>
      <c r="ES643" s="1506"/>
      <c r="ET643" s="1506"/>
      <c r="EU643" s="1506"/>
      <c r="EV643" s="1506"/>
      <c r="EW643" s="1506" t="e">
        <f t="shared" si="7"/>
        <v>#VALUE!</v>
      </c>
      <c r="EX643" s="1506"/>
      <c r="EY643" s="1506"/>
      <c r="EZ643" s="1506"/>
      <c r="FA643" s="1506"/>
    </row>
    <row r="644" spans="1:157" ht="12.95" customHeight="1">
      <c r="A644" s="22"/>
      <c r="B644" t="s">
        <v>85</v>
      </c>
      <c r="G644" s="1485" t="s">
        <v>2759</v>
      </c>
      <c r="H644" s="1485"/>
      <c r="I644" s="1485"/>
      <c r="J644" s="1485"/>
      <c r="K644" s="1485"/>
      <c r="L644" s="1485"/>
      <c r="M644" s="1485"/>
      <c r="N644" s="1485"/>
      <c r="O644" s="1485"/>
      <c r="P644" s="1485"/>
      <c r="Q644" s="1485"/>
      <c r="R644" s="1485"/>
      <c r="S644" s="8"/>
      <c r="T644" s="22"/>
      <c r="U644" t="s">
        <v>85</v>
      </c>
      <c r="Z644" s="1485" t="str">
        <f>G644</f>
        <v>500 Capitol Mall, Suite 400, MS 990</v>
      </c>
      <c r="AA644" s="1485"/>
      <c r="AB644" s="1485"/>
      <c r="AC644" s="1485"/>
      <c r="AD644" s="1485"/>
      <c r="AE644" s="1485"/>
      <c r="AF644" s="1485"/>
      <c r="AG644" s="1485"/>
      <c r="AH644" s="1485"/>
      <c r="AI644" s="1485"/>
      <c r="AJ644" s="1485"/>
      <c r="AK644" s="1485"/>
      <c r="AV644" s="3"/>
      <c r="AW644" s="3"/>
      <c r="AX644" s="3"/>
      <c r="AY644" s="3"/>
      <c r="AZ644" s="3"/>
      <c r="BA644" s="3"/>
      <c r="BB644" s="3"/>
      <c r="BC644" s="3"/>
      <c r="BD644" s="3"/>
      <c r="BE644" s="3"/>
      <c r="BF644" s="3"/>
      <c r="BG644" s="3"/>
      <c r="BH644" s="3"/>
      <c r="BI644" s="3"/>
      <c r="BJ644" s="3"/>
      <c r="BK644" s="3"/>
      <c r="BL644" s="3"/>
      <c r="BM644" s="3"/>
      <c r="DX644" s="1506" t="e">
        <f t="shared" si="2"/>
        <v>#VALUE!</v>
      </c>
      <c r="DY644" s="1506"/>
      <c r="DZ644" s="1506"/>
      <c r="EA644" s="1506"/>
      <c r="EB644" s="1506"/>
      <c r="EC644" s="1506" t="e">
        <f t="shared" si="3"/>
        <v>#VALUE!</v>
      </c>
      <c r="ED644" s="1506"/>
      <c r="EE644" s="1506"/>
      <c r="EF644" s="1506"/>
      <c r="EG644" s="1506"/>
      <c r="EH644" s="1506" t="e">
        <f t="shared" si="4"/>
        <v>#VALUE!</v>
      </c>
      <c r="EI644" s="1506"/>
      <c r="EJ644" s="1506"/>
      <c r="EK644" s="1506"/>
      <c r="EL644" s="1506"/>
      <c r="EM644" s="1506" t="e">
        <f t="shared" si="5"/>
        <v>#VALUE!</v>
      </c>
      <c r="EN644" s="1506"/>
      <c r="EO644" s="1506"/>
      <c r="EP644" s="1506"/>
      <c r="EQ644" s="1506"/>
      <c r="ER644" s="1506" t="e">
        <f t="shared" si="6"/>
        <v>#VALUE!</v>
      </c>
      <c r="ES644" s="1506"/>
      <c r="ET644" s="1506"/>
      <c r="EU644" s="1506"/>
      <c r="EV644" s="1506"/>
      <c r="EW644" s="1506" t="e">
        <f t="shared" si="7"/>
        <v>#VALUE!</v>
      </c>
      <c r="EX644" s="1506"/>
      <c r="EY644" s="1506"/>
      <c r="EZ644" s="1506"/>
      <c r="FA644" s="1506"/>
    </row>
    <row r="645" spans="1:157" ht="12.95" customHeight="1">
      <c r="A645" s="22"/>
      <c r="B645" t="s">
        <v>580</v>
      </c>
      <c r="G645" s="1485" t="s">
        <v>2760</v>
      </c>
      <c r="H645" s="1485"/>
      <c r="I645" s="1485"/>
      <c r="J645" s="1485"/>
      <c r="K645" s="1485"/>
      <c r="L645" s="1485"/>
      <c r="M645" s="1485"/>
      <c r="N645" s="1485"/>
      <c r="O645" s="1485"/>
      <c r="P645" s="1485"/>
      <c r="Q645" s="1485"/>
      <c r="R645" s="1485"/>
      <c r="T645" s="22"/>
      <c r="U645" t="s">
        <v>580</v>
      </c>
      <c r="Z645" s="1480" t="str">
        <f>G645</f>
        <v xml:space="preserve">Sacramento											</v>
      </c>
      <c r="AA645" s="1480"/>
      <c r="AB645" s="1480"/>
      <c r="AC645" s="1480"/>
      <c r="AD645" s="1480"/>
      <c r="AE645" s="1480"/>
      <c r="AF645" s="1480"/>
      <c r="AG645" s="1480"/>
      <c r="AH645" s="1480"/>
      <c r="AI645" s="1480"/>
      <c r="AJ645" s="1480"/>
      <c r="AK645" s="1480"/>
      <c r="AV645" s="3"/>
      <c r="AW645" s="3"/>
      <c r="AX645" s="3"/>
      <c r="AY645" s="3"/>
      <c r="AZ645" s="3"/>
      <c r="BA645" s="3"/>
      <c r="BB645" s="3"/>
      <c r="BC645" s="3"/>
      <c r="BD645" s="3"/>
      <c r="BE645" s="3"/>
      <c r="BF645" s="3"/>
      <c r="BG645" s="3"/>
      <c r="BH645" s="3"/>
      <c r="BI645" s="3"/>
      <c r="BJ645" s="3"/>
      <c r="BK645" s="3"/>
      <c r="BL645" s="3"/>
      <c r="BM645" s="3"/>
      <c r="DX645" s="1506" t="e">
        <f t="shared" si="2"/>
        <v>#VALUE!</v>
      </c>
      <c r="DY645" s="1506"/>
      <c r="DZ645" s="1506"/>
      <c r="EA645" s="1506"/>
      <c r="EB645" s="1506"/>
      <c r="EC645" s="1506" t="e">
        <f t="shared" si="3"/>
        <v>#VALUE!</v>
      </c>
      <c r="ED645" s="1506"/>
      <c r="EE645" s="1506"/>
      <c r="EF645" s="1506"/>
      <c r="EG645" s="1506"/>
      <c r="EH645" s="1506" t="e">
        <f t="shared" si="4"/>
        <v>#VALUE!</v>
      </c>
      <c r="EI645" s="1506"/>
      <c r="EJ645" s="1506"/>
      <c r="EK645" s="1506"/>
      <c r="EL645" s="1506"/>
      <c r="EM645" s="1506" t="e">
        <f t="shared" si="5"/>
        <v>#VALUE!</v>
      </c>
      <c r="EN645" s="1506"/>
      <c r="EO645" s="1506"/>
      <c r="EP645" s="1506"/>
      <c r="EQ645" s="1506"/>
      <c r="ER645" s="1506" t="e">
        <f t="shared" si="6"/>
        <v>#VALUE!</v>
      </c>
      <c r="ES645" s="1506"/>
      <c r="ET645" s="1506"/>
      <c r="EU645" s="1506"/>
      <c r="EV645" s="1506"/>
      <c r="EW645" s="1506" t="e">
        <f t="shared" si="7"/>
        <v>#VALUE!</v>
      </c>
      <c r="EX645" s="1506"/>
      <c r="EY645" s="1506"/>
      <c r="EZ645" s="1506"/>
      <c r="FA645" s="1506"/>
    </row>
    <row r="646" spans="1:157" ht="12.95" customHeight="1">
      <c r="A646" s="22"/>
      <c r="B646" t="s">
        <v>17</v>
      </c>
      <c r="G646" s="1485" t="s">
        <v>2761</v>
      </c>
      <c r="H646" s="1485"/>
      <c r="I646" s="1485"/>
      <c r="J646" s="1485"/>
      <c r="K646" s="1485"/>
      <c r="L646" s="1485"/>
      <c r="M646" s="1485"/>
      <c r="N646" s="1485"/>
      <c r="O646" s="1485"/>
      <c r="P646" s="1485"/>
      <c r="Q646" s="1485"/>
      <c r="R646" s="1485"/>
      <c r="S646" s="8"/>
      <c r="T646" s="22"/>
      <c r="U646" t="s">
        <v>17</v>
      </c>
      <c r="Z646" s="1480" t="str">
        <f>G646</f>
        <v>Kevin Brown</v>
      </c>
      <c r="AA646" s="1480"/>
      <c r="AB646" s="1480"/>
      <c r="AC646" s="1480"/>
      <c r="AD646" s="1480"/>
      <c r="AE646" s="1480"/>
      <c r="AF646" s="1480"/>
      <c r="AG646" s="1480"/>
      <c r="AH646" s="1480"/>
      <c r="AI646" s="1480"/>
      <c r="AJ646" s="1480"/>
      <c r="AK646" s="1480"/>
      <c r="AZ646" s="3"/>
      <c r="BA646" s="3"/>
      <c r="BB646" s="3"/>
      <c r="BC646" s="3"/>
      <c r="BD646" s="3"/>
      <c r="BE646" s="3"/>
      <c r="BF646" s="3"/>
      <c r="BG646" s="3"/>
      <c r="BH646" s="3"/>
      <c r="BI646" s="3"/>
      <c r="BJ646" s="3"/>
      <c r="BK646" s="3"/>
      <c r="BL646" s="3"/>
      <c r="BM646" s="3"/>
      <c r="DX646" s="1506" t="e">
        <f t="shared" si="2"/>
        <v>#VALUE!</v>
      </c>
      <c r="DY646" s="1506"/>
      <c r="DZ646" s="1506"/>
      <c r="EA646" s="1506"/>
      <c r="EB646" s="1506"/>
      <c r="EC646" s="1506" t="e">
        <f t="shared" si="3"/>
        <v>#VALUE!</v>
      </c>
      <c r="ED646" s="1506"/>
      <c r="EE646" s="1506"/>
      <c r="EF646" s="1506"/>
      <c r="EG646" s="1506"/>
      <c r="EH646" s="1506" t="e">
        <f t="shared" si="4"/>
        <v>#VALUE!</v>
      </c>
      <c r="EI646" s="1506"/>
      <c r="EJ646" s="1506"/>
      <c r="EK646" s="1506"/>
      <c r="EL646" s="1506"/>
      <c r="EM646" s="1506" t="e">
        <f t="shared" si="5"/>
        <v>#VALUE!</v>
      </c>
      <c r="EN646" s="1506"/>
      <c r="EO646" s="1506"/>
      <c r="EP646" s="1506"/>
      <c r="EQ646" s="1506"/>
      <c r="ER646" s="1506" t="e">
        <f t="shared" si="6"/>
        <v>#VALUE!</v>
      </c>
      <c r="ES646" s="1506"/>
      <c r="ET646" s="1506"/>
      <c r="EU646" s="1506"/>
      <c r="EV646" s="1506"/>
      <c r="EW646" s="1506" t="e">
        <f t="shared" si="7"/>
        <v>#VALUE!</v>
      </c>
      <c r="EX646" s="1506"/>
      <c r="EY646" s="1506"/>
      <c r="EZ646" s="1506"/>
      <c r="FA646" s="1506"/>
    </row>
    <row r="647" spans="1:157" ht="12.95" customHeight="1">
      <c r="A647" s="22"/>
      <c r="B647" t="s">
        <v>315</v>
      </c>
      <c r="G647" s="1478" t="s">
        <v>2762</v>
      </c>
      <c r="H647" s="1479"/>
      <c r="I647" s="1479"/>
      <c r="J647" s="1479"/>
      <c r="K647" s="1479"/>
      <c r="L647" s="1479"/>
      <c r="O647" s="33" t="s">
        <v>205</v>
      </c>
      <c r="P647" s="1440"/>
      <c r="Q647" s="1440"/>
      <c r="R647" s="1440"/>
      <c r="S647" s="10"/>
      <c r="T647" s="22"/>
      <c r="U647" t="s">
        <v>315</v>
      </c>
      <c r="Z647" s="1479" t="str">
        <f>G647</f>
        <v xml:space="preserve">(916) 326-8800					</v>
      </c>
      <c r="AA647" s="1479"/>
      <c r="AB647" s="1479"/>
      <c r="AC647" s="1479"/>
      <c r="AD647" s="1479"/>
      <c r="AE647" s="1479"/>
      <c r="AH647" s="33" t="s">
        <v>205</v>
      </c>
      <c r="AI647" s="1440"/>
      <c r="AJ647" s="1440"/>
      <c r="AK647" s="1440"/>
      <c r="AZ647" s="34"/>
      <c r="BA647" s="34"/>
      <c r="BB647" s="34"/>
      <c r="BC647" s="34"/>
      <c r="BD647" s="34"/>
      <c r="BE647" s="34"/>
      <c r="BF647" s="34"/>
      <c r="BG647" s="34"/>
      <c r="BH647" s="34"/>
      <c r="BI647" s="34"/>
      <c r="BJ647" s="34"/>
      <c r="BK647" s="34"/>
      <c r="BL647" s="34"/>
      <c r="BM647" s="34"/>
      <c r="DX647" s="1506" t="e">
        <f t="shared" si="2"/>
        <v>#VALUE!</v>
      </c>
      <c r="DY647" s="1506"/>
      <c r="DZ647" s="1506"/>
      <c r="EA647" s="1506"/>
      <c r="EB647" s="1506"/>
      <c r="EC647" s="1506" t="e">
        <f t="shared" si="3"/>
        <v>#VALUE!</v>
      </c>
      <c r="ED647" s="1506"/>
      <c r="EE647" s="1506"/>
      <c r="EF647" s="1506"/>
      <c r="EG647" s="1506"/>
      <c r="EH647" s="1506" t="e">
        <f t="shared" si="4"/>
        <v>#VALUE!</v>
      </c>
      <c r="EI647" s="1506"/>
      <c r="EJ647" s="1506"/>
      <c r="EK647" s="1506"/>
      <c r="EL647" s="1506"/>
      <c r="EM647" s="1506" t="e">
        <f t="shared" si="5"/>
        <v>#VALUE!</v>
      </c>
      <c r="EN647" s="1506"/>
      <c r="EO647" s="1506"/>
      <c r="EP647" s="1506"/>
      <c r="EQ647" s="1506"/>
      <c r="ER647" s="1506" t="e">
        <f t="shared" si="6"/>
        <v>#VALUE!</v>
      </c>
      <c r="ES647" s="1506"/>
      <c r="ET647" s="1506"/>
      <c r="EU647" s="1506"/>
      <c r="EV647" s="1506"/>
      <c r="EW647" s="1506" t="e">
        <f t="shared" si="7"/>
        <v>#VALUE!</v>
      </c>
      <c r="EX647" s="1506"/>
      <c r="EY647" s="1506"/>
      <c r="EZ647" s="1506"/>
      <c r="FA647" s="1506"/>
    </row>
    <row r="648" spans="1:157" ht="12.95" customHeight="1">
      <c r="A648" s="22"/>
      <c r="B648" t="s">
        <v>18</v>
      </c>
      <c r="H648" s="1485" t="s">
        <v>2745</v>
      </c>
      <c r="I648" s="1485"/>
      <c r="J648" s="1485"/>
      <c r="K648" s="1485"/>
      <c r="L648" s="1485"/>
      <c r="M648" s="1485"/>
      <c r="N648" s="1485"/>
      <c r="O648" s="1485"/>
      <c r="P648" s="1485"/>
      <c r="Q648" s="1485"/>
      <c r="R648" s="1485"/>
      <c r="S648" s="8"/>
      <c r="T648" s="22"/>
      <c r="U648" t="s">
        <v>18</v>
      </c>
      <c r="AA648" s="1485" t="s">
        <v>457</v>
      </c>
      <c r="AB648" s="1485"/>
      <c r="AC648" s="1485"/>
      <c r="AD648" s="1485"/>
      <c r="AE648" s="1485"/>
      <c r="AF648" s="1485"/>
      <c r="AG648" s="1485"/>
      <c r="AH648" s="1485"/>
      <c r="AI648" s="1485"/>
      <c r="AJ648" s="1485"/>
      <c r="AK648" s="1485"/>
      <c r="AZ648" s="34"/>
      <c r="BA648" s="34"/>
      <c r="BB648" s="34"/>
      <c r="BC648" s="34"/>
      <c r="BD648" s="34"/>
      <c r="BE648" s="34"/>
      <c r="BF648" s="34"/>
      <c r="BG648" s="34"/>
      <c r="BH648" s="34"/>
      <c r="BI648" s="34"/>
      <c r="BJ648" s="34"/>
      <c r="BK648" s="34"/>
      <c r="BL648" s="34"/>
      <c r="BM648" s="34"/>
      <c r="DX648" s="1506" t="e">
        <f t="shared" si="2"/>
        <v>#VALUE!</v>
      </c>
      <c r="DY648" s="1506"/>
      <c r="DZ648" s="1506"/>
      <c r="EA648" s="1506"/>
      <c r="EB648" s="1506"/>
      <c r="EC648" s="1506" t="e">
        <f t="shared" si="3"/>
        <v>#VALUE!</v>
      </c>
      <c r="ED648" s="1506"/>
      <c r="EE648" s="1506"/>
      <c r="EF648" s="1506"/>
      <c r="EG648" s="1506"/>
      <c r="EH648" s="1506" t="e">
        <f t="shared" si="4"/>
        <v>#VALUE!</v>
      </c>
      <c r="EI648" s="1506"/>
      <c r="EJ648" s="1506"/>
      <c r="EK648" s="1506"/>
      <c r="EL648" s="1506"/>
      <c r="EM648" s="1506" t="e">
        <f t="shared" si="5"/>
        <v>#VALUE!</v>
      </c>
      <c r="EN648" s="1506"/>
      <c r="EO648" s="1506"/>
      <c r="EP648" s="1506"/>
      <c r="EQ648" s="1506"/>
      <c r="ER648" s="1506" t="e">
        <f t="shared" si="6"/>
        <v>#VALUE!</v>
      </c>
      <c r="ES648" s="1506"/>
      <c r="ET648" s="1506"/>
      <c r="EU648" s="1506"/>
      <c r="EV648" s="1506"/>
      <c r="EW648" s="1506" t="e">
        <f t="shared" si="7"/>
        <v>#VALUE!</v>
      </c>
      <c r="EX648" s="1506"/>
      <c r="EY648" s="1506"/>
      <c r="EZ648" s="1506"/>
      <c r="FA648" s="1506"/>
    </row>
    <row r="649" spans="1:157" ht="12.95" customHeight="1">
      <c r="A649" s="22"/>
      <c r="B649" t="s">
        <v>20</v>
      </c>
      <c r="N649" s="1351" t="s">
        <v>669</v>
      </c>
      <c r="O649" s="1351"/>
      <c r="T649" s="22"/>
      <c r="U649" t="s">
        <v>20</v>
      </c>
      <c r="AG649" s="1351" t="s">
        <v>669</v>
      </c>
      <c r="AH649" s="1351"/>
      <c r="AZ649" s="34"/>
      <c r="BA649" s="34"/>
      <c r="BB649" s="34"/>
      <c r="BC649" s="34"/>
      <c r="BD649" s="34"/>
      <c r="BE649" s="34"/>
      <c r="BF649" s="34"/>
      <c r="BG649" s="34"/>
      <c r="BH649" s="34"/>
      <c r="BI649" s="34"/>
      <c r="BJ649" s="34"/>
      <c r="BK649" s="34"/>
      <c r="BL649" s="34"/>
      <c r="BM649" s="34"/>
      <c r="DX649" s="1506" t="e">
        <f t="shared" si="2"/>
        <v>#VALUE!</v>
      </c>
      <c r="DY649" s="1506"/>
      <c r="DZ649" s="1506"/>
      <c r="EA649" s="1506"/>
      <c r="EB649" s="1506"/>
      <c r="EC649" s="1506" t="e">
        <f t="shared" si="3"/>
        <v>#VALUE!</v>
      </c>
      <c r="ED649" s="1506"/>
      <c r="EE649" s="1506"/>
      <c r="EF649" s="1506"/>
      <c r="EG649" s="1506"/>
      <c r="EH649" s="1506" t="e">
        <f t="shared" si="4"/>
        <v>#VALUE!</v>
      </c>
      <c r="EI649" s="1506"/>
      <c r="EJ649" s="1506"/>
      <c r="EK649" s="1506"/>
      <c r="EL649" s="1506"/>
      <c r="EM649" s="1506" t="e">
        <f t="shared" si="5"/>
        <v>#VALUE!</v>
      </c>
      <c r="EN649" s="1506"/>
      <c r="EO649" s="1506"/>
      <c r="EP649" s="1506"/>
      <c r="EQ649" s="1506"/>
      <c r="ER649" s="1506" t="e">
        <f t="shared" si="6"/>
        <v>#VALUE!</v>
      </c>
      <c r="ES649" s="1506"/>
      <c r="ET649" s="1506"/>
      <c r="EU649" s="1506"/>
      <c r="EV649" s="1506"/>
      <c r="EW649" s="1506" t="e">
        <f t="shared" si="7"/>
        <v>#VALUE!</v>
      </c>
      <c r="EX649" s="1506"/>
      <c r="EY649" s="1506"/>
      <c r="EZ649" s="1506"/>
      <c r="FA649" s="1506"/>
    </row>
    <row r="650" spans="1:157" ht="12.95" customHeight="1">
      <c r="A650" s="22"/>
      <c r="T650" s="22"/>
      <c r="AZ650" s="34"/>
      <c r="BA650" s="34"/>
      <c r="BB650" s="34"/>
      <c r="BC650" s="34"/>
      <c r="BD650" s="34"/>
      <c r="BE650" s="34"/>
      <c r="BF650" s="34"/>
      <c r="BG650" s="34"/>
      <c r="BH650" s="34"/>
      <c r="BI650" s="34"/>
      <c r="BJ650" s="34"/>
      <c r="BK650" s="34"/>
      <c r="BL650" s="34"/>
      <c r="BM650" s="34"/>
      <c r="DX650" s="1506" t="e">
        <f t="shared" si="2"/>
        <v>#VALUE!</v>
      </c>
      <c r="DY650" s="1506"/>
      <c r="DZ650" s="1506"/>
      <c r="EA650" s="1506"/>
      <c r="EB650" s="1506"/>
      <c r="EC650" s="1506" t="e">
        <f t="shared" si="3"/>
        <v>#VALUE!</v>
      </c>
      <c r="ED650" s="1506"/>
      <c r="EE650" s="1506"/>
      <c r="EF650" s="1506"/>
      <c r="EG650" s="1506"/>
      <c r="EH650" s="1506" t="e">
        <f t="shared" si="4"/>
        <v>#VALUE!</v>
      </c>
      <c r="EI650" s="1506"/>
      <c r="EJ650" s="1506"/>
      <c r="EK650" s="1506"/>
      <c r="EL650" s="1506"/>
      <c r="EM650" s="1506" t="e">
        <f t="shared" si="5"/>
        <v>#VALUE!</v>
      </c>
      <c r="EN650" s="1506"/>
      <c r="EO650" s="1506"/>
      <c r="EP650" s="1506"/>
      <c r="EQ650" s="1506"/>
      <c r="ER650" s="1506" t="e">
        <f t="shared" si="6"/>
        <v>#VALUE!</v>
      </c>
      <c r="ES650" s="1506"/>
      <c r="ET650" s="1506"/>
      <c r="EU650" s="1506"/>
      <c r="EV650" s="1506"/>
      <c r="EW650" s="1506" t="e">
        <f t="shared" si="7"/>
        <v>#VALUE!</v>
      </c>
      <c r="EX650" s="1506"/>
      <c r="EY650" s="1506"/>
      <c r="EZ650" s="1506"/>
      <c r="FA650" s="1506"/>
    </row>
    <row r="651" spans="1:157" ht="12.95" customHeight="1">
      <c r="A651" s="55" t="s">
        <v>119</v>
      </c>
      <c r="B651" t="s">
        <v>463</v>
      </c>
      <c r="G651" s="1474" t="str">
        <f>C629</f>
        <v>County of Marin HTF Loan</v>
      </c>
      <c r="H651" s="1474"/>
      <c r="I651" s="1474"/>
      <c r="J651" s="1474"/>
      <c r="K651" s="1474"/>
      <c r="L651" s="1474"/>
      <c r="M651" s="1474"/>
      <c r="N651" s="1474"/>
      <c r="O651" s="1474"/>
      <c r="P651" s="1474"/>
      <c r="Q651" s="1474"/>
      <c r="R651" s="1474"/>
      <c r="T651" s="55" t="s">
        <v>581</v>
      </c>
      <c r="U651" t="s">
        <v>463</v>
      </c>
      <c r="Z651" s="1474" t="str">
        <f>C630</f>
        <v xml:space="preserve">Deferred Developer Fee </v>
      </c>
      <c r="AA651" s="1474"/>
      <c r="AB651" s="1474"/>
      <c r="AC651" s="1474"/>
      <c r="AD651" s="1474"/>
      <c r="AE651" s="1474"/>
      <c r="AF651" s="1474"/>
      <c r="AG651" s="1474"/>
      <c r="AH651" s="1474"/>
      <c r="AI651" s="1474"/>
      <c r="AJ651" s="1474"/>
      <c r="AK651" s="1474"/>
      <c r="AZ651" s="34"/>
      <c r="BA651" s="34"/>
      <c r="BB651" s="34"/>
      <c r="BC651" s="34"/>
      <c r="BD651" s="34"/>
      <c r="BE651" s="34"/>
      <c r="BF651" s="34"/>
      <c r="BG651" s="34"/>
      <c r="BH651" s="34"/>
      <c r="BI651" s="34"/>
      <c r="BJ651" s="34"/>
      <c r="BK651" s="34"/>
      <c r="BL651" s="34"/>
      <c r="BM651" s="34"/>
      <c r="DX651" s="1506" t="e">
        <f t="shared" si="2"/>
        <v>#VALUE!</v>
      </c>
      <c r="DY651" s="1506"/>
      <c r="DZ651" s="1506"/>
      <c r="EA651" s="1506"/>
      <c r="EB651" s="1506"/>
      <c r="EC651" s="1506" t="e">
        <f t="shared" si="3"/>
        <v>#VALUE!</v>
      </c>
      <c r="ED651" s="1506"/>
      <c r="EE651" s="1506"/>
      <c r="EF651" s="1506"/>
      <c r="EG651" s="1506"/>
      <c r="EH651" s="1506" t="e">
        <f t="shared" si="4"/>
        <v>#VALUE!</v>
      </c>
      <c r="EI651" s="1506"/>
      <c r="EJ651" s="1506"/>
      <c r="EK651" s="1506"/>
      <c r="EL651" s="1506"/>
      <c r="EM651" s="1506" t="e">
        <f t="shared" si="5"/>
        <v>#VALUE!</v>
      </c>
      <c r="EN651" s="1506"/>
      <c r="EO651" s="1506"/>
      <c r="EP651" s="1506"/>
      <c r="EQ651" s="1506"/>
      <c r="ER651" s="1506" t="e">
        <f t="shared" si="6"/>
        <v>#VALUE!</v>
      </c>
      <c r="ES651" s="1506"/>
      <c r="ET651" s="1506"/>
      <c r="EU651" s="1506"/>
      <c r="EV651" s="1506"/>
      <c r="EW651" s="1506" t="e">
        <f t="shared" si="7"/>
        <v>#VALUE!</v>
      </c>
      <c r="EX651" s="1506"/>
      <c r="EY651" s="1506"/>
      <c r="EZ651" s="1506"/>
      <c r="FA651" s="1506"/>
    </row>
    <row r="652" spans="1:157" ht="12.95" customHeight="1">
      <c r="A652" s="22"/>
      <c r="B652" t="s">
        <v>85</v>
      </c>
      <c r="G652" s="1485" t="str">
        <f>G578</f>
        <v xml:space="preserve">3501 Civic Center Drive, Suite 308											</v>
      </c>
      <c r="H652" s="1485"/>
      <c r="I652" s="1485"/>
      <c r="J652" s="1485"/>
      <c r="K652" s="1485"/>
      <c r="L652" s="1485"/>
      <c r="M652" s="1485"/>
      <c r="N652" s="1485"/>
      <c r="O652" s="1485"/>
      <c r="P652" s="1485"/>
      <c r="Q652" s="1485"/>
      <c r="R652" s="1485"/>
      <c r="T652" s="22"/>
      <c r="U652" t="s">
        <v>85</v>
      </c>
      <c r="Z652" s="1485" t="str">
        <f>Z578</f>
        <v xml:space="preserve">400 Galleria Parkway, Suite 1450											</v>
      </c>
      <c r="AA652" s="1485"/>
      <c r="AB652" s="1485"/>
      <c r="AC652" s="1485"/>
      <c r="AD652" s="1485"/>
      <c r="AE652" s="1485"/>
      <c r="AF652" s="1485"/>
      <c r="AG652" s="1485"/>
      <c r="AH652" s="1485"/>
      <c r="AI652" s="1485"/>
      <c r="AJ652" s="1485"/>
      <c r="AK652" s="1485"/>
      <c r="AZ652" s="34"/>
      <c r="BA652" s="34"/>
      <c r="BB652" s="34"/>
      <c r="BC652" s="34"/>
      <c r="BD652" s="34"/>
      <c r="BE652" s="34"/>
      <c r="BF652" s="34"/>
      <c r="BG652" s="34"/>
      <c r="BH652" s="34"/>
      <c r="BI652" s="34"/>
      <c r="BJ652" s="34"/>
      <c r="BK652" s="34"/>
      <c r="BL652" s="34"/>
      <c r="BM652" s="34"/>
      <c r="DX652" s="1506" t="e">
        <f t="shared" si="2"/>
        <v>#VALUE!</v>
      </c>
      <c r="DY652" s="1506"/>
      <c r="DZ652" s="1506"/>
      <c r="EA652" s="1506"/>
      <c r="EB652" s="1506"/>
      <c r="EC652" s="1506" t="e">
        <f t="shared" si="3"/>
        <v>#VALUE!</v>
      </c>
      <c r="ED652" s="1506"/>
      <c r="EE652" s="1506"/>
      <c r="EF652" s="1506"/>
      <c r="EG652" s="1506"/>
      <c r="EH652" s="1506" t="e">
        <f t="shared" si="4"/>
        <v>#VALUE!</v>
      </c>
      <c r="EI652" s="1506"/>
      <c r="EJ652" s="1506"/>
      <c r="EK652" s="1506"/>
      <c r="EL652" s="1506"/>
      <c r="EM652" s="1506" t="e">
        <f t="shared" si="5"/>
        <v>#VALUE!</v>
      </c>
      <c r="EN652" s="1506"/>
      <c r="EO652" s="1506"/>
      <c r="EP652" s="1506"/>
      <c r="EQ652" s="1506"/>
      <c r="ER652" s="1506" t="e">
        <f t="shared" si="6"/>
        <v>#VALUE!</v>
      </c>
      <c r="ES652" s="1506"/>
      <c r="ET652" s="1506"/>
      <c r="EU652" s="1506"/>
      <c r="EV652" s="1506"/>
      <c r="EW652" s="1506" t="e">
        <f t="shared" si="7"/>
        <v>#VALUE!</v>
      </c>
      <c r="EX652" s="1506"/>
      <c r="EY652" s="1506"/>
      <c r="EZ652" s="1506"/>
      <c r="FA652" s="1506"/>
    </row>
    <row r="653" spans="1:157" ht="12.95" customHeight="1">
      <c r="A653" s="22"/>
      <c r="B653" t="s">
        <v>580</v>
      </c>
      <c r="G653" s="1480" t="str">
        <f>G579</f>
        <v xml:space="preserve">San Rafael											</v>
      </c>
      <c r="H653" s="1480"/>
      <c r="I653" s="1480"/>
      <c r="J653" s="1480"/>
      <c r="K653" s="1480"/>
      <c r="L653" s="1480"/>
      <c r="M653" s="1480"/>
      <c r="N653" s="1480"/>
      <c r="O653" s="1480"/>
      <c r="P653" s="1480"/>
      <c r="Q653" s="1480"/>
      <c r="R653" s="1480"/>
      <c r="T653" s="22"/>
      <c r="U653" t="s">
        <v>580</v>
      </c>
      <c r="Z653" s="1480" t="str">
        <f>Z579</f>
        <v xml:space="preserve">Atlanta											</v>
      </c>
      <c r="AA653" s="1480"/>
      <c r="AB653" s="1480"/>
      <c r="AC653" s="1480"/>
      <c r="AD653" s="1480"/>
      <c r="AE653" s="1480"/>
      <c r="AF653" s="1480"/>
      <c r="AG653" s="1480"/>
      <c r="AH653" s="1480"/>
      <c r="AI653" s="1480"/>
      <c r="AJ653" s="1480"/>
      <c r="AK653" s="1480"/>
      <c r="AZ653" s="34"/>
      <c r="BA653" s="34"/>
      <c r="BB653" s="34"/>
      <c r="BC653" s="34"/>
      <c r="BD653" s="34"/>
      <c r="BE653" s="34"/>
      <c r="BF653" s="34"/>
      <c r="BG653" s="34"/>
      <c r="BH653" s="34"/>
      <c r="BI653" s="34"/>
      <c r="BJ653" s="34"/>
      <c r="BK653" s="34"/>
      <c r="BL653" s="34"/>
      <c r="BM653" s="34"/>
      <c r="DX653" s="1506" t="e">
        <f t="shared" si="2"/>
        <v>#VALUE!</v>
      </c>
      <c r="DY653" s="1506"/>
      <c r="DZ653" s="1506"/>
      <c r="EA653" s="1506"/>
      <c r="EB653" s="1506"/>
      <c r="EC653" s="1506" t="e">
        <f t="shared" si="3"/>
        <v>#VALUE!</v>
      </c>
      <c r="ED653" s="1506"/>
      <c r="EE653" s="1506"/>
      <c r="EF653" s="1506"/>
      <c r="EG653" s="1506"/>
      <c r="EH653" s="1506" t="e">
        <f t="shared" si="4"/>
        <v>#VALUE!</v>
      </c>
      <c r="EI653" s="1506"/>
      <c r="EJ653" s="1506"/>
      <c r="EK653" s="1506"/>
      <c r="EL653" s="1506"/>
      <c r="EM653" s="1506" t="e">
        <f t="shared" si="5"/>
        <v>#VALUE!</v>
      </c>
      <c r="EN653" s="1506"/>
      <c r="EO653" s="1506"/>
      <c r="EP653" s="1506"/>
      <c r="EQ653" s="1506"/>
      <c r="ER653" s="1506" t="e">
        <f t="shared" si="6"/>
        <v>#VALUE!</v>
      </c>
      <c r="ES653" s="1506"/>
      <c r="ET653" s="1506"/>
      <c r="EU653" s="1506"/>
      <c r="EV653" s="1506"/>
      <c r="EW653" s="1506" t="e">
        <f t="shared" si="7"/>
        <v>#VALUE!</v>
      </c>
      <c r="EX653" s="1506"/>
      <c r="EY653" s="1506"/>
      <c r="EZ653" s="1506"/>
      <c r="FA653" s="1506"/>
    </row>
    <row r="654" spans="1:157" ht="12.95" customHeight="1">
      <c r="A654" s="22"/>
      <c r="B654" t="s">
        <v>17</v>
      </c>
      <c r="G654" s="1480" t="str">
        <f>G580</f>
        <v xml:space="preserve">Leelee Thomas 											</v>
      </c>
      <c r="H654" s="1480"/>
      <c r="I654" s="1480"/>
      <c r="J654" s="1480"/>
      <c r="K654" s="1480"/>
      <c r="L654" s="1480"/>
      <c r="M654" s="1480"/>
      <c r="N654" s="1480"/>
      <c r="O654" s="1480"/>
      <c r="P654" s="1480"/>
      <c r="Q654" s="1480"/>
      <c r="R654" s="1480"/>
      <c r="T654" s="22"/>
      <c r="U654" t="s">
        <v>17</v>
      </c>
      <c r="Z654" s="1480" t="str">
        <f>Z580</f>
        <v xml:space="preserve">Kevin Fitzpatrick											</v>
      </c>
      <c r="AA654" s="1480"/>
      <c r="AB654" s="1480"/>
      <c r="AC654" s="1480"/>
      <c r="AD654" s="1480"/>
      <c r="AE654" s="1480"/>
      <c r="AF654" s="1480"/>
      <c r="AG654" s="1480"/>
      <c r="AH654" s="1480"/>
      <c r="AI654" s="1480"/>
      <c r="AJ654" s="1480"/>
      <c r="AK654" s="1480"/>
      <c r="AZ654" s="34"/>
      <c r="BA654" s="34"/>
      <c r="BB654" s="34"/>
      <c r="BC654" s="34"/>
      <c r="BD654" s="34"/>
      <c r="BE654" s="34"/>
      <c r="BF654" s="34"/>
      <c r="BG654" s="34"/>
      <c r="BH654" s="34"/>
      <c r="BI654" s="34"/>
      <c r="BJ654" s="34"/>
      <c r="BK654" s="34"/>
      <c r="BL654" s="34"/>
      <c r="BM654" s="34"/>
      <c r="DX654" s="1506" t="e">
        <f t="shared" si="2"/>
        <v>#VALUE!</v>
      </c>
      <c r="DY654" s="1506"/>
      <c r="DZ654" s="1506"/>
      <c r="EA654" s="1506"/>
      <c r="EB654" s="1506"/>
      <c r="EC654" s="1506" t="e">
        <f t="shared" si="3"/>
        <v>#VALUE!</v>
      </c>
      <c r="ED654" s="1506"/>
      <c r="EE654" s="1506"/>
      <c r="EF654" s="1506"/>
      <c r="EG654" s="1506"/>
      <c r="EH654" s="1506" t="e">
        <f t="shared" si="4"/>
        <v>#VALUE!</v>
      </c>
      <c r="EI654" s="1506"/>
      <c r="EJ654" s="1506"/>
      <c r="EK654" s="1506"/>
      <c r="EL654" s="1506"/>
      <c r="EM654" s="1506" t="e">
        <f t="shared" si="5"/>
        <v>#VALUE!</v>
      </c>
      <c r="EN654" s="1506"/>
      <c r="EO654" s="1506"/>
      <c r="EP654" s="1506"/>
      <c r="EQ654" s="1506"/>
      <c r="ER654" s="1506" t="e">
        <f t="shared" si="6"/>
        <v>#VALUE!</v>
      </c>
      <c r="ES654" s="1506"/>
      <c r="ET654" s="1506"/>
      <c r="EU654" s="1506"/>
      <c r="EV654" s="1506"/>
      <c r="EW654" s="1506" t="e">
        <f t="shared" si="7"/>
        <v>#VALUE!</v>
      </c>
      <c r="EX654" s="1506"/>
      <c r="EY654" s="1506"/>
      <c r="EZ654" s="1506"/>
      <c r="FA654" s="1506"/>
    </row>
    <row r="655" spans="1:157" ht="12.95" customHeight="1">
      <c r="A655" s="22"/>
      <c r="B655" t="s">
        <v>315</v>
      </c>
      <c r="G655" s="1479" t="str">
        <f>G581</f>
        <v xml:space="preserve">415 473 6697					</v>
      </c>
      <c r="H655" s="1479"/>
      <c r="I655" s="1479"/>
      <c r="J655" s="1479"/>
      <c r="K655" s="1479"/>
      <c r="L655" s="1479"/>
      <c r="O655" s="33" t="s">
        <v>205</v>
      </c>
      <c r="P655" s="1440"/>
      <c r="Q655" s="1440"/>
      <c r="R655" s="1440"/>
      <c r="T655" s="22"/>
      <c r="U655" t="s">
        <v>315</v>
      </c>
      <c r="Z655" s="1479" t="str">
        <f>Z581</f>
        <v xml:space="preserve">203-274-4359					</v>
      </c>
      <c r="AA655" s="1479"/>
      <c r="AB655" s="1479"/>
      <c r="AC655" s="1479"/>
      <c r="AD655" s="1479"/>
      <c r="AE655" s="1479"/>
      <c r="AH655" s="33" t="s">
        <v>205</v>
      </c>
      <c r="AI655" s="1440"/>
      <c r="AJ655" s="1440"/>
      <c r="AK655" s="1440"/>
      <c r="AZ655" s="34"/>
      <c r="BA655" s="34"/>
      <c r="BB655" s="34"/>
      <c r="BC655" s="34"/>
      <c r="BD655" s="34"/>
      <c r="BE655" s="34"/>
      <c r="BF655" s="34"/>
      <c r="BG655" s="34"/>
      <c r="BH655" s="34"/>
      <c r="BI655" s="34"/>
      <c r="BJ655" s="34"/>
      <c r="BK655" s="34"/>
      <c r="BL655" s="34"/>
      <c r="BM655" s="34"/>
      <c r="DX655" s="1506" t="e">
        <f t="shared" si="2"/>
        <v>#VALUE!</v>
      </c>
      <c r="DY655" s="1506"/>
      <c r="DZ655" s="1506"/>
      <c r="EA655" s="1506"/>
      <c r="EB655" s="1506"/>
      <c r="EC655" s="1506" t="e">
        <f t="shared" si="3"/>
        <v>#VALUE!</v>
      </c>
      <c r="ED655" s="1506"/>
      <c r="EE655" s="1506"/>
      <c r="EF655" s="1506"/>
      <c r="EG655" s="1506"/>
      <c r="EH655" s="1506" t="e">
        <f t="shared" si="4"/>
        <v>#VALUE!</v>
      </c>
      <c r="EI655" s="1506"/>
      <c r="EJ655" s="1506"/>
      <c r="EK655" s="1506"/>
      <c r="EL655" s="1506"/>
      <c r="EM655" s="1506" t="e">
        <f t="shared" si="5"/>
        <v>#VALUE!</v>
      </c>
      <c r="EN655" s="1506"/>
      <c r="EO655" s="1506"/>
      <c r="EP655" s="1506"/>
      <c r="EQ655" s="1506"/>
      <c r="ER655" s="1506" t="e">
        <f t="shared" si="6"/>
        <v>#VALUE!</v>
      </c>
      <c r="ES655" s="1506"/>
      <c r="ET655" s="1506"/>
      <c r="EU655" s="1506"/>
      <c r="EV655" s="1506"/>
      <c r="EW655" s="1506" t="e">
        <f t="shared" si="7"/>
        <v>#VALUE!</v>
      </c>
      <c r="EX655" s="1506"/>
      <c r="EY655" s="1506"/>
      <c r="EZ655" s="1506"/>
      <c r="FA655" s="1506"/>
    </row>
    <row r="656" spans="1:157" ht="12.95" customHeight="1">
      <c r="A656" s="22"/>
      <c r="B656" t="s">
        <v>18</v>
      </c>
      <c r="H656" s="1485" t="s">
        <v>457</v>
      </c>
      <c r="I656" s="1485"/>
      <c r="J656" s="1485"/>
      <c r="K656" s="1485"/>
      <c r="L656" s="1485"/>
      <c r="M656" s="1485"/>
      <c r="N656" s="1485"/>
      <c r="O656" s="1485"/>
      <c r="P656" s="1485"/>
      <c r="Q656" s="1485"/>
      <c r="R656" s="1485"/>
      <c r="T656" s="22"/>
      <c r="U656" t="s">
        <v>18</v>
      </c>
      <c r="AA656" s="1485" t="s">
        <v>458</v>
      </c>
      <c r="AB656" s="1485"/>
      <c r="AC656" s="1485"/>
      <c r="AD656" s="1485"/>
      <c r="AE656" s="1485"/>
      <c r="AF656" s="1485"/>
      <c r="AG656" s="1485"/>
      <c r="AH656" s="1485"/>
      <c r="AI656" s="1485"/>
      <c r="AJ656" s="1485"/>
      <c r="AK656" s="1485"/>
      <c r="AZ656" s="34"/>
      <c r="BA656" s="34"/>
      <c r="BB656" s="34"/>
      <c r="BC656" s="34"/>
      <c r="BD656" s="34"/>
      <c r="BE656" s="34"/>
      <c r="BF656" s="34"/>
      <c r="BG656" s="34"/>
      <c r="BH656" s="34"/>
      <c r="BI656" s="34"/>
      <c r="BJ656" s="34"/>
      <c r="BK656" s="34"/>
      <c r="BL656" s="34"/>
      <c r="BM656" s="34"/>
      <c r="DX656" s="1506" t="e">
        <f t="shared" si="2"/>
        <v>#VALUE!</v>
      </c>
      <c r="DY656" s="1506"/>
      <c r="DZ656" s="1506"/>
      <c r="EA656" s="1506"/>
      <c r="EB656" s="1506"/>
      <c r="EC656" s="1506" t="e">
        <f t="shared" si="3"/>
        <v>#VALUE!</v>
      </c>
      <c r="ED656" s="1506"/>
      <c r="EE656" s="1506"/>
      <c r="EF656" s="1506"/>
      <c r="EG656" s="1506"/>
      <c r="EH656" s="1506" t="e">
        <f t="shared" si="4"/>
        <v>#VALUE!</v>
      </c>
      <c r="EI656" s="1506"/>
      <c r="EJ656" s="1506"/>
      <c r="EK656" s="1506"/>
      <c r="EL656" s="1506"/>
      <c r="EM656" s="1506" t="e">
        <f t="shared" si="5"/>
        <v>#VALUE!</v>
      </c>
      <c r="EN656" s="1506"/>
      <c r="EO656" s="1506"/>
      <c r="EP656" s="1506"/>
      <c r="EQ656" s="1506"/>
      <c r="ER656" s="1506" t="e">
        <f t="shared" si="6"/>
        <v>#VALUE!</v>
      </c>
      <c r="ES656" s="1506"/>
      <c r="ET656" s="1506"/>
      <c r="EU656" s="1506"/>
      <c r="EV656" s="1506"/>
      <c r="EW656" s="1506" t="e">
        <f t="shared" si="7"/>
        <v>#VALUE!</v>
      </c>
      <c r="EX656" s="1506"/>
      <c r="EY656" s="1506"/>
      <c r="EZ656" s="1506"/>
      <c r="FA656" s="1506"/>
    </row>
    <row r="657" spans="1:157" ht="12.95" customHeight="1">
      <c r="A657" s="22"/>
      <c r="B657" t="s">
        <v>20</v>
      </c>
      <c r="N657" s="1351" t="s">
        <v>545</v>
      </c>
      <c r="O657" s="1351"/>
      <c r="T657" s="22"/>
      <c r="U657" t="s">
        <v>20</v>
      </c>
      <c r="AG657" s="1351" t="s">
        <v>545</v>
      </c>
      <c r="AH657" s="1351"/>
      <c r="AZ657" s="34"/>
      <c r="BA657" s="34"/>
      <c r="BB657" s="34"/>
      <c r="BC657" s="34"/>
      <c r="BD657" s="34"/>
      <c r="BE657" s="34"/>
      <c r="BF657" s="34"/>
      <c r="BG657" s="34"/>
      <c r="BH657" s="34"/>
      <c r="BI657" s="34"/>
      <c r="BJ657" s="34"/>
      <c r="BK657" s="34"/>
      <c r="BL657" s="34"/>
      <c r="BM657" s="34"/>
      <c r="DX657" s="1506" t="e">
        <f t="shared" si="2"/>
        <v>#VALUE!</v>
      </c>
      <c r="DY657" s="1506"/>
      <c r="DZ657" s="1506"/>
      <c r="EA657" s="1506"/>
      <c r="EB657" s="1506"/>
      <c r="EC657" s="1506" t="e">
        <f t="shared" si="3"/>
        <v>#VALUE!</v>
      </c>
      <c r="ED657" s="1506"/>
      <c r="EE657" s="1506"/>
      <c r="EF657" s="1506"/>
      <c r="EG657" s="1506"/>
      <c r="EH657" s="1506" t="e">
        <f t="shared" si="4"/>
        <v>#VALUE!</v>
      </c>
      <c r="EI657" s="1506"/>
      <c r="EJ657" s="1506"/>
      <c r="EK657" s="1506"/>
      <c r="EL657" s="1506"/>
      <c r="EM657" s="1506" t="e">
        <f t="shared" si="5"/>
        <v>#VALUE!</v>
      </c>
      <c r="EN657" s="1506"/>
      <c r="EO657" s="1506"/>
      <c r="EP657" s="1506"/>
      <c r="EQ657" s="1506"/>
      <c r="ER657" s="1506" t="e">
        <f t="shared" si="6"/>
        <v>#VALUE!</v>
      </c>
      <c r="ES657" s="1506"/>
      <c r="ET657" s="1506"/>
      <c r="EU657" s="1506"/>
      <c r="EV657" s="1506"/>
      <c r="EW657" s="1506" t="e">
        <f t="shared" si="7"/>
        <v>#VALUE!</v>
      </c>
      <c r="EX657" s="1506"/>
      <c r="EY657" s="1506"/>
      <c r="EZ657" s="1506"/>
      <c r="FA657" s="1506"/>
    </row>
    <row r="658" spans="1:157" ht="12.95" customHeight="1">
      <c r="A658" s="22"/>
      <c r="T658" s="22"/>
      <c r="AZ658" s="34"/>
      <c r="BA658" s="34"/>
      <c r="BB658" s="34"/>
      <c r="BC658" s="34"/>
      <c r="BD658" s="34"/>
      <c r="BE658" s="34"/>
      <c r="BF658" s="34"/>
      <c r="BG658" s="34"/>
      <c r="BH658" s="34"/>
      <c r="BI658" s="34"/>
      <c r="BJ658" s="34"/>
      <c r="BK658" s="34"/>
      <c r="BL658" s="34"/>
      <c r="BM658" s="34"/>
      <c r="DX658" s="1506" t="e">
        <f t="shared" si="2"/>
        <v>#VALUE!</v>
      </c>
      <c r="DY658" s="1506"/>
      <c r="DZ658" s="1506"/>
      <c r="EA658" s="1506"/>
      <c r="EB658" s="1506"/>
      <c r="EC658" s="1506" t="e">
        <f t="shared" si="3"/>
        <v>#VALUE!</v>
      </c>
      <c r="ED658" s="1506"/>
      <c r="EE658" s="1506"/>
      <c r="EF658" s="1506"/>
      <c r="EG658" s="1506"/>
      <c r="EH658" s="1506" t="e">
        <f t="shared" si="4"/>
        <v>#VALUE!</v>
      </c>
      <c r="EI658" s="1506"/>
      <c r="EJ658" s="1506"/>
      <c r="EK658" s="1506"/>
      <c r="EL658" s="1506"/>
      <c r="EM658" s="1506" t="e">
        <f t="shared" si="5"/>
        <v>#VALUE!</v>
      </c>
      <c r="EN658" s="1506"/>
      <c r="EO658" s="1506"/>
      <c r="EP658" s="1506"/>
      <c r="EQ658" s="1506"/>
      <c r="ER658" s="1506" t="e">
        <f t="shared" si="6"/>
        <v>#VALUE!</v>
      </c>
      <c r="ES658" s="1506"/>
      <c r="ET658" s="1506"/>
      <c r="EU658" s="1506"/>
      <c r="EV658" s="1506"/>
      <c r="EW658" s="1506" t="e">
        <f t="shared" si="7"/>
        <v>#VALUE!</v>
      </c>
      <c r="EX658" s="1506"/>
      <c r="EY658" s="1506"/>
      <c r="EZ658" s="1506"/>
      <c r="FA658" s="1506"/>
    </row>
    <row r="659" spans="1:157" ht="12.95" customHeight="1">
      <c r="A659" s="55" t="s">
        <v>763</v>
      </c>
      <c r="B659" t="s">
        <v>463</v>
      </c>
      <c r="G659" s="1474" t="str">
        <f>C631</f>
        <v>Cash flow from operations</v>
      </c>
      <c r="H659" s="1474"/>
      <c r="I659" s="1474"/>
      <c r="J659" s="1474"/>
      <c r="K659" s="1474"/>
      <c r="L659" s="1474"/>
      <c r="M659" s="1474"/>
      <c r="N659" s="1474"/>
      <c r="O659" s="1474"/>
      <c r="P659" s="1474"/>
      <c r="Q659" s="1474"/>
      <c r="R659" s="1474"/>
      <c r="T659" s="55" t="s">
        <v>584</v>
      </c>
      <c r="U659" t="s">
        <v>463</v>
      </c>
      <c r="Z659" s="1474">
        <f>C632</f>
        <v>0</v>
      </c>
      <c r="AA659" s="1474"/>
      <c r="AB659" s="1474"/>
      <c r="AC659" s="1474"/>
      <c r="AD659" s="1474"/>
      <c r="AE659" s="1474"/>
      <c r="AF659" s="1474"/>
      <c r="AG659" s="1474"/>
      <c r="AH659" s="1474"/>
      <c r="AI659" s="1474"/>
      <c r="AJ659" s="1474"/>
      <c r="AK659" s="1474"/>
      <c r="AZ659" s="34"/>
      <c r="BA659" s="34"/>
      <c r="BB659" s="34"/>
      <c r="BC659" s="34"/>
      <c r="BD659" s="34"/>
      <c r="BE659" s="34"/>
      <c r="BF659" s="34"/>
      <c r="BG659" s="34"/>
      <c r="BH659" s="34"/>
      <c r="BI659" s="34"/>
      <c r="BJ659" s="34"/>
      <c r="BK659" s="34"/>
      <c r="BL659" s="34"/>
      <c r="BM659" s="34"/>
      <c r="DX659" s="1506" t="e">
        <f t="shared" si="2"/>
        <v>#VALUE!</v>
      </c>
      <c r="DY659" s="1506"/>
      <c r="DZ659" s="1506"/>
      <c r="EA659" s="1506"/>
      <c r="EB659" s="1506"/>
      <c r="EC659" s="1506" t="e">
        <f t="shared" si="3"/>
        <v>#VALUE!</v>
      </c>
      <c r="ED659" s="1506"/>
      <c r="EE659" s="1506"/>
      <c r="EF659" s="1506"/>
      <c r="EG659" s="1506"/>
      <c r="EH659" s="1506" t="e">
        <f t="shared" si="4"/>
        <v>#VALUE!</v>
      </c>
      <c r="EI659" s="1506"/>
      <c r="EJ659" s="1506"/>
      <c r="EK659" s="1506"/>
      <c r="EL659" s="1506"/>
      <c r="EM659" s="1506" t="e">
        <f t="shared" si="5"/>
        <v>#VALUE!</v>
      </c>
      <c r="EN659" s="1506"/>
      <c r="EO659" s="1506"/>
      <c r="EP659" s="1506"/>
      <c r="EQ659" s="1506"/>
      <c r="ER659" s="1506" t="e">
        <f t="shared" si="6"/>
        <v>#VALUE!</v>
      </c>
      <c r="ES659" s="1506"/>
      <c r="ET659" s="1506"/>
      <c r="EU659" s="1506"/>
      <c r="EV659" s="1506"/>
      <c r="EW659" s="1506" t="e">
        <f t="shared" si="7"/>
        <v>#VALUE!</v>
      </c>
      <c r="EX659" s="1506"/>
      <c r="EY659" s="1506"/>
      <c r="EZ659" s="1506"/>
      <c r="FA659" s="1506"/>
    </row>
    <row r="660" spans="1:157" ht="12.95" customHeight="1">
      <c r="A660" s="22"/>
      <c r="B660" t="s">
        <v>85</v>
      </c>
      <c r="G660" s="1485"/>
      <c r="H660" s="1485"/>
      <c r="I660" s="1485"/>
      <c r="J660" s="1485"/>
      <c r="K660" s="1485"/>
      <c r="L660" s="1485"/>
      <c r="M660" s="1485"/>
      <c r="N660" s="1485"/>
      <c r="O660" s="1485"/>
      <c r="P660" s="1485"/>
      <c r="Q660" s="1485"/>
      <c r="R660" s="1485"/>
      <c r="T660" s="22"/>
      <c r="U660" t="s">
        <v>85</v>
      </c>
      <c r="Z660" s="1485"/>
      <c r="AA660" s="1485"/>
      <c r="AB660" s="1485"/>
      <c r="AC660" s="1485"/>
      <c r="AD660" s="1485"/>
      <c r="AE660" s="1485"/>
      <c r="AF660" s="1485"/>
      <c r="AG660" s="1485"/>
      <c r="AH660" s="1485"/>
      <c r="AI660" s="1485"/>
      <c r="AJ660" s="1485"/>
      <c r="AK660" s="1485"/>
      <c r="AZ660" s="34"/>
      <c r="BA660" s="34"/>
      <c r="BB660" s="34"/>
      <c r="BC660" s="34"/>
      <c r="BD660" s="34"/>
      <c r="BE660" s="34"/>
      <c r="BF660" s="34"/>
      <c r="BG660" s="34"/>
      <c r="BH660" s="34"/>
      <c r="BI660" s="34"/>
      <c r="BJ660" s="34"/>
      <c r="BK660" s="34"/>
      <c r="BL660" s="34"/>
      <c r="BM660" s="34"/>
      <c r="DX660" s="1506" t="e">
        <f t="shared" si="2"/>
        <v>#VALUE!</v>
      </c>
      <c r="DY660" s="1506"/>
      <c r="DZ660" s="1506"/>
      <c r="EA660" s="1506"/>
      <c r="EB660" s="1506"/>
      <c r="EC660" s="1506" t="e">
        <f t="shared" si="3"/>
        <v>#VALUE!</v>
      </c>
      <c r="ED660" s="1506"/>
      <c r="EE660" s="1506"/>
      <c r="EF660" s="1506"/>
      <c r="EG660" s="1506"/>
      <c r="EH660" s="1506" t="e">
        <f t="shared" si="4"/>
        <v>#VALUE!</v>
      </c>
      <c r="EI660" s="1506"/>
      <c r="EJ660" s="1506"/>
      <c r="EK660" s="1506"/>
      <c r="EL660" s="1506"/>
      <c r="EM660" s="1506" t="e">
        <f t="shared" si="5"/>
        <v>#VALUE!</v>
      </c>
      <c r="EN660" s="1506"/>
      <c r="EO660" s="1506"/>
      <c r="EP660" s="1506"/>
      <c r="EQ660" s="1506"/>
      <c r="ER660" s="1506" t="e">
        <f t="shared" si="6"/>
        <v>#VALUE!</v>
      </c>
      <c r="ES660" s="1506"/>
      <c r="ET660" s="1506"/>
      <c r="EU660" s="1506"/>
      <c r="EV660" s="1506"/>
      <c r="EW660" s="1506" t="e">
        <f t="shared" si="7"/>
        <v>#VALUE!</v>
      </c>
      <c r="EX660" s="1506"/>
      <c r="EY660" s="1506"/>
      <c r="EZ660" s="1506"/>
      <c r="FA660" s="1506"/>
    </row>
    <row r="661" spans="1:157" ht="12.95" customHeight="1">
      <c r="A661" s="22"/>
      <c r="B661" t="s">
        <v>580</v>
      </c>
      <c r="G661" s="1485"/>
      <c r="H661" s="1485"/>
      <c r="I661" s="1485"/>
      <c r="J661" s="1485"/>
      <c r="K661" s="1485"/>
      <c r="L661" s="1485"/>
      <c r="M661" s="1485"/>
      <c r="N661" s="1485"/>
      <c r="O661" s="1485"/>
      <c r="P661" s="1485"/>
      <c r="Q661" s="1485"/>
      <c r="R661" s="1485"/>
      <c r="T661" s="22"/>
      <c r="U661" t="s">
        <v>580</v>
      </c>
      <c r="Z661" s="1480"/>
      <c r="AA661" s="1480"/>
      <c r="AB661" s="1480"/>
      <c r="AC661" s="1480"/>
      <c r="AD661" s="1480"/>
      <c r="AE661" s="1480"/>
      <c r="AF661" s="1480"/>
      <c r="AG661" s="1480"/>
      <c r="AH661" s="1480"/>
      <c r="AI661" s="1480"/>
      <c r="AJ661" s="1480"/>
      <c r="AK661" s="1480"/>
      <c r="AZ661" s="34"/>
      <c r="BA661" s="34"/>
      <c r="BB661" s="34"/>
      <c r="BC661" s="34"/>
      <c r="BD661" s="34"/>
      <c r="BE661" s="34"/>
      <c r="BF661" s="34"/>
      <c r="BG661" s="34"/>
      <c r="BH661" s="34"/>
      <c r="BI661" s="34"/>
      <c r="BJ661" s="34"/>
      <c r="BK661" s="34"/>
      <c r="BL661" s="34"/>
      <c r="BM661" s="34"/>
      <c r="DX661" s="1506" t="e">
        <f t="shared" si="2"/>
        <v>#VALUE!</v>
      </c>
      <c r="DY661" s="1506"/>
      <c r="DZ661" s="1506"/>
      <c r="EA661" s="1506"/>
      <c r="EB661" s="1506"/>
      <c r="EC661" s="1506" t="e">
        <f t="shared" si="3"/>
        <v>#VALUE!</v>
      </c>
      <c r="ED661" s="1506"/>
      <c r="EE661" s="1506"/>
      <c r="EF661" s="1506"/>
      <c r="EG661" s="1506"/>
      <c r="EH661" s="1506" t="e">
        <f t="shared" si="4"/>
        <v>#VALUE!</v>
      </c>
      <c r="EI661" s="1506"/>
      <c r="EJ661" s="1506"/>
      <c r="EK661" s="1506"/>
      <c r="EL661" s="1506"/>
      <c r="EM661" s="1506" t="e">
        <f t="shared" si="5"/>
        <v>#VALUE!</v>
      </c>
      <c r="EN661" s="1506"/>
      <c r="EO661" s="1506"/>
      <c r="EP661" s="1506"/>
      <c r="EQ661" s="1506"/>
      <c r="ER661" s="1506" t="e">
        <f t="shared" si="6"/>
        <v>#VALUE!</v>
      </c>
      <c r="ES661" s="1506"/>
      <c r="ET661" s="1506"/>
      <c r="EU661" s="1506"/>
      <c r="EV661" s="1506"/>
      <c r="EW661" s="1506" t="e">
        <f t="shared" si="7"/>
        <v>#VALUE!</v>
      </c>
      <c r="EX661" s="1506"/>
      <c r="EY661" s="1506"/>
      <c r="EZ661" s="1506"/>
      <c r="FA661" s="1506"/>
    </row>
    <row r="662" spans="1:157" ht="12.95" customHeight="1">
      <c r="A662" s="22"/>
      <c r="B662" t="s">
        <v>17</v>
      </c>
      <c r="G662" s="1485"/>
      <c r="H662" s="1485"/>
      <c r="I662" s="1485"/>
      <c r="J662" s="1485"/>
      <c r="K662" s="1485"/>
      <c r="L662" s="1485"/>
      <c r="M662" s="1485"/>
      <c r="N662" s="1485"/>
      <c r="O662" s="1485"/>
      <c r="P662" s="1485"/>
      <c r="Q662" s="1485"/>
      <c r="R662" s="1485"/>
      <c r="T662" s="22"/>
      <c r="U662" t="s">
        <v>17</v>
      </c>
      <c r="Z662" s="1480"/>
      <c r="AA662" s="1480"/>
      <c r="AB662" s="1480"/>
      <c r="AC662" s="1480"/>
      <c r="AD662" s="1480"/>
      <c r="AE662" s="1480"/>
      <c r="AF662" s="1480"/>
      <c r="AG662" s="1480"/>
      <c r="AH662" s="1480"/>
      <c r="AI662" s="1480"/>
      <c r="AJ662" s="1480"/>
      <c r="AK662" s="148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506" t="e">
        <f t="shared" si="2"/>
        <v>#VALUE!</v>
      </c>
      <c r="DY662" s="1506"/>
      <c r="DZ662" s="1506"/>
      <c r="EA662" s="1506"/>
      <c r="EB662" s="1506"/>
      <c r="EC662" s="1506" t="e">
        <f t="shared" si="3"/>
        <v>#VALUE!</v>
      </c>
      <c r="ED662" s="1506"/>
      <c r="EE662" s="1506"/>
      <c r="EF662" s="1506"/>
      <c r="EG662" s="1506"/>
      <c r="EH662" s="1506" t="e">
        <f t="shared" si="4"/>
        <v>#VALUE!</v>
      </c>
      <c r="EI662" s="1506"/>
      <c r="EJ662" s="1506"/>
      <c r="EK662" s="1506"/>
      <c r="EL662" s="1506"/>
      <c r="EM662" s="1506" t="e">
        <f t="shared" si="5"/>
        <v>#VALUE!</v>
      </c>
      <c r="EN662" s="1506"/>
      <c r="EO662" s="1506"/>
      <c r="EP662" s="1506"/>
      <c r="EQ662" s="1506"/>
      <c r="ER662" s="1506" t="e">
        <f t="shared" si="6"/>
        <v>#VALUE!</v>
      </c>
      <c r="ES662" s="1506"/>
      <c r="ET662" s="1506"/>
      <c r="EU662" s="1506"/>
      <c r="EV662" s="1506"/>
      <c r="EW662" s="1506" t="e">
        <f t="shared" si="7"/>
        <v>#VALUE!</v>
      </c>
      <c r="EX662" s="1506"/>
      <c r="EY662" s="1506"/>
      <c r="EZ662" s="1506"/>
      <c r="FA662" s="1506"/>
    </row>
    <row r="663" spans="1:157" ht="12.95" customHeight="1">
      <c r="A663" s="22"/>
      <c r="B663" t="s">
        <v>315</v>
      </c>
      <c r="G663" s="1479"/>
      <c r="H663" s="1479"/>
      <c r="I663" s="1479"/>
      <c r="J663" s="1479"/>
      <c r="K663" s="1479"/>
      <c r="L663" s="1479"/>
      <c r="O663" s="33" t="s">
        <v>205</v>
      </c>
      <c r="P663" s="1440"/>
      <c r="Q663" s="1440"/>
      <c r="R663" s="1440"/>
      <c r="T663" s="22"/>
      <c r="U663" t="s">
        <v>315</v>
      </c>
      <c r="Z663" s="1479"/>
      <c r="AA663" s="1479"/>
      <c r="AB663" s="1479"/>
      <c r="AC663" s="1479"/>
      <c r="AD663" s="1479"/>
      <c r="AE663" s="1479"/>
      <c r="AH663" s="33" t="s">
        <v>205</v>
      </c>
      <c r="AI663" s="1440"/>
      <c r="AJ663" s="1440"/>
      <c r="AK663" s="144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506" t="e">
        <f t="shared" si="2"/>
        <v>#VALUE!</v>
      </c>
      <c r="DY663" s="1506"/>
      <c r="DZ663" s="1506"/>
      <c r="EA663" s="1506"/>
      <c r="EB663" s="1506"/>
      <c r="EC663" s="1506" t="e">
        <f t="shared" si="3"/>
        <v>#VALUE!</v>
      </c>
      <c r="ED663" s="1506"/>
      <c r="EE663" s="1506"/>
      <c r="EF663" s="1506"/>
      <c r="EG663" s="1506"/>
      <c r="EH663" s="1506" t="e">
        <f t="shared" si="4"/>
        <v>#VALUE!</v>
      </c>
      <c r="EI663" s="1506"/>
      <c r="EJ663" s="1506"/>
      <c r="EK663" s="1506"/>
      <c r="EL663" s="1506"/>
      <c r="EM663" s="1506" t="e">
        <f t="shared" si="5"/>
        <v>#VALUE!</v>
      </c>
      <c r="EN663" s="1506"/>
      <c r="EO663" s="1506"/>
      <c r="EP663" s="1506"/>
      <c r="EQ663" s="1506"/>
      <c r="ER663" s="1506" t="e">
        <f t="shared" si="6"/>
        <v>#VALUE!</v>
      </c>
      <c r="ES663" s="1506"/>
      <c r="ET663" s="1506"/>
      <c r="EU663" s="1506"/>
      <c r="EV663" s="1506"/>
      <c r="EW663" s="1506" t="e">
        <f t="shared" si="7"/>
        <v>#VALUE!</v>
      </c>
      <c r="EX663" s="1506"/>
      <c r="EY663" s="1506"/>
      <c r="EZ663" s="1506"/>
      <c r="FA663" s="1506"/>
    </row>
    <row r="664" spans="1:157" ht="12.95" customHeight="1">
      <c r="A664" s="22"/>
      <c r="B664" t="s">
        <v>18</v>
      </c>
      <c r="H664" s="1485"/>
      <c r="I664" s="1485"/>
      <c r="J664" s="1485"/>
      <c r="K664" s="1485"/>
      <c r="L664" s="1485"/>
      <c r="M664" s="1485"/>
      <c r="N664" s="1485"/>
      <c r="O664" s="1485"/>
      <c r="P664" s="1485"/>
      <c r="Q664" s="1485"/>
      <c r="R664" s="1485"/>
      <c r="T664" s="22"/>
      <c r="U664" t="s">
        <v>18</v>
      </c>
      <c r="AA664" s="1485"/>
      <c r="AB664" s="1485"/>
      <c r="AC664" s="1485"/>
      <c r="AD664" s="1485"/>
      <c r="AE664" s="1485"/>
      <c r="AF664" s="1485"/>
      <c r="AG664" s="1485"/>
      <c r="AH664" s="1485"/>
      <c r="AI664" s="1485"/>
      <c r="AJ664" s="1485"/>
      <c r="AK664" s="148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506" t="e">
        <f t="shared" si="2"/>
        <v>#VALUE!</v>
      </c>
      <c r="DY664" s="1506"/>
      <c r="DZ664" s="1506"/>
      <c r="EA664" s="1506"/>
      <c r="EB664" s="1506"/>
      <c r="EC664" s="1506" t="e">
        <f t="shared" si="3"/>
        <v>#VALUE!</v>
      </c>
      <c r="ED664" s="1506"/>
      <c r="EE664" s="1506"/>
      <c r="EF664" s="1506"/>
      <c r="EG664" s="1506"/>
      <c r="EH664" s="1506" t="e">
        <f t="shared" si="4"/>
        <v>#VALUE!</v>
      </c>
      <c r="EI664" s="1506"/>
      <c r="EJ664" s="1506"/>
      <c r="EK664" s="1506"/>
      <c r="EL664" s="1506"/>
      <c r="EM664" s="1506" t="e">
        <f t="shared" si="5"/>
        <v>#VALUE!</v>
      </c>
      <c r="EN664" s="1506"/>
      <c r="EO664" s="1506"/>
      <c r="EP664" s="1506"/>
      <c r="EQ664" s="1506"/>
      <c r="ER664" s="1506" t="e">
        <f t="shared" si="6"/>
        <v>#VALUE!</v>
      </c>
      <c r="ES664" s="1506"/>
      <c r="ET664" s="1506"/>
      <c r="EU664" s="1506"/>
      <c r="EV664" s="1506"/>
      <c r="EW664" s="1506" t="e">
        <f t="shared" si="7"/>
        <v>#VALUE!</v>
      </c>
      <c r="EX664" s="1506"/>
      <c r="EY664" s="1506"/>
      <c r="EZ664" s="1506"/>
      <c r="FA664" s="1506"/>
    </row>
    <row r="665" spans="1:157" ht="12.95" customHeight="1">
      <c r="A665" s="22"/>
      <c r="B665" t="s">
        <v>20</v>
      </c>
      <c r="N665" s="1351" t="s">
        <v>669</v>
      </c>
      <c r="O665" s="1351"/>
      <c r="T665" s="22"/>
      <c r="U665" t="s">
        <v>20</v>
      </c>
      <c r="AG665" s="1351" t="s">
        <v>669</v>
      </c>
      <c r="AH665" s="135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506" t="e">
        <f t="shared" si="2"/>
        <v>#VALUE!</v>
      </c>
      <c r="DY665" s="1506"/>
      <c r="DZ665" s="1506"/>
      <c r="EA665" s="1506"/>
      <c r="EB665" s="1506"/>
      <c r="EC665" s="1506" t="e">
        <f t="shared" si="3"/>
        <v>#VALUE!</v>
      </c>
      <c r="ED665" s="1506"/>
      <c r="EE665" s="1506"/>
      <c r="EF665" s="1506"/>
      <c r="EG665" s="1506"/>
      <c r="EH665" s="1506" t="e">
        <f t="shared" si="4"/>
        <v>#VALUE!</v>
      </c>
      <c r="EI665" s="1506"/>
      <c r="EJ665" s="1506"/>
      <c r="EK665" s="1506"/>
      <c r="EL665" s="1506"/>
      <c r="EM665" s="1506" t="e">
        <f t="shared" si="5"/>
        <v>#VALUE!</v>
      </c>
      <c r="EN665" s="1506"/>
      <c r="EO665" s="1506"/>
      <c r="EP665" s="1506"/>
      <c r="EQ665" s="1506"/>
      <c r="ER665" s="1506" t="e">
        <f t="shared" si="6"/>
        <v>#VALUE!</v>
      </c>
      <c r="ES665" s="1506"/>
      <c r="ET665" s="1506"/>
      <c r="EU665" s="1506"/>
      <c r="EV665" s="1506"/>
      <c r="EW665" s="1506" t="e">
        <f t="shared" si="7"/>
        <v>#VALUE!</v>
      </c>
      <c r="EX665" s="1506"/>
      <c r="EY665" s="1506"/>
      <c r="EZ665" s="1506"/>
      <c r="FA665" s="150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506" t="e">
        <f t="shared" si="2"/>
        <v>#VALUE!</v>
      </c>
      <c r="DY666" s="1506"/>
      <c r="DZ666" s="1506"/>
      <c r="EA666" s="1506"/>
      <c r="EB666" s="1506"/>
      <c r="EC666" s="1506" t="e">
        <f t="shared" si="3"/>
        <v>#VALUE!</v>
      </c>
      <c r="ED666" s="1506"/>
      <c r="EE666" s="1506"/>
      <c r="EF666" s="1506"/>
      <c r="EG666" s="1506"/>
      <c r="EH666" s="1506" t="e">
        <f t="shared" si="4"/>
        <v>#VALUE!</v>
      </c>
      <c r="EI666" s="1506"/>
      <c r="EJ666" s="1506"/>
      <c r="EK666" s="1506"/>
      <c r="EL666" s="1506"/>
      <c r="EM666" s="1506" t="e">
        <f t="shared" si="5"/>
        <v>#VALUE!</v>
      </c>
      <c r="EN666" s="1506"/>
      <c r="EO666" s="1506"/>
      <c r="EP666" s="1506"/>
      <c r="EQ666" s="1506"/>
      <c r="ER666" s="1506" t="e">
        <f t="shared" si="6"/>
        <v>#VALUE!</v>
      </c>
      <c r="ES666" s="1506"/>
      <c r="ET666" s="1506"/>
      <c r="EU666" s="1506"/>
      <c r="EV666" s="1506"/>
      <c r="EW666" s="1506" t="e">
        <f t="shared" si="7"/>
        <v>#VALUE!</v>
      </c>
      <c r="EX666" s="1506"/>
      <c r="EY666" s="1506"/>
      <c r="EZ666" s="1506"/>
      <c r="FA666" s="1506"/>
    </row>
    <row r="667" spans="1:157" ht="12.95" customHeight="1">
      <c r="A667" s="55" t="s">
        <v>455</v>
      </c>
      <c r="B667" t="s">
        <v>463</v>
      </c>
      <c r="G667" s="1474">
        <f>C633</f>
        <v>0</v>
      </c>
      <c r="H667" s="1474"/>
      <c r="I667" s="1474"/>
      <c r="J667" s="1474"/>
      <c r="K667" s="1474"/>
      <c r="L667" s="1474"/>
      <c r="M667" s="1474"/>
      <c r="N667" s="1474"/>
      <c r="O667" s="1474"/>
      <c r="P667" s="1474"/>
      <c r="Q667" s="1474"/>
      <c r="R667" s="1474"/>
      <c r="T667" s="55" t="s">
        <v>456</v>
      </c>
      <c r="U667" t="s">
        <v>463</v>
      </c>
      <c r="Z667" s="1474">
        <f>C634</f>
        <v>0</v>
      </c>
      <c r="AA667" s="1474"/>
      <c r="AB667" s="1474"/>
      <c r="AC667" s="1474"/>
      <c r="AD667" s="1474"/>
      <c r="AE667" s="1474"/>
      <c r="AF667" s="1474"/>
      <c r="AG667" s="1474"/>
      <c r="AH667" s="1474"/>
      <c r="AI667" s="1474"/>
      <c r="AJ667" s="1474"/>
      <c r="AK667" s="147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506" t="e">
        <f t="shared" si="2"/>
        <v>#VALUE!</v>
      </c>
      <c r="DY667" s="1506"/>
      <c r="DZ667" s="1506"/>
      <c r="EA667" s="1506"/>
      <c r="EB667" s="1506"/>
      <c r="EC667" s="1506" t="e">
        <f t="shared" si="3"/>
        <v>#VALUE!</v>
      </c>
      <c r="ED667" s="1506"/>
      <c r="EE667" s="1506"/>
      <c r="EF667" s="1506"/>
      <c r="EG667" s="1506"/>
      <c r="EH667" s="1506" t="e">
        <f t="shared" si="4"/>
        <v>#VALUE!</v>
      </c>
      <c r="EI667" s="1506"/>
      <c r="EJ667" s="1506"/>
      <c r="EK667" s="1506"/>
      <c r="EL667" s="1506"/>
      <c r="EM667" s="1506" t="e">
        <f t="shared" si="5"/>
        <v>#VALUE!</v>
      </c>
      <c r="EN667" s="1506"/>
      <c r="EO667" s="1506"/>
      <c r="EP667" s="1506"/>
      <c r="EQ667" s="1506"/>
      <c r="ER667" s="1506" t="e">
        <f t="shared" si="6"/>
        <v>#VALUE!</v>
      </c>
      <c r="ES667" s="1506"/>
      <c r="ET667" s="1506"/>
      <c r="EU667" s="1506"/>
      <c r="EV667" s="1506"/>
      <c r="EW667" s="1506" t="e">
        <f t="shared" si="7"/>
        <v>#VALUE!</v>
      </c>
      <c r="EX667" s="1506"/>
      <c r="EY667" s="1506"/>
      <c r="EZ667" s="1506"/>
      <c r="FA667" s="1506"/>
    </row>
    <row r="668" spans="1:157" ht="12.95" customHeight="1">
      <c r="A668" s="22"/>
      <c r="B668" t="s">
        <v>85</v>
      </c>
      <c r="G668" s="1485"/>
      <c r="H668" s="1485"/>
      <c r="I668" s="1485"/>
      <c r="J668" s="1485"/>
      <c r="K668" s="1485"/>
      <c r="L668" s="1485"/>
      <c r="M668" s="1485"/>
      <c r="N668" s="1485"/>
      <c r="O668" s="1485"/>
      <c r="P668" s="1485"/>
      <c r="Q668" s="1485"/>
      <c r="R668" s="1485"/>
      <c r="T668" s="22"/>
      <c r="U668" t="s">
        <v>85</v>
      </c>
      <c r="Z668" s="1485"/>
      <c r="AA668" s="1485"/>
      <c r="AB668" s="1485"/>
      <c r="AC668" s="1485"/>
      <c r="AD668" s="1485"/>
      <c r="AE668" s="1485"/>
      <c r="AF668" s="1485"/>
      <c r="AG668" s="1485"/>
      <c r="AH668" s="1485"/>
      <c r="AI668" s="1485"/>
      <c r="AJ668" s="1485"/>
      <c r="AK668" s="1485"/>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506" t="e">
        <f t="shared" si="2"/>
        <v>#VALUE!</v>
      </c>
      <c r="DY668" s="1506"/>
      <c r="DZ668" s="1506"/>
      <c r="EA668" s="1506"/>
      <c r="EB668" s="1506"/>
      <c r="EC668" s="1506" t="e">
        <f t="shared" si="3"/>
        <v>#VALUE!</v>
      </c>
      <c r="ED668" s="1506"/>
      <c r="EE668" s="1506"/>
      <c r="EF668" s="1506"/>
      <c r="EG668" s="1506"/>
      <c r="EH668" s="1506" t="e">
        <f t="shared" si="4"/>
        <v>#VALUE!</v>
      </c>
      <c r="EI668" s="1506"/>
      <c r="EJ668" s="1506"/>
      <c r="EK668" s="1506"/>
      <c r="EL668" s="1506"/>
      <c r="EM668" s="1506" t="e">
        <f t="shared" si="5"/>
        <v>#VALUE!</v>
      </c>
      <c r="EN668" s="1506"/>
      <c r="EO668" s="1506"/>
      <c r="EP668" s="1506"/>
      <c r="EQ668" s="1506"/>
      <c r="ER668" s="1506" t="e">
        <f t="shared" si="6"/>
        <v>#VALUE!</v>
      </c>
      <c r="ES668" s="1506"/>
      <c r="ET668" s="1506"/>
      <c r="EU668" s="1506"/>
      <c r="EV668" s="1506"/>
      <c r="EW668" s="1506" t="e">
        <f t="shared" si="7"/>
        <v>#VALUE!</v>
      </c>
      <c r="EX668" s="1506"/>
      <c r="EY668" s="1506"/>
      <c r="EZ668" s="1506"/>
      <c r="FA668" s="1506"/>
    </row>
    <row r="669" spans="1:157" ht="12.95" customHeight="1">
      <c r="A669" s="22"/>
      <c r="B669" t="s">
        <v>580</v>
      </c>
      <c r="G669" s="1485"/>
      <c r="H669" s="1485"/>
      <c r="I669" s="1485"/>
      <c r="J669" s="1485"/>
      <c r="K669" s="1485"/>
      <c r="L669" s="1485"/>
      <c r="M669" s="1485"/>
      <c r="N669" s="1485"/>
      <c r="O669" s="1485"/>
      <c r="P669" s="1485"/>
      <c r="Q669" s="1485"/>
      <c r="R669" s="1485"/>
      <c r="T669" s="22"/>
      <c r="U669" t="s">
        <v>580</v>
      </c>
      <c r="Z669" s="1480"/>
      <c r="AA669" s="1480"/>
      <c r="AB669" s="1480"/>
      <c r="AC669" s="1480"/>
      <c r="AD669" s="1480"/>
      <c r="AE669" s="1480"/>
      <c r="AF669" s="1480"/>
      <c r="AG669" s="1480"/>
      <c r="AH669" s="1480"/>
      <c r="AI669" s="1480"/>
      <c r="AJ669" s="1480"/>
      <c r="AK669" s="148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506" t="e">
        <f t="shared" si="2"/>
        <v>#VALUE!</v>
      </c>
      <c r="DY669" s="1506"/>
      <c r="DZ669" s="1506"/>
      <c r="EA669" s="1506"/>
      <c r="EB669" s="1506"/>
      <c r="EC669" s="1506" t="e">
        <f t="shared" si="3"/>
        <v>#VALUE!</v>
      </c>
      <c r="ED669" s="1506"/>
      <c r="EE669" s="1506"/>
      <c r="EF669" s="1506"/>
      <c r="EG669" s="1506"/>
      <c r="EH669" s="1506" t="e">
        <f t="shared" si="4"/>
        <v>#VALUE!</v>
      </c>
      <c r="EI669" s="1506"/>
      <c r="EJ669" s="1506"/>
      <c r="EK669" s="1506"/>
      <c r="EL669" s="1506"/>
      <c r="EM669" s="1506" t="e">
        <f t="shared" si="5"/>
        <v>#VALUE!</v>
      </c>
      <c r="EN669" s="1506"/>
      <c r="EO669" s="1506"/>
      <c r="EP669" s="1506"/>
      <c r="EQ669" s="1506"/>
      <c r="ER669" s="1506" t="e">
        <f t="shared" si="6"/>
        <v>#VALUE!</v>
      </c>
      <c r="ES669" s="1506"/>
      <c r="ET669" s="1506"/>
      <c r="EU669" s="1506"/>
      <c r="EV669" s="1506"/>
      <c r="EW669" s="1506" t="e">
        <f t="shared" si="7"/>
        <v>#VALUE!</v>
      </c>
      <c r="EX669" s="1506"/>
      <c r="EY669" s="1506"/>
      <c r="EZ669" s="1506"/>
      <c r="FA669" s="1506"/>
    </row>
    <row r="670" spans="1:157" ht="12.95" customHeight="1">
      <c r="A670" s="22"/>
      <c r="B670" t="s">
        <v>17</v>
      </c>
      <c r="G670" s="1485"/>
      <c r="H670" s="1485"/>
      <c r="I670" s="1485"/>
      <c r="J670" s="1485"/>
      <c r="K670" s="1485"/>
      <c r="L670" s="1485"/>
      <c r="M670" s="1485"/>
      <c r="N670" s="1485"/>
      <c r="O670" s="1485"/>
      <c r="P670" s="1485"/>
      <c r="Q670" s="1485"/>
      <c r="R670" s="1485"/>
      <c r="T670" s="22"/>
      <c r="U670" t="s">
        <v>17</v>
      </c>
      <c r="Z670" s="1480"/>
      <c r="AA670" s="1480"/>
      <c r="AB670" s="1480"/>
      <c r="AC670" s="1480"/>
      <c r="AD670" s="1480"/>
      <c r="AE670" s="1480"/>
      <c r="AF670" s="1480"/>
      <c r="AG670" s="1480"/>
      <c r="AH670" s="1480"/>
      <c r="AI670" s="1480"/>
      <c r="AJ670" s="1480"/>
      <c r="AK670" s="148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506">
        <f>SUMIF(DX635:EB669,"&gt;0")</f>
        <v>0</v>
      </c>
      <c r="DY670" s="1506"/>
      <c r="DZ670" s="1506"/>
      <c r="EA670" s="1506"/>
      <c r="EB670" s="1506"/>
      <c r="EC670" s="1506">
        <f>SUMIF(EC635:EG669,"&gt;0")</f>
        <v>2046.2444444444445</v>
      </c>
      <c r="ED670" s="1506"/>
      <c r="EE670" s="1506"/>
      <c r="EF670" s="1506"/>
      <c r="EG670" s="1506"/>
      <c r="EH670" s="1506">
        <f>SUMIF(EH635:EL669,"&gt;0")</f>
        <v>2393.0425531914893</v>
      </c>
      <c r="EI670" s="1506"/>
      <c r="EJ670" s="1506"/>
      <c r="EK670" s="1506"/>
      <c r="EL670" s="1506"/>
      <c r="EM670" s="1506">
        <f>SUMIF(EM635:EQ669,"&gt;0")</f>
        <v>2942.5625</v>
      </c>
      <c r="EN670" s="1506"/>
      <c r="EO670" s="1506"/>
      <c r="EP670" s="1506"/>
      <c r="EQ670" s="1506"/>
      <c r="ER670" s="1506">
        <f>SUMIF(ER635:EV669,"&gt;0")</f>
        <v>0</v>
      </c>
      <c r="ES670" s="1506"/>
      <c r="ET670" s="1506"/>
      <c r="EU670" s="1506"/>
      <c r="EV670" s="1506"/>
      <c r="EW670" s="1506">
        <f>SUMIF(EW635:FA669,"&gt;0")</f>
        <v>0</v>
      </c>
      <c r="EX670" s="1506"/>
      <c r="EY670" s="1506"/>
      <c r="EZ670" s="1506"/>
      <c r="FA670" s="1506"/>
    </row>
    <row r="671" spans="1:157" ht="12.95" customHeight="1">
      <c r="A671" s="22"/>
      <c r="B671" t="s">
        <v>315</v>
      </c>
      <c r="G671" s="1479"/>
      <c r="H671" s="1479"/>
      <c r="I671" s="1479"/>
      <c r="J671" s="1479"/>
      <c r="K671" s="1479"/>
      <c r="L671" s="1479"/>
      <c r="O671" s="33" t="s">
        <v>205</v>
      </c>
      <c r="P671" s="1440"/>
      <c r="Q671" s="1440"/>
      <c r="R671" s="1440"/>
      <c r="T671" s="22"/>
      <c r="U671" t="s">
        <v>315</v>
      </c>
      <c r="Z671" s="1479"/>
      <c r="AA671" s="1479"/>
      <c r="AB671" s="1479"/>
      <c r="AC671" s="1479"/>
      <c r="AD671" s="1479"/>
      <c r="AE671" s="1479"/>
      <c r="AH671" s="33" t="s">
        <v>205</v>
      </c>
      <c r="AI671" s="1440"/>
      <c r="AJ671" s="1440"/>
      <c r="AK671" s="1440"/>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85"/>
      <c r="I672" s="1485"/>
      <c r="J672" s="1485"/>
      <c r="K672" s="1485"/>
      <c r="L672" s="1485"/>
      <c r="M672" s="1485"/>
      <c r="N672" s="1485"/>
      <c r="O672" s="1485"/>
      <c r="P672" s="1485"/>
      <c r="Q672" s="1485"/>
      <c r="R672" s="1485"/>
      <c r="T672" s="22"/>
      <c r="U672" t="s">
        <v>18</v>
      </c>
      <c r="AA672" s="1485"/>
      <c r="AB672" s="1485"/>
      <c r="AC672" s="1485"/>
      <c r="AD672" s="1485"/>
      <c r="AE672" s="1485"/>
      <c r="AF672" s="1485"/>
      <c r="AG672" s="1485"/>
      <c r="AH672" s="1485"/>
      <c r="AI672" s="1485"/>
      <c r="AJ672" s="1485"/>
      <c r="AK672" s="1485"/>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51" t="s">
        <v>669</v>
      </c>
      <c r="O673" s="1351"/>
      <c r="T673" s="22"/>
      <c r="U673" t="s">
        <v>20</v>
      </c>
      <c r="AG673" s="1351" t="s">
        <v>669</v>
      </c>
      <c r="AH673" s="1351"/>
      <c r="AZ673" s="3"/>
    </row>
    <row r="674" spans="1:52" ht="12.95" customHeight="1">
      <c r="A674" s="22"/>
      <c r="T674" s="22"/>
      <c r="AZ674" s="3"/>
    </row>
    <row r="675" spans="1:52" ht="12.95" customHeight="1">
      <c r="A675" s="55" t="s">
        <v>461</v>
      </c>
      <c r="B675" t="s">
        <v>463</v>
      </c>
      <c r="G675" s="1474">
        <f>C635</f>
        <v>0</v>
      </c>
      <c r="H675" s="1474"/>
      <c r="I675" s="1474"/>
      <c r="J675" s="1474"/>
      <c r="K675" s="1474"/>
      <c r="L675" s="1474"/>
      <c r="M675" s="1474"/>
      <c r="N675" s="1474"/>
      <c r="O675" s="1474"/>
      <c r="P675" s="1474"/>
      <c r="Q675" s="1474"/>
      <c r="R675" s="1474"/>
      <c r="T675" s="55" t="s">
        <v>646</v>
      </c>
      <c r="U675" t="s">
        <v>463</v>
      </c>
      <c r="Z675" s="1474">
        <f>C636</f>
        <v>0</v>
      </c>
      <c r="AA675" s="1474"/>
      <c r="AB675" s="1474"/>
      <c r="AC675" s="1474"/>
      <c r="AD675" s="1474"/>
      <c r="AE675" s="1474"/>
      <c r="AF675" s="1474"/>
      <c r="AG675" s="1474"/>
      <c r="AH675" s="1474"/>
      <c r="AI675" s="1474"/>
      <c r="AJ675" s="1474"/>
      <c r="AK675" s="1474"/>
      <c r="AZ675" s="3"/>
    </row>
    <row r="676" spans="1:52" ht="12.95" customHeight="1">
      <c r="A676" s="22"/>
      <c r="B676" t="s">
        <v>85</v>
      </c>
      <c r="G676" s="1485"/>
      <c r="H676" s="1485"/>
      <c r="I676" s="1485"/>
      <c r="J676" s="1485"/>
      <c r="K676" s="1485"/>
      <c r="L676" s="1485"/>
      <c r="M676" s="1485"/>
      <c r="N676" s="1485"/>
      <c r="O676" s="1485"/>
      <c r="P676" s="1485"/>
      <c r="Q676" s="1485"/>
      <c r="R676" s="1485"/>
      <c r="T676" s="22"/>
      <c r="U676" t="s">
        <v>85</v>
      </c>
      <c r="Z676" s="1485"/>
      <c r="AA676" s="1485"/>
      <c r="AB676" s="1485"/>
      <c r="AC676" s="1485"/>
      <c r="AD676" s="1485"/>
      <c r="AE676" s="1485"/>
      <c r="AF676" s="1485"/>
      <c r="AG676" s="1485"/>
      <c r="AH676" s="1485"/>
      <c r="AI676" s="1485"/>
      <c r="AJ676" s="1485"/>
      <c r="AK676" s="1485"/>
      <c r="AZ676" s="3"/>
    </row>
    <row r="677" spans="1:52" ht="12.95" customHeight="1">
      <c r="A677" s="22"/>
      <c r="B677" t="s">
        <v>580</v>
      </c>
      <c r="G677" s="1485"/>
      <c r="H677" s="1485"/>
      <c r="I677" s="1485"/>
      <c r="J677" s="1485"/>
      <c r="K677" s="1485"/>
      <c r="L677" s="1485"/>
      <c r="M677" s="1485"/>
      <c r="N677" s="1485"/>
      <c r="O677" s="1485"/>
      <c r="P677" s="1485"/>
      <c r="Q677" s="1485"/>
      <c r="R677" s="1485"/>
      <c r="T677" s="22"/>
      <c r="U677" t="s">
        <v>580</v>
      </c>
      <c r="Z677" s="1480"/>
      <c r="AA677" s="1480"/>
      <c r="AB677" s="1480"/>
      <c r="AC677" s="1480"/>
      <c r="AD677" s="1480"/>
      <c r="AE677" s="1480"/>
      <c r="AF677" s="1480"/>
      <c r="AG677" s="1480"/>
      <c r="AH677" s="1480"/>
      <c r="AI677" s="1480"/>
      <c r="AJ677" s="1480"/>
      <c r="AK677" s="1480"/>
      <c r="AZ677" s="3"/>
    </row>
    <row r="678" spans="1:52" ht="12.95" customHeight="1">
      <c r="A678" s="22"/>
      <c r="B678" t="s">
        <v>17</v>
      </c>
      <c r="G678" s="1485"/>
      <c r="H678" s="1485"/>
      <c r="I678" s="1485"/>
      <c r="J678" s="1485"/>
      <c r="K678" s="1485"/>
      <c r="L678" s="1485"/>
      <c r="M678" s="1485"/>
      <c r="N678" s="1485"/>
      <c r="O678" s="1485"/>
      <c r="P678" s="1485"/>
      <c r="Q678" s="1485"/>
      <c r="R678" s="1485"/>
      <c r="T678" s="22"/>
      <c r="U678" t="s">
        <v>17</v>
      </c>
      <c r="Z678" s="1480"/>
      <c r="AA678" s="1480"/>
      <c r="AB678" s="1480"/>
      <c r="AC678" s="1480"/>
      <c r="AD678" s="1480"/>
      <c r="AE678" s="1480"/>
      <c r="AF678" s="1480"/>
      <c r="AG678" s="1480"/>
      <c r="AH678" s="1480"/>
      <c r="AI678" s="1480"/>
      <c r="AJ678" s="1480"/>
      <c r="AK678" s="1480"/>
      <c r="AZ678" s="3"/>
    </row>
    <row r="679" spans="1:52" ht="12.95" customHeight="1">
      <c r="A679" s="22"/>
      <c r="B679" t="s">
        <v>315</v>
      </c>
      <c r="G679" s="1479"/>
      <c r="H679" s="1479"/>
      <c r="I679" s="1479"/>
      <c r="J679" s="1479"/>
      <c r="K679" s="1479"/>
      <c r="L679" s="1479"/>
      <c r="O679" s="33" t="s">
        <v>205</v>
      </c>
      <c r="P679" s="1440"/>
      <c r="Q679" s="1440"/>
      <c r="R679" s="1440"/>
      <c r="T679" s="22"/>
      <c r="U679" t="s">
        <v>315</v>
      </c>
      <c r="Z679" s="1479"/>
      <c r="AA679" s="1479"/>
      <c r="AB679" s="1479"/>
      <c r="AC679" s="1479"/>
      <c r="AD679" s="1479"/>
      <c r="AE679" s="1479"/>
      <c r="AH679" s="33" t="s">
        <v>205</v>
      </c>
      <c r="AI679" s="1440"/>
      <c r="AJ679" s="1440"/>
      <c r="AK679" s="1440"/>
      <c r="AZ679" s="3"/>
    </row>
    <row r="680" spans="1:52" ht="12.95" customHeight="1">
      <c r="A680" s="22"/>
      <c r="B680" t="s">
        <v>18</v>
      </c>
      <c r="H680" s="1485"/>
      <c r="I680" s="1485"/>
      <c r="J680" s="1485"/>
      <c r="K680" s="1485"/>
      <c r="L680" s="1485"/>
      <c r="M680" s="1485"/>
      <c r="N680" s="1485"/>
      <c r="O680" s="1485"/>
      <c r="P680" s="1485"/>
      <c r="Q680" s="1485"/>
      <c r="R680" s="1485"/>
      <c r="T680" s="22"/>
      <c r="U680" t="s">
        <v>18</v>
      </c>
      <c r="AA680" s="1485"/>
      <c r="AB680" s="1485"/>
      <c r="AC680" s="1485"/>
      <c r="AD680" s="1485"/>
      <c r="AE680" s="1485"/>
      <c r="AF680" s="1485"/>
      <c r="AG680" s="1485"/>
      <c r="AH680" s="1485"/>
      <c r="AI680" s="1485"/>
      <c r="AJ680" s="1485"/>
      <c r="AK680" s="1485"/>
      <c r="AZ680" s="3"/>
    </row>
    <row r="681" spans="1:52" ht="12.95" customHeight="1">
      <c r="A681" s="22"/>
      <c r="B681" t="s">
        <v>20</v>
      </c>
      <c r="N681" s="1351" t="s">
        <v>669</v>
      </c>
      <c r="O681" s="1351"/>
      <c r="T681" s="22"/>
      <c r="U681" t="s">
        <v>20</v>
      </c>
      <c r="AG681" s="1351" t="s">
        <v>669</v>
      </c>
      <c r="AH681" s="1351"/>
      <c r="AZ681" s="3"/>
    </row>
    <row r="682" spans="1:52" ht="12.95" customHeight="1">
      <c r="A682" s="22"/>
      <c r="T682" s="22"/>
      <c r="AZ682" s="3"/>
    </row>
    <row r="683" spans="1:52" ht="12.95" customHeight="1">
      <c r="A683" s="55" t="s">
        <v>361</v>
      </c>
      <c r="B683" t="s">
        <v>463</v>
      </c>
      <c r="G683" s="1474">
        <f>C637</f>
        <v>0</v>
      </c>
      <c r="H683" s="1474"/>
      <c r="I683" s="1474"/>
      <c r="J683" s="1474"/>
      <c r="K683" s="1474"/>
      <c r="L683" s="1474"/>
      <c r="M683" s="1474"/>
      <c r="N683" s="1474"/>
      <c r="O683" s="1474"/>
      <c r="P683" s="1474"/>
      <c r="Q683" s="1474"/>
      <c r="R683" s="1474"/>
      <c r="T683" s="55" t="s">
        <v>362</v>
      </c>
      <c r="U683" t="s">
        <v>463</v>
      </c>
      <c r="Z683" s="1474">
        <f>C638</f>
        <v>0</v>
      </c>
      <c r="AA683" s="1474"/>
      <c r="AB683" s="1474"/>
      <c r="AC683" s="1474"/>
      <c r="AD683" s="1474"/>
      <c r="AE683" s="1474"/>
      <c r="AF683" s="1474"/>
      <c r="AG683" s="1474"/>
      <c r="AH683" s="1474"/>
      <c r="AI683" s="1474"/>
      <c r="AJ683" s="1474"/>
      <c r="AK683" s="1474"/>
      <c r="AZ683" s="3"/>
    </row>
    <row r="684" spans="1:52" ht="12.95" customHeight="1">
      <c r="B684" t="s">
        <v>85</v>
      </c>
      <c r="G684" s="1485"/>
      <c r="H684" s="1485"/>
      <c r="I684" s="1485"/>
      <c r="J684" s="1485"/>
      <c r="K684" s="1485"/>
      <c r="L684" s="1485"/>
      <c r="M684" s="1485"/>
      <c r="N684" s="1485"/>
      <c r="O684" s="1485"/>
      <c r="P684" s="1485"/>
      <c r="Q684" s="1485"/>
      <c r="R684" s="1485"/>
      <c r="T684" s="22"/>
      <c r="U684" t="s">
        <v>85</v>
      </c>
      <c r="Z684" s="1485"/>
      <c r="AA684" s="1485"/>
      <c r="AB684" s="1485"/>
      <c r="AC684" s="1485"/>
      <c r="AD684" s="1485"/>
      <c r="AE684" s="1485"/>
      <c r="AF684" s="1485"/>
      <c r="AG684" s="1485"/>
      <c r="AH684" s="1485"/>
      <c r="AI684" s="1485"/>
      <c r="AJ684" s="1485"/>
      <c r="AK684" s="1485"/>
      <c r="AZ684" s="3"/>
    </row>
    <row r="685" spans="1:52" ht="12.95" customHeight="1">
      <c r="B685" t="s">
        <v>580</v>
      </c>
      <c r="G685" s="1485"/>
      <c r="H685" s="1485"/>
      <c r="I685" s="1485"/>
      <c r="J685" s="1485"/>
      <c r="K685" s="1485"/>
      <c r="L685" s="1485"/>
      <c r="M685" s="1485"/>
      <c r="N685" s="1485"/>
      <c r="O685" s="1485"/>
      <c r="P685" s="1485"/>
      <c r="Q685" s="1485"/>
      <c r="R685" s="1485"/>
      <c r="U685" t="s">
        <v>580</v>
      </c>
      <c r="Z685" s="1480"/>
      <c r="AA685" s="1480"/>
      <c r="AB685" s="1480"/>
      <c r="AC685" s="1480"/>
      <c r="AD685" s="1480"/>
      <c r="AE685" s="1480"/>
      <c r="AF685" s="1480"/>
      <c r="AG685" s="1480"/>
      <c r="AH685" s="1480"/>
      <c r="AI685" s="1480"/>
      <c r="AJ685" s="1480"/>
      <c r="AK685" s="1480"/>
      <c r="AZ685" s="3"/>
    </row>
    <row r="686" spans="1:52" ht="12.95" customHeight="1">
      <c r="B686" t="s">
        <v>17</v>
      </c>
      <c r="G686" s="1485"/>
      <c r="H686" s="1485"/>
      <c r="I686" s="1485"/>
      <c r="J686" s="1485"/>
      <c r="K686" s="1485"/>
      <c r="L686" s="1485"/>
      <c r="M686" s="1485"/>
      <c r="N686" s="1485"/>
      <c r="O686" s="1485"/>
      <c r="P686" s="1485"/>
      <c r="Q686" s="1485"/>
      <c r="R686" s="1485"/>
      <c r="U686" t="s">
        <v>17</v>
      </c>
      <c r="Z686" s="1480"/>
      <c r="AA686" s="1480"/>
      <c r="AB686" s="1480"/>
      <c r="AC686" s="1480"/>
      <c r="AD686" s="1480"/>
      <c r="AE686" s="1480"/>
      <c r="AF686" s="1480"/>
      <c r="AG686" s="1480"/>
      <c r="AH686" s="1480"/>
      <c r="AI686" s="1480"/>
      <c r="AJ686" s="1480"/>
      <c r="AK686" s="1480"/>
      <c r="AZ686" s="3"/>
    </row>
    <row r="687" spans="1:52" ht="12.95" customHeight="1">
      <c r="B687" t="s">
        <v>315</v>
      </c>
      <c r="G687" s="1479"/>
      <c r="H687" s="1479"/>
      <c r="I687" s="1479"/>
      <c r="J687" s="1479"/>
      <c r="K687" s="1479"/>
      <c r="L687" s="1479"/>
      <c r="O687" s="33" t="s">
        <v>205</v>
      </c>
      <c r="P687" s="1440"/>
      <c r="Q687" s="1440"/>
      <c r="R687" s="1440"/>
      <c r="U687" t="s">
        <v>315</v>
      </c>
      <c r="Z687" s="1479"/>
      <c r="AA687" s="1479"/>
      <c r="AB687" s="1479"/>
      <c r="AC687" s="1479"/>
      <c r="AD687" s="1479"/>
      <c r="AE687" s="1479"/>
      <c r="AH687" s="33" t="s">
        <v>205</v>
      </c>
      <c r="AI687" s="1440"/>
      <c r="AJ687" s="1440"/>
      <c r="AK687" s="1440"/>
      <c r="AZ687" s="3"/>
    </row>
    <row r="688" spans="1:52" ht="12.95" customHeight="1">
      <c r="B688" t="s">
        <v>18</v>
      </c>
      <c r="H688" s="1485"/>
      <c r="I688" s="1485"/>
      <c r="J688" s="1485"/>
      <c r="K688" s="1485"/>
      <c r="L688" s="1485"/>
      <c r="M688" s="1485"/>
      <c r="N688" s="1485"/>
      <c r="O688" s="1485"/>
      <c r="P688" s="1485"/>
      <c r="Q688" s="1485"/>
      <c r="R688" s="1485"/>
      <c r="U688" t="s">
        <v>18</v>
      </c>
      <c r="AA688" s="1485"/>
      <c r="AB688" s="1485"/>
      <c r="AC688" s="1485"/>
      <c r="AD688" s="1485"/>
      <c r="AE688" s="1485"/>
      <c r="AF688" s="1485"/>
      <c r="AG688" s="1485"/>
      <c r="AH688" s="1485"/>
      <c r="AI688" s="1485"/>
      <c r="AJ688" s="1485"/>
      <c r="AK688" s="1485"/>
      <c r="AZ688" s="3"/>
    </row>
    <row r="689" spans="1:67" ht="12.95" customHeight="1">
      <c r="B689" t="s">
        <v>20</v>
      </c>
      <c r="N689" s="1351" t="s">
        <v>669</v>
      </c>
      <c r="O689" s="1351"/>
      <c r="U689" t="s">
        <v>20</v>
      </c>
      <c r="AG689" s="1351" t="s">
        <v>669</v>
      </c>
      <c r="AH689" s="1351"/>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51" t="s">
        <v>545</v>
      </c>
      <c r="AF693" s="1351"/>
      <c r="AZ693" s="3"/>
    </row>
    <row r="694" spans="1:67" ht="12.95" customHeight="1">
      <c r="B694" s="135"/>
      <c r="C694" s="135"/>
      <c r="D694" s="136" t="s">
        <v>437</v>
      </c>
      <c r="E694" s="135"/>
      <c r="F694" s="135"/>
      <c r="G694" s="135"/>
      <c r="H694" s="135"/>
      <c r="AE694" s="1351" t="s">
        <v>669</v>
      </c>
      <c r="AF694" s="1351"/>
      <c r="AZ694" s="3"/>
    </row>
    <row r="695" spans="1:67" ht="12.95" customHeight="1">
      <c r="B695" s="135"/>
      <c r="C695" s="135"/>
      <c r="D695" s="136" t="s">
        <v>920</v>
      </c>
      <c r="E695" s="135"/>
      <c r="F695" s="135"/>
      <c r="G695" s="135"/>
      <c r="H695" s="135"/>
      <c r="AE695" s="1689">
        <v>45797</v>
      </c>
      <c r="AF695" s="1689"/>
      <c r="AG695" s="1689"/>
      <c r="AH695" s="1689"/>
      <c r="AI695" s="1689"/>
    </row>
    <row r="696" spans="1:67" ht="12.95" customHeight="1">
      <c r="B696" s="135"/>
      <c r="C696" s="135"/>
      <c r="D696" s="317" t="s">
        <v>983</v>
      </c>
      <c r="E696" s="135"/>
      <c r="F696" s="135"/>
      <c r="G696" s="135"/>
      <c r="H696" s="135"/>
      <c r="AE696" s="1688">
        <v>45874</v>
      </c>
      <c r="AF696" s="1688"/>
      <c r="AG696" s="1688"/>
      <c r="AH696" s="1688"/>
      <c r="AI696" s="1688"/>
    </row>
    <row r="697" spans="1:67" ht="12.95" customHeight="1">
      <c r="B697" s="135"/>
      <c r="C697" s="135"/>
    </row>
    <row r="698" spans="1:67" ht="12.95" customHeight="1">
      <c r="B698" s="135"/>
      <c r="C698" s="135"/>
      <c r="D698" s="136" t="s">
        <v>816</v>
      </c>
      <c r="E698" s="135"/>
      <c r="F698" s="135"/>
      <c r="G698" s="135"/>
      <c r="H698" s="135"/>
      <c r="AE698" s="1689">
        <v>46037</v>
      </c>
      <c r="AF698" s="1689"/>
      <c r="AG698" s="1689"/>
      <c r="AH698" s="1689"/>
      <c r="AI698" s="1689"/>
    </row>
    <row r="699" spans="1:67" ht="12.95" customHeight="1">
      <c r="B699" s="135"/>
      <c r="C699" s="135"/>
      <c r="D699" s="136" t="s">
        <v>435</v>
      </c>
      <c r="E699" s="135"/>
      <c r="F699" s="135"/>
      <c r="G699" s="135"/>
      <c r="H699" s="135"/>
      <c r="AE699" s="1521">
        <v>0.52100000000000002</v>
      </c>
      <c r="AF699" s="1521"/>
      <c r="AG699" s="1521"/>
      <c r="AH699" s="1521"/>
      <c r="AI699" s="1521"/>
    </row>
    <row r="700" spans="1:67" ht="12.95" customHeight="1">
      <c r="B700" s="135"/>
      <c r="C700" s="135"/>
      <c r="D700" s="136" t="s">
        <v>436</v>
      </c>
      <c r="E700" s="135"/>
      <c r="F700" s="135"/>
      <c r="G700" s="135"/>
      <c r="H700" s="135"/>
      <c r="W700" s="1474" t="str">
        <f>H335</f>
        <v xml:space="preserve">CalHFA										</v>
      </c>
      <c r="X700" s="1474"/>
      <c r="Y700" s="1474"/>
      <c r="Z700" s="1474"/>
      <c r="AA700" s="1474"/>
      <c r="AB700" s="1474"/>
      <c r="AC700" s="1474"/>
      <c r="AD700" s="1474"/>
      <c r="AE700" s="1474"/>
      <c r="AF700" s="1474"/>
      <c r="AG700" s="1474"/>
      <c r="AH700" s="1474"/>
      <c r="AI700" s="1474"/>
      <c r="AJ700" s="1474"/>
      <c r="AK700" s="1474"/>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51" t="s">
        <v>669</v>
      </c>
      <c r="AF702" s="1351"/>
      <c r="AZ702" s="4" t="s">
        <v>323</v>
      </c>
    </row>
    <row r="703" spans="1:67" ht="12.95" customHeight="1">
      <c r="B703" s="135"/>
      <c r="C703" s="135"/>
      <c r="D703" s="136" t="s">
        <v>442</v>
      </c>
      <c r="E703" s="135"/>
      <c r="F703" s="135"/>
      <c r="G703" s="135"/>
      <c r="H703" s="135"/>
      <c r="W703" s="1485"/>
      <c r="X703" s="1485"/>
      <c r="Y703" s="1485"/>
      <c r="Z703" s="1485"/>
      <c r="AA703" s="1485"/>
      <c r="AB703" s="1485"/>
      <c r="AC703" s="1485"/>
      <c r="AD703" s="1485"/>
      <c r="AE703" s="1485"/>
      <c r="AF703" s="1485"/>
      <c r="AG703" s="1485"/>
      <c r="AH703" s="1485"/>
      <c r="AI703" s="1485"/>
      <c r="AJ703" s="1485"/>
      <c r="AK703" s="1485"/>
      <c r="AZ703" s="4" t="s">
        <v>324</v>
      </c>
    </row>
    <row r="704" spans="1:67" ht="12.95" customHeight="1">
      <c r="B704" s="135"/>
      <c r="C704" s="135"/>
      <c r="D704" s="136" t="s">
        <v>87</v>
      </c>
      <c r="E704" s="135"/>
      <c r="F704" s="135"/>
      <c r="G704" s="135"/>
      <c r="H704" s="135"/>
      <c r="J704" s="1485"/>
      <c r="K704" s="1485"/>
      <c r="L704" s="1485"/>
      <c r="M704" s="1485"/>
      <c r="N704" s="1485"/>
      <c r="O704" s="1485"/>
      <c r="P704" s="1485"/>
      <c r="Q704" s="1485"/>
      <c r="R704" s="1485"/>
      <c r="S704" s="1485"/>
      <c r="T704" s="1485"/>
      <c r="U704" s="1485"/>
      <c r="V704" s="1485"/>
      <c r="W704" s="1485"/>
      <c r="X704" s="1485"/>
      <c r="AZ704" s="4" t="s">
        <v>163</v>
      </c>
      <c r="BB704" s="34"/>
      <c r="BC704" s="34"/>
      <c r="BD704" s="34"/>
      <c r="BE704" s="3"/>
      <c r="BF704" s="3"/>
      <c r="BJ704" s="3"/>
      <c r="BK704" s="3"/>
      <c r="BL704" s="3"/>
      <c r="BM704" s="3"/>
      <c r="BN704" s="34"/>
      <c r="BO704" s="34"/>
    </row>
    <row r="705" spans="1:185" ht="12.95" customHeight="1">
      <c r="B705" s="135"/>
      <c r="C705" s="135"/>
      <c r="D705" s="136" t="s">
        <v>88</v>
      </c>
      <c r="J705" s="1479"/>
      <c r="K705" s="1479"/>
      <c r="L705" s="1479"/>
      <c r="M705" s="1479"/>
      <c r="N705" s="1479"/>
      <c r="O705" s="1479"/>
      <c r="P705" s="4" t="s">
        <v>205</v>
      </c>
      <c r="Q705" s="4"/>
      <c r="R705" s="1440"/>
      <c r="S705" s="1440"/>
      <c r="T705" s="1440"/>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485" t="s">
        <v>306</v>
      </c>
      <c r="X706" s="1485"/>
      <c r="Y706" s="1485"/>
      <c r="Z706" s="1485"/>
      <c r="AA706" s="1485"/>
      <c r="AB706" s="1485"/>
      <c r="AC706" s="1485"/>
      <c r="AD706" s="1485"/>
      <c r="AE706" s="1485"/>
      <c r="AF706" s="1485"/>
      <c r="AG706" s="1485"/>
      <c r="AH706" s="1485"/>
      <c r="AI706" s="1485"/>
      <c r="AJ706" s="1485"/>
      <c r="AK706" s="1485"/>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85" t="s">
        <v>333</v>
      </c>
      <c r="F707" s="1485"/>
      <c r="G707" s="1485"/>
      <c r="H707" s="1485"/>
      <c r="I707" s="1485"/>
      <c r="J707" s="1485"/>
      <c r="K707" s="1485"/>
      <c r="L707" s="1485"/>
      <c r="M707" s="1485"/>
      <c r="N707" s="1485"/>
      <c r="O707" s="1485"/>
      <c r="P707" s="1485"/>
      <c r="Q707" s="1485"/>
      <c r="R707" s="1485"/>
      <c r="S707" s="1485"/>
      <c r="T707" s="1485"/>
      <c r="U707" s="1485"/>
      <c r="V707" s="1485"/>
      <c r="W707" s="1485"/>
      <c r="X707" s="1485"/>
      <c r="Y707" s="1485"/>
      <c r="Z707" s="1485"/>
      <c r="AA707" s="1485"/>
      <c r="AB707" s="1485"/>
      <c r="AC707" s="1485"/>
      <c r="AD707" s="1485"/>
      <c r="AE707" s="1485"/>
      <c r="AF707" s="1485"/>
      <c r="AG707" s="1485"/>
      <c r="AH707" s="1485"/>
      <c r="AI707" s="1485"/>
      <c r="AJ707" s="1485"/>
      <c r="AK707" s="1485"/>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2" t="s">
        <v>95</v>
      </c>
      <c r="B709" s="1262"/>
      <c r="C709" s="1262"/>
      <c r="D709" s="1262"/>
      <c r="E709" s="1262"/>
      <c r="F709" s="1262"/>
      <c r="G709" s="1262"/>
      <c r="H709" s="1262"/>
      <c r="I709" s="1262"/>
      <c r="J709" s="1262"/>
      <c r="K709" s="1262"/>
      <c r="L709" s="1262"/>
      <c r="M709" s="1262"/>
      <c r="N709" s="1262"/>
      <c r="O709" s="1262"/>
      <c r="P709" s="1262"/>
      <c r="Q709" s="1262"/>
      <c r="R709" s="1262"/>
      <c r="S709" s="1262"/>
      <c r="T709" s="1262"/>
      <c r="U709" s="1262"/>
      <c r="V709" s="1262"/>
      <c r="W709" s="1262"/>
      <c r="X709" s="1262"/>
      <c r="Y709" s="1262"/>
      <c r="Z709" s="1262"/>
      <c r="AA709" s="1262"/>
      <c r="AB709" s="1262"/>
      <c r="AC709" s="1262"/>
      <c r="AD709" s="1262"/>
      <c r="AE709" s="1262"/>
      <c r="AF709" s="1262"/>
      <c r="AG709" s="1262"/>
      <c r="AH709" s="1262"/>
      <c r="AI709" s="1262"/>
      <c r="AJ709" s="1262"/>
      <c r="AK709" s="1262"/>
      <c r="AL709" s="1262"/>
      <c r="AM709" s="1262"/>
      <c r="AN709" s="1262"/>
      <c r="AO709" s="1262"/>
      <c r="AP709" s="1262"/>
      <c r="AQ709" s="1262"/>
      <c r="AR709" s="1262"/>
      <c r="AS709" s="1262"/>
      <c r="AT709" s="126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2"/>
      <c r="B710" s="1262"/>
      <c r="C710" s="1262"/>
      <c r="D710" s="1262"/>
      <c r="E710" s="1262"/>
      <c r="F710" s="1262"/>
      <c r="G710" s="1262"/>
      <c r="H710" s="1262"/>
      <c r="I710" s="1262"/>
      <c r="J710" s="1262"/>
      <c r="K710" s="1262"/>
      <c r="L710" s="1262"/>
      <c r="M710" s="1262"/>
      <c r="N710" s="1262"/>
      <c r="O710" s="1262"/>
      <c r="P710" s="1262"/>
      <c r="Q710" s="1262"/>
      <c r="R710" s="1262"/>
      <c r="S710" s="1262"/>
      <c r="T710" s="1262"/>
      <c r="U710" s="1262"/>
      <c r="V710" s="1262"/>
      <c r="W710" s="1262"/>
      <c r="X710" s="1262"/>
      <c r="Y710" s="1262"/>
      <c r="Z710" s="1262"/>
      <c r="AA710" s="1262"/>
      <c r="AB710" s="1262"/>
      <c r="AC710" s="1262"/>
      <c r="AD710" s="1262"/>
      <c r="AE710" s="1262"/>
      <c r="AF710" s="1262"/>
      <c r="AG710" s="1262"/>
      <c r="AH710" s="1262"/>
      <c r="AI710" s="1262"/>
      <c r="AJ710" s="1262"/>
      <c r="AK710" s="1262"/>
      <c r="AL710" s="1262"/>
      <c r="AM710" s="1262"/>
      <c r="AN710" s="1262"/>
      <c r="AO710" s="1262"/>
      <c r="AP710" s="1262"/>
      <c r="AQ710" s="1262"/>
      <c r="AR710" s="1262"/>
      <c r="AS710" s="1262"/>
      <c r="AT710" s="126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2"/>
      <c r="B711" s="1262"/>
      <c r="C711" s="1262"/>
      <c r="D711" s="1262"/>
      <c r="E711" s="1262"/>
      <c r="F711" s="1262"/>
      <c r="G711" s="1262"/>
      <c r="H711" s="1262"/>
      <c r="I711" s="1262"/>
      <c r="J711" s="1262"/>
      <c r="K711" s="1262"/>
      <c r="L711" s="1262"/>
      <c r="M711" s="1262"/>
      <c r="N711" s="1262"/>
      <c r="O711" s="1262"/>
      <c r="P711" s="1262"/>
      <c r="Q711" s="1262"/>
      <c r="R711" s="1262"/>
      <c r="S711" s="1262"/>
      <c r="T711" s="1262"/>
      <c r="U711" s="1262"/>
      <c r="V711" s="1262"/>
      <c r="W711" s="1262"/>
      <c r="X711" s="1262"/>
      <c r="Y711" s="1262"/>
      <c r="Z711" s="1262"/>
      <c r="AA711" s="1262"/>
      <c r="AB711" s="1262"/>
      <c r="AC711" s="1262"/>
      <c r="AD711" s="1262"/>
      <c r="AE711" s="1262"/>
      <c r="AF711" s="1262"/>
      <c r="AG711" s="1262"/>
      <c r="AH711" s="1262"/>
      <c r="AI711" s="1262"/>
      <c r="AJ711" s="1262"/>
      <c r="AK711" s="1262"/>
      <c r="AL711" s="1262"/>
      <c r="AM711" s="1262"/>
      <c r="AN711" s="1262"/>
      <c r="AO711" s="1262"/>
      <c r="AP711" s="1262"/>
      <c r="AQ711" s="1262"/>
      <c r="AR711" s="1262"/>
      <c r="AS711" s="1262"/>
      <c r="AT711" s="126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47" t="s">
        <v>388</v>
      </c>
      <c r="C714" s="1448"/>
      <c r="D714" s="1448"/>
      <c r="E714" s="1448"/>
      <c r="F714" s="1449"/>
      <c r="G714" s="1447" t="s">
        <v>284</v>
      </c>
      <c r="H714" s="1448"/>
      <c r="I714" s="1448"/>
      <c r="J714" s="1449"/>
      <c r="K714" s="1715" t="s">
        <v>1679</v>
      </c>
      <c r="L714" s="1716"/>
      <c r="M714" s="1716"/>
      <c r="N714" s="1717"/>
      <c r="O714" s="1447" t="s">
        <v>447</v>
      </c>
      <c r="P714" s="1448"/>
      <c r="Q714" s="1448"/>
      <c r="R714" s="1448"/>
      <c r="S714" s="1449"/>
      <c r="T714" s="1663" t="s">
        <v>1950</v>
      </c>
      <c r="U714" s="1448"/>
      <c r="V714" s="1448"/>
      <c r="W714" s="1449"/>
      <c r="X714" s="1663" t="s">
        <v>1952</v>
      </c>
      <c r="Y714" s="1448"/>
      <c r="Z714" s="1448"/>
      <c r="AA714" s="1448"/>
      <c r="AB714" s="1449"/>
      <c r="AC714" s="1663" t="s">
        <v>1951</v>
      </c>
      <c r="AD714" s="1448"/>
      <c r="AE714" s="1448"/>
      <c r="AF714" s="1448"/>
      <c r="AG714" s="1449"/>
      <c r="AH714" s="1663" t="s">
        <v>1953</v>
      </c>
      <c r="AI714" s="1448"/>
      <c r="AJ714" s="1449"/>
      <c r="AK714" s="1663" t="s">
        <v>1980</v>
      </c>
      <c r="AL714" s="1448"/>
      <c r="AM714" s="1448"/>
      <c r="AN714" s="1448"/>
      <c r="AO714" s="144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50"/>
      <c r="C715" s="1451"/>
      <c r="D715" s="1451"/>
      <c r="E715" s="1451"/>
      <c r="F715" s="1452"/>
      <c r="G715" s="1450"/>
      <c r="H715" s="1451"/>
      <c r="I715" s="1451"/>
      <c r="J715" s="1452"/>
      <c r="K715" s="1718"/>
      <c r="L715" s="1719"/>
      <c r="M715" s="1719"/>
      <c r="N715" s="1720"/>
      <c r="O715" s="1450"/>
      <c r="P715" s="1451"/>
      <c r="Q715" s="1451"/>
      <c r="R715" s="1451"/>
      <c r="S715" s="1452"/>
      <c r="T715" s="1450"/>
      <c r="U715" s="1451"/>
      <c r="V715" s="1451"/>
      <c r="W715" s="1452"/>
      <c r="X715" s="1450"/>
      <c r="Y715" s="1451"/>
      <c r="Z715" s="1451"/>
      <c r="AA715" s="1451"/>
      <c r="AB715" s="1452"/>
      <c r="AC715" s="1450"/>
      <c r="AD715" s="1451"/>
      <c r="AE715" s="1451"/>
      <c r="AF715" s="1451"/>
      <c r="AG715" s="1452"/>
      <c r="AH715" s="1450"/>
      <c r="AI715" s="1451"/>
      <c r="AJ715" s="1452"/>
      <c r="AK715" s="1450"/>
      <c r="AL715" s="1451"/>
      <c r="AM715" s="1451"/>
      <c r="AN715" s="1451"/>
      <c r="AO715" s="145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50"/>
      <c r="C716" s="1451"/>
      <c r="D716" s="1451"/>
      <c r="E716" s="1451"/>
      <c r="F716" s="1452"/>
      <c r="G716" s="1450"/>
      <c r="H716" s="1451"/>
      <c r="I716" s="1451"/>
      <c r="J716" s="1452"/>
      <c r="K716" s="1718"/>
      <c r="L716" s="1719"/>
      <c r="M716" s="1719"/>
      <c r="N716" s="1720"/>
      <c r="O716" s="1450"/>
      <c r="P716" s="1451"/>
      <c r="Q716" s="1451"/>
      <c r="R716" s="1451"/>
      <c r="S716" s="1452"/>
      <c r="T716" s="1450"/>
      <c r="U716" s="1451"/>
      <c r="V716" s="1451"/>
      <c r="W716" s="1452"/>
      <c r="X716" s="1450"/>
      <c r="Y716" s="1451"/>
      <c r="Z716" s="1451"/>
      <c r="AA716" s="1451"/>
      <c r="AB716" s="1452"/>
      <c r="AC716" s="1450"/>
      <c r="AD716" s="1451"/>
      <c r="AE716" s="1451"/>
      <c r="AF716" s="1451"/>
      <c r="AG716" s="1452"/>
      <c r="AH716" s="1450"/>
      <c r="AI716" s="1451"/>
      <c r="AJ716" s="1452"/>
      <c r="AK716" s="1450"/>
      <c r="AL716" s="1451"/>
      <c r="AM716" s="1451"/>
      <c r="AN716" s="1451"/>
      <c r="AO716" s="1452"/>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453"/>
      <c r="C717" s="1454"/>
      <c r="D717" s="1454"/>
      <c r="E717" s="1454"/>
      <c r="F717" s="1455"/>
      <c r="G717" s="1453"/>
      <c r="H717" s="1454"/>
      <c r="I717" s="1454"/>
      <c r="J717" s="1455"/>
      <c r="K717" s="1718"/>
      <c r="L717" s="1719"/>
      <c r="M717" s="1719"/>
      <c r="N717" s="1720"/>
      <c r="O717" s="1453"/>
      <c r="P717" s="1454"/>
      <c r="Q717" s="1454"/>
      <c r="R717" s="1454"/>
      <c r="S717" s="1455"/>
      <c r="T717" s="1453"/>
      <c r="U717" s="1454"/>
      <c r="V717" s="1454"/>
      <c r="W717" s="1455"/>
      <c r="X717" s="1453"/>
      <c r="Y717" s="1454"/>
      <c r="Z717" s="1454"/>
      <c r="AA717" s="1454"/>
      <c r="AB717" s="1455"/>
      <c r="AC717" s="1453"/>
      <c r="AD717" s="1454"/>
      <c r="AE717" s="1454"/>
      <c r="AF717" s="1454"/>
      <c r="AG717" s="1455"/>
      <c r="AH717" s="1453"/>
      <c r="AI717" s="1454"/>
      <c r="AJ717" s="1455"/>
      <c r="AK717" s="1453"/>
      <c r="AL717" s="1454"/>
      <c r="AM717" s="1454"/>
      <c r="AN717" s="1454"/>
      <c r="AO717" s="1455"/>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518"/>
      <c r="CJ717" s="1519"/>
      <c r="CK717" s="121" t="s">
        <v>475</v>
      </c>
      <c r="CL717" s="122"/>
      <c r="CM717" s="1518"/>
      <c r="CN717" s="1519"/>
      <c r="CO717" s="3"/>
      <c r="CP717" s="1547" t="s">
        <v>633</v>
      </c>
      <c r="CQ717" s="1548"/>
      <c r="CR717" s="1548"/>
      <c r="CS717" s="1548"/>
      <c r="CT717" s="1549"/>
      <c r="CU717" s="1512" t="s">
        <v>324</v>
      </c>
      <c r="CV717" s="1512"/>
      <c r="CW717" s="1512"/>
      <c r="CX717" s="1512"/>
      <c r="CY717" s="1512"/>
      <c r="CZ717" s="1512" t="s">
        <v>163</v>
      </c>
      <c r="DA717" s="1512"/>
      <c r="DB717" s="1512"/>
      <c r="DC717" s="1512"/>
      <c r="DD717" s="1512"/>
      <c r="DE717" s="1512" t="s">
        <v>164</v>
      </c>
      <c r="DF717" s="1512"/>
      <c r="DG717" s="1512"/>
      <c r="DH717" s="1512"/>
      <c r="DI717" s="1512"/>
      <c r="DJ717" s="1512" t="s">
        <v>460</v>
      </c>
      <c r="DK717" s="1512"/>
      <c r="DL717" s="1512"/>
      <c r="DM717" s="1512"/>
      <c r="DN717" s="1512"/>
      <c r="DO717" s="1512" t="s">
        <v>30</v>
      </c>
      <c r="DP717" s="1512"/>
      <c r="DQ717" s="1512"/>
      <c r="DR717" s="1512"/>
      <c r="DS717" s="1512"/>
      <c r="DT717" s="89"/>
      <c r="DU717" s="1512" t="s">
        <v>633</v>
      </c>
      <c r="DV717" s="1512"/>
      <c r="DW717" s="1512"/>
      <c r="DX717" s="1512"/>
      <c r="DY717" s="1512"/>
      <c r="DZ717" s="1512" t="s">
        <v>324</v>
      </c>
      <c r="EA717" s="1512"/>
      <c r="EB717" s="1512"/>
      <c r="EC717" s="1512"/>
      <c r="ED717" s="1512"/>
      <c r="EE717" s="1512" t="s">
        <v>163</v>
      </c>
      <c r="EF717" s="1512"/>
      <c r="EG717" s="1512"/>
      <c r="EH717" s="1512"/>
      <c r="EI717" s="1512"/>
      <c r="EJ717" s="1512" t="s">
        <v>164</v>
      </c>
      <c r="EK717" s="1512"/>
      <c r="EL717" s="1512"/>
      <c r="EM717" s="1512"/>
      <c r="EN717" s="1512"/>
      <c r="EO717" s="1512" t="s">
        <v>460</v>
      </c>
      <c r="EP717" s="1512"/>
      <c r="EQ717" s="1512"/>
      <c r="ER717" s="1512"/>
      <c r="ES717" s="1512"/>
      <c r="ET717" s="1512" t="s">
        <v>30</v>
      </c>
      <c r="EU717" s="1512"/>
      <c r="EV717" s="1512"/>
      <c r="EW717" s="1512"/>
      <c r="EX717" s="1512"/>
      <c r="EY717" s="4"/>
      <c r="EZ717" s="1512" t="s">
        <v>633</v>
      </c>
      <c r="FA717" s="1512"/>
      <c r="FB717" s="1512"/>
      <c r="FC717" s="1512"/>
      <c r="FD717" s="1512"/>
      <c r="FE717" s="1512" t="s">
        <v>324</v>
      </c>
      <c r="FF717" s="1512"/>
      <c r="FG717" s="1512"/>
      <c r="FH717" s="1512"/>
      <c r="FI717" s="1512"/>
      <c r="FJ717" s="1512" t="s">
        <v>163</v>
      </c>
      <c r="FK717" s="1512"/>
      <c r="FL717" s="1512"/>
      <c r="FM717" s="1512"/>
      <c r="FN717" s="1512"/>
      <c r="FO717" s="1512" t="s">
        <v>164</v>
      </c>
      <c r="FP717" s="1512"/>
      <c r="FQ717" s="1512"/>
      <c r="FR717" s="1512"/>
      <c r="FS717" s="1512"/>
      <c r="FT717" s="1512" t="s">
        <v>460</v>
      </c>
      <c r="FU717" s="1512"/>
      <c r="FV717" s="1512"/>
      <c r="FW717" s="1512"/>
      <c r="FX717" s="1512"/>
      <c r="FY717" s="1512" t="s">
        <v>30</v>
      </c>
      <c r="FZ717" s="1512"/>
      <c r="GA717" s="1512"/>
      <c r="GB717" s="1512"/>
      <c r="GC717" s="1512"/>
    </row>
    <row r="718" spans="1:185" ht="12.95" customHeight="1">
      <c r="A718" s="4"/>
      <c r="B718" s="1364" t="s">
        <v>324</v>
      </c>
      <c r="C718" s="1365"/>
      <c r="D718" s="1365"/>
      <c r="E718" s="1365"/>
      <c r="F718" s="1366"/>
      <c r="G718" s="1348">
        <v>5</v>
      </c>
      <c r="H718" s="1349"/>
      <c r="I718" s="1349"/>
      <c r="J718" s="1350"/>
      <c r="K718" s="1418">
        <v>675</v>
      </c>
      <c r="L718" s="1419"/>
      <c r="M718" s="1419"/>
      <c r="N718" s="1420"/>
      <c r="O718" s="1358">
        <v>1063</v>
      </c>
      <c r="P718" s="1359"/>
      <c r="Q718" s="1359"/>
      <c r="R718" s="1359"/>
      <c r="S718" s="1360"/>
      <c r="T718" s="1358">
        <v>25</v>
      </c>
      <c r="U718" s="1359"/>
      <c r="V718" s="1359"/>
      <c r="W718" s="1360"/>
      <c r="X718" s="1355">
        <f t="shared" ref="X718:X741" si="8">O718+T718</f>
        <v>1088</v>
      </c>
      <c r="Y718" s="1356"/>
      <c r="Z718" s="1356"/>
      <c r="AA718" s="1356"/>
      <c r="AB718" s="1357"/>
      <c r="AC718" s="1430">
        <v>0.3</v>
      </c>
      <c r="AD718" s="1431"/>
      <c r="AE718" s="1431"/>
      <c r="AF718" s="1431"/>
      <c r="AG718" s="1432"/>
      <c r="AH718" s="1361">
        <f>IF($AC718&gt;0,($X718/$AZ718), "")</f>
        <v>0.30005515719801434</v>
      </c>
      <c r="AI718" s="1362"/>
      <c r="AJ718" s="1363"/>
      <c r="AK718" s="1364" t="s">
        <v>591</v>
      </c>
      <c r="AL718" s="1365"/>
      <c r="AM718" s="1365"/>
      <c r="AN718" s="1365"/>
      <c r="AO718" s="1366"/>
      <c r="AP718" s="3"/>
      <c r="AQ718" s="3"/>
      <c r="AR718" s="3"/>
      <c r="AS718" s="3"/>
      <c r="AZ718" s="118">
        <f t="shared" ref="AZ718:AZ752" si="9">IF($G718=0,"N/A",VLOOKUP($T$189,TC_Rent,(MATCH($B718,bedrooms,FALSE)),FALSE))</f>
        <v>3626</v>
      </c>
      <c r="BA718" s="3"/>
      <c r="BB718" s="3"/>
      <c r="BC718" s="3"/>
      <c r="BD718" s="3"/>
      <c r="BE718" s="204"/>
      <c r="BF718" s="293">
        <f t="shared" ref="BF718:BF752" si="10">G718</f>
        <v>5</v>
      </c>
      <c r="BG718" s="297">
        <f t="shared" ref="BG718:BG752" si="11">IF($BF$753=0,0,BF718/$BF$753)</f>
        <v>4.0322580645161289E-2</v>
      </c>
      <c r="BH718" s="298">
        <f t="shared" ref="BH718:BH752" si="12">IF(BG718=0,"",BG718*AC718)</f>
        <v>1.2096774193548387E-2</v>
      </c>
      <c r="BI718" s="3"/>
      <c r="BJ718" s="3"/>
      <c r="BK718" s="3"/>
      <c r="BL718" s="3"/>
      <c r="BM718" s="3"/>
      <c r="BN718" s="3"/>
      <c r="BS718" s="293">
        <f t="shared" ref="BS718:BS752" si="13">G718</f>
        <v>5</v>
      </c>
      <c r="BT718" s="297">
        <f t="shared" ref="BT718:BT752" si="14">IF($BS$753=0,0,BS718/$BS$753)</f>
        <v>4.0322580645161289E-2</v>
      </c>
      <c r="BU718" s="298">
        <f t="shared" ref="BU718:BU752" si="15">IF(BT718=0,"",BT718*AH718)</f>
        <v>1.2098998274113482E-2</v>
      </c>
      <c r="CC718" s="3"/>
      <c r="CD718" s="3"/>
      <c r="CE718" s="3"/>
      <c r="CF718" s="3"/>
      <c r="CG718" s="1516">
        <f>IF(AND(AC718&lt;=0.5,AC718&gt;=0.36),1,0)</f>
        <v>0</v>
      </c>
      <c r="CH718" s="1517"/>
      <c r="CI718" s="1518">
        <f>IF(CG718=1,G718,0)</f>
        <v>0</v>
      </c>
      <c r="CJ718" s="1519"/>
      <c r="CK718" s="1516">
        <f t="shared" ref="CK718:CK752" si="16">IF(AND(AC718&lt;=0.35,AC718&gt;0),1,0)</f>
        <v>1</v>
      </c>
      <c r="CL718" s="1517"/>
      <c r="CM718" s="1518">
        <f t="shared" ref="CM718:CM752" si="17">IF(CK718=1,G718,0)</f>
        <v>5</v>
      </c>
      <c r="CN718" s="1519"/>
      <c r="CO718" s="3"/>
      <c r="CP718" s="1513">
        <f t="shared" ref="CP718:CP752" si="18">IF(B718="SRO/Studio",G718,0)</f>
        <v>0</v>
      </c>
      <c r="CQ718" s="1514"/>
      <c r="CR718" s="1514"/>
      <c r="CS718" s="1514"/>
      <c r="CT718" s="1515"/>
      <c r="CU718" s="1507">
        <f t="shared" ref="CU718:CU752" si="19">IF(B718="1 Bedroom",G718,0)</f>
        <v>5</v>
      </c>
      <c r="CV718" s="1507"/>
      <c r="CW718" s="1507"/>
      <c r="CX718" s="1507"/>
      <c r="CY718" s="1507"/>
      <c r="CZ718" s="1507">
        <f t="shared" ref="CZ718:CZ752" si="20">IF(B718="2 Bedrooms",G718,0)</f>
        <v>0</v>
      </c>
      <c r="DA718" s="1507"/>
      <c r="DB718" s="1507"/>
      <c r="DC718" s="1507"/>
      <c r="DD718" s="1507"/>
      <c r="DE718" s="1507">
        <f t="shared" ref="DE718:DE752" si="21">IF(B718="3 Bedrooms",G718,0)</f>
        <v>0</v>
      </c>
      <c r="DF718" s="1507"/>
      <c r="DG718" s="1507"/>
      <c r="DH718" s="1507"/>
      <c r="DI718" s="1507"/>
      <c r="DJ718" s="1507">
        <f t="shared" ref="DJ718:DJ752" si="22">IF(B718="4 Bedrooms",G718,0)</f>
        <v>0</v>
      </c>
      <c r="DK718" s="1507"/>
      <c r="DL718" s="1507"/>
      <c r="DM718" s="1507"/>
      <c r="DN718" s="1507"/>
      <c r="DO718" s="1507">
        <f t="shared" ref="DO718:DO752" si="23">IF(B718="5 Bedrooms",G718,0)</f>
        <v>0</v>
      </c>
      <c r="DP718" s="1507"/>
      <c r="DQ718" s="1507"/>
      <c r="DR718" s="1507"/>
      <c r="DS718" s="1507"/>
      <c r="DT718" s="6"/>
      <c r="DU718" s="1502">
        <f t="shared" ref="DU718:DU752" si="24">IF(AND(B718="SRO/Studio",AC718&lt;=0.3),G718,0)</f>
        <v>0</v>
      </c>
      <c r="DV718" s="1502"/>
      <c r="DW718" s="1502"/>
      <c r="DX718" s="1502"/>
      <c r="DY718" s="1502"/>
      <c r="DZ718" s="1502">
        <f t="shared" ref="DZ718:DZ752" si="25">IF(AND(B718="1 Bedroom",AC718&lt;=0.3),G718,0)</f>
        <v>5</v>
      </c>
      <c r="EA718" s="1502"/>
      <c r="EB718" s="1502"/>
      <c r="EC718" s="1502"/>
      <c r="ED718" s="1502"/>
      <c r="EE718" s="1502">
        <f t="shared" ref="EE718:EE752" si="26">IF(AND(B718="2 Bedrooms",AC718&lt;=0.3),G718,0)</f>
        <v>0</v>
      </c>
      <c r="EF718" s="1502"/>
      <c r="EG718" s="1502"/>
      <c r="EH718" s="1502"/>
      <c r="EI718" s="1502"/>
      <c r="EJ718" s="1502">
        <f t="shared" ref="EJ718:EJ752" si="27">IF(AND(B718="3 Bedrooms",AC718&lt;=0.3),G718,0)</f>
        <v>0</v>
      </c>
      <c r="EK718" s="1502"/>
      <c r="EL718" s="1502"/>
      <c r="EM718" s="1502"/>
      <c r="EN718" s="1502"/>
      <c r="EO718" s="1502">
        <f t="shared" ref="EO718:EO752" si="28">IF(AND(B718="4 Bedrooms",AC718&lt;=0.3),G718,0)</f>
        <v>0</v>
      </c>
      <c r="EP718" s="1502"/>
      <c r="EQ718" s="1502"/>
      <c r="ER718" s="1502"/>
      <c r="ES718" s="1502"/>
      <c r="ET718" s="1502">
        <f t="shared" ref="ET718:ET752" si="29">IF(AND(B718="5 Bedrooms",AC718&lt;=0.3),G718,0)</f>
        <v>0</v>
      </c>
      <c r="EU718" s="1502"/>
      <c r="EV718" s="1502"/>
      <c r="EW718" s="1502"/>
      <c r="EX718" s="1502"/>
      <c r="EY718" s="4"/>
      <c r="EZ718" s="1516" t="str">
        <f t="shared" ref="EZ718:EZ752" si="30">IF(CP718&gt;0,O718,"")</f>
        <v/>
      </c>
      <c r="FA718" s="1522"/>
      <c r="FB718" s="1522"/>
      <c r="FC718" s="1522"/>
      <c r="FD718" s="1517"/>
      <c r="FE718" s="1516">
        <f t="shared" ref="FE718:FE752" si="31">IF(CU718&gt;0,O718,"")</f>
        <v>1063</v>
      </c>
      <c r="FF718" s="1522"/>
      <c r="FG718" s="1522"/>
      <c r="FH718" s="1522"/>
      <c r="FI718" s="1517"/>
      <c r="FJ718" s="1516" t="str">
        <f t="shared" ref="FJ718:FJ752" si="32">IF(CZ718&gt;0,O718,"")</f>
        <v/>
      </c>
      <c r="FK718" s="1522"/>
      <c r="FL718" s="1522"/>
      <c r="FM718" s="1522"/>
      <c r="FN718" s="1517"/>
      <c r="FO718" s="1516" t="str">
        <f t="shared" ref="FO718:FO752" si="33">IF(DE718&gt;0,O718,"")</f>
        <v/>
      </c>
      <c r="FP718" s="1522"/>
      <c r="FQ718" s="1522"/>
      <c r="FR718" s="1522"/>
      <c r="FS718" s="1517"/>
      <c r="FT718" s="1516" t="str">
        <f t="shared" ref="FT718:FT752" si="34">IF(DJ718&gt;0,O718,"")</f>
        <v/>
      </c>
      <c r="FU718" s="1522"/>
      <c r="FV718" s="1522"/>
      <c r="FW718" s="1522"/>
      <c r="FX718" s="1517"/>
      <c r="FY718" s="1516" t="str">
        <f t="shared" ref="FY718:FY752" si="35">IF(DO718&gt;0,O718,"")</f>
        <v/>
      </c>
      <c r="FZ718" s="1522"/>
      <c r="GA718" s="1522"/>
      <c r="GB718" s="1522"/>
      <c r="GC718" s="1517"/>
    </row>
    <row r="719" spans="1:185" ht="12.95" customHeight="1">
      <c r="A719" s="4"/>
      <c r="B719" s="1364" t="s">
        <v>163</v>
      </c>
      <c r="C719" s="1365"/>
      <c r="D719" s="1365"/>
      <c r="E719" s="1365"/>
      <c r="F719" s="1366"/>
      <c r="G719" s="1348">
        <v>6</v>
      </c>
      <c r="H719" s="1349"/>
      <c r="I719" s="1349"/>
      <c r="J719" s="1350"/>
      <c r="K719" s="1418">
        <v>881</v>
      </c>
      <c r="L719" s="1419"/>
      <c r="M719" s="1419"/>
      <c r="N719" s="1420"/>
      <c r="O719" s="1358">
        <v>1226</v>
      </c>
      <c r="P719" s="1359"/>
      <c r="Q719" s="1359"/>
      <c r="R719" s="1359"/>
      <c r="S719" s="1360"/>
      <c r="T719" s="1358">
        <v>80</v>
      </c>
      <c r="U719" s="1359"/>
      <c r="V719" s="1359"/>
      <c r="W719" s="1360"/>
      <c r="X719" s="1355">
        <f t="shared" si="8"/>
        <v>1306</v>
      </c>
      <c r="Y719" s="1356"/>
      <c r="Z719" s="1356"/>
      <c r="AA719" s="1356"/>
      <c r="AB719" s="1357"/>
      <c r="AC719" s="1430">
        <v>0.3</v>
      </c>
      <c r="AD719" s="1431"/>
      <c r="AE719" s="1431"/>
      <c r="AF719" s="1431"/>
      <c r="AG719" s="1432"/>
      <c r="AH719" s="1361">
        <f t="shared" ref="AH719:AH752" si="36">IF($AC719&gt;0,($X719/$AZ719), "")</f>
        <v>0.3000919117647059</v>
      </c>
      <c r="AI719" s="1362"/>
      <c r="AJ719" s="1363"/>
      <c r="AK719" s="1364" t="s">
        <v>591</v>
      </c>
      <c r="AL719" s="1365"/>
      <c r="AM719" s="1365"/>
      <c r="AN719" s="1365"/>
      <c r="AO719" s="1366"/>
      <c r="AP719" s="3"/>
      <c r="AQ719" s="3"/>
      <c r="AR719" s="3"/>
      <c r="AS719" s="3"/>
      <c r="AZ719" s="118">
        <f t="shared" si="9"/>
        <v>4352</v>
      </c>
      <c r="BA719" s="3"/>
      <c r="BB719" s="3"/>
      <c r="BC719" s="3"/>
      <c r="BD719" s="3"/>
      <c r="BE719" s="204"/>
      <c r="BF719" s="294">
        <f t="shared" si="10"/>
        <v>6</v>
      </c>
      <c r="BG719" s="297">
        <f t="shared" si="11"/>
        <v>4.8387096774193547E-2</v>
      </c>
      <c r="BH719" s="298">
        <f t="shared" si="12"/>
        <v>1.4516129032258063E-2</v>
      </c>
      <c r="BI719" s="3"/>
      <c r="BJ719" s="3"/>
      <c r="BK719" s="3"/>
      <c r="BL719" s="3"/>
      <c r="BM719" s="3"/>
      <c r="BN719" s="3"/>
      <c r="BS719" s="294">
        <f t="shared" si="13"/>
        <v>6</v>
      </c>
      <c r="BT719" s="297">
        <f t="shared" si="14"/>
        <v>4.8387096774193547E-2</v>
      </c>
      <c r="BU719" s="298">
        <f t="shared" si="15"/>
        <v>1.4520576375711575E-2</v>
      </c>
      <c r="CC719" s="3"/>
      <c r="CD719" s="3"/>
      <c r="CE719" s="3"/>
      <c r="CF719" s="3"/>
      <c r="CG719" s="1516">
        <f t="shared" ref="CG719:CG752" si="37">IF(AND(AC719&lt;=0.5,AC719&gt;=0.36),1,0)</f>
        <v>0</v>
      </c>
      <c r="CH719" s="1517"/>
      <c r="CI719" s="1518">
        <f t="shared" ref="CI719:CI752" si="38">IF(CG719=1,G719,0)</f>
        <v>0</v>
      </c>
      <c r="CJ719" s="1519"/>
      <c r="CK719" s="1516">
        <f t="shared" si="16"/>
        <v>1</v>
      </c>
      <c r="CL719" s="1517"/>
      <c r="CM719" s="1518">
        <f t="shared" si="17"/>
        <v>6</v>
      </c>
      <c r="CN719" s="1519"/>
      <c r="CO719" s="3"/>
      <c r="CP719" s="1513">
        <f t="shared" si="18"/>
        <v>0</v>
      </c>
      <c r="CQ719" s="1514"/>
      <c r="CR719" s="1514"/>
      <c r="CS719" s="1514"/>
      <c r="CT719" s="1515"/>
      <c r="CU719" s="1507">
        <f t="shared" si="19"/>
        <v>0</v>
      </c>
      <c r="CV719" s="1507"/>
      <c r="CW719" s="1507"/>
      <c r="CX719" s="1507"/>
      <c r="CY719" s="1507"/>
      <c r="CZ719" s="1507">
        <f t="shared" si="20"/>
        <v>6</v>
      </c>
      <c r="DA719" s="1507"/>
      <c r="DB719" s="1507"/>
      <c r="DC719" s="1507"/>
      <c r="DD719" s="1507"/>
      <c r="DE719" s="1507">
        <f t="shared" si="21"/>
        <v>0</v>
      </c>
      <c r="DF719" s="1507"/>
      <c r="DG719" s="1507"/>
      <c r="DH719" s="1507"/>
      <c r="DI719" s="1507"/>
      <c r="DJ719" s="1507">
        <f t="shared" si="22"/>
        <v>0</v>
      </c>
      <c r="DK719" s="1507"/>
      <c r="DL719" s="1507"/>
      <c r="DM719" s="1507"/>
      <c r="DN719" s="1507"/>
      <c r="DO719" s="1507">
        <f t="shared" si="23"/>
        <v>0</v>
      </c>
      <c r="DP719" s="1507"/>
      <c r="DQ719" s="1507"/>
      <c r="DR719" s="1507"/>
      <c r="DS719" s="1507"/>
      <c r="DT719" s="6"/>
      <c r="DU719" s="1502">
        <f t="shared" si="24"/>
        <v>0</v>
      </c>
      <c r="DV719" s="1502"/>
      <c r="DW719" s="1502"/>
      <c r="DX719" s="1502"/>
      <c r="DY719" s="1502"/>
      <c r="DZ719" s="1502">
        <f t="shared" si="25"/>
        <v>0</v>
      </c>
      <c r="EA719" s="1502"/>
      <c r="EB719" s="1502"/>
      <c r="EC719" s="1502"/>
      <c r="ED719" s="1502"/>
      <c r="EE719" s="1502">
        <f t="shared" si="26"/>
        <v>6</v>
      </c>
      <c r="EF719" s="1502"/>
      <c r="EG719" s="1502"/>
      <c r="EH719" s="1502"/>
      <c r="EI719" s="1502"/>
      <c r="EJ719" s="1502">
        <f t="shared" si="27"/>
        <v>0</v>
      </c>
      <c r="EK719" s="1502"/>
      <c r="EL719" s="1502"/>
      <c r="EM719" s="1502"/>
      <c r="EN719" s="1502"/>
      <c r="EO719" s="1502">
        <f t="shared" si="28"/>
        <v>0</v>
      </c>
      <c r="EP719" s="1502"/>
      <c r="EQ719" s="1502"/>
      <c r="ER719" s="1502"/>
      <c r="ES719" s="1502"/>
      <c r="ET719" s="1502">
        <f t="shared" si="29"/>
        <v>0</v>
      </c>
      <c r="EU719" s="1502"/>
      <c r="EV719" s="1502"/>
      <c r="EW719" s="1502"/>
      <c r="EX719" s="1502"/>
      <c r="EY719" s="4"/>
      <c r="EZ719" s="1516" t="str">
        <f t="shared" si="30"/>
        <v/>
      </c>
      <c r="FA719" s="1522"/>
      <c r="FB719" s="1522"/>
      <c r="FC719" s="1522"/>
      <c r="FD719" s="1517"/>
      <c r="FE719" s="1516" t="str">
        <f t="shared" si="31"/>
        <v/>
      </c>
      <c r="FF719" s="1522"/>
      <c r="FG719" s="1522"/>
      <c r="FH719" s="1522"/>
      <c r="FI719" s="1517"/>
      <c r="FJ719" s="1516">
        <f t="shared" si="32"/>
        <v>1226</v>
      </c>
      <c r="FK719" s="1522"/>
      <c r="FL719" s="1522"/>
      <c r="FM719" s="1522"/>
      <c r="FN719" s="1517"/>
      <c r="FO719" s="1516" t="str">
        <f t="shared" si="33"/>
        <v/>
      </c>
      <c r="FP719" s="1522"/>
      <c r="FQ719" s="1522"/>
      <c r="FR719" s="1522"/>
      <c r="FS719" s="1517"/>
      <c r="FT719" s="1516" t="str">
        <f t="shared" si="34"/>
        <v/>
      </c>
      <c r="FU719" s="1522"/>
      <c r="FV719" s="1522"/>
      <c r="FW719" s="1522"/>
      <c r="FX719" s="1517"/>
      <c r="FY719" s="1516" t="str">
        <f t="shared" si="35"/>
        <v/>
      </c>
      <c r="FZ719" s="1522"/>
      <c r="GA719" s="1522"/>
      <c r="GB719" s="1522"/>
      <c r="GC719" s="1517"/>
    </row>
    <row r="720" spans="1:185" ht="12.95" customHeight="1">
      <c r="A720" s="4"/>
      <c r="B720" s="1364" t="s">
        <v>164</v>
      </c>
      <c r="C720" s="1365"/>
      <c r="D720" s="1365"/>
      <c r="E720" s="1365"/>
      <c r="F720" s="1366"/>
      <c r="G720" s="1348">
        <v>3</v>
      </c>
      <c r="H720" s="1349"/>
      <c r="I720" s="1349"/>
      <c r="J720" s="1350"/>
      <c r="K720" s="1418">
        <v>1125</v>
      </c>
      <c r="L720" s="1419"/>
      <c r="M720" s="1419"/>
      <c r="N720" s="1420"/>
      <c r="O720" s="1358">
        <v>1465</v>
      </c>
      <c r="P720" s="1359"/>
      <c r="Q720" s="1359"/>
      <c r="R720" s="1359"/>
      <c r="S720" s="1360"/>
      <c r="T720" s="1358">
        <v>43</v>
      </c>
      <c r="U720" s="1359"/>
      <c r="V720" s="1359"/>
      <c r="W720" s="1360"/>
      <c r="X720" s="1355">
        <f t="shared" si="8"/>
        <v>1508</v>
      </c>
      <c r="Y720" s="1356"/>
      <c r="Z720" s="1356"/>
      <c r="AA720" s="1356"/>
      <c r="AB720" s="1357"/>
      <c r="AC720" s="1430">
        <v>0.3</v>
      </c>
      <c r="AD720" s="1431"/>
      <c r="AE720" s="1431"/>
      <c r="AF720" s="1431"/>
      <c r="AG720" s="1432"/>
      <c r="AH720" s="1361">
        <f t="shared" si="36"/>
        <v>0.29992044550517105</v>
      </c>
      <c r="AI720" s="1362"/>
      <c r="AJ720" s="1363"/>
      <c r="AK720" s="1364" t="s">
        <v>591</v>
      </c>
      <c r="AL720" s="1365"/>
      <c r="AM720" s="1365"/>
      <c r="AN720" s="1365"/>
      <c r="AO720" s="1366"/>
      <c r="AP720" s="3"/>
      <c r="AQ720" s="3"/>
      <c r="AR720" s="3"/>
      <c r="AS720" s="3"/>
      <c r="AZ720" s="118">
        <f t="shared" si="9"/>
        <v>5028</v>
      </c>
      <c r="BA720" s="3"/>
      <c r="BB720" s="3"/>
      <c r="BC720" s="3"/>
      <c r="BD720" s="3"/>
      <c r="BE720" s="204"/>
      <c r="BF720" s="294">
        <f t="shared" si="10"/>
        <v>3</v>
      </c>
      <c r="BG720" s="297">
        <f t="shared" si="11"/>
        <v>2.4193548387096774E-2</v>
      </c>
      <c r="BH720" s="298">
        <f t="shared" si="12"/>
        <v>7.2580645161290317E-3</v>
      </c>
      <c r="BI720" s="3"/>
      <c r="BJ720" s="3"/>
      <c r="BK720" s="3"/>
      <c r="BL720" s="3"/>
      <c r="BM720" s="3"/>
      <c r="BN720" s="3"/>
      <c r="BS720" s="294">
        <f t="shared" si="13"/>
        <v>3</v>
      </c>
      <c r="BT720" s="297">
        <f t="shared" si="14"/>
        <v>2.4193548387096774E-2</v>
      </c>
      <c r="BU720" s="298">
        <f t="shared" si="15"/>
        <v>7.2561398106089766E-3</v>
      </c>
      <c r="CC720" s="3"/>
      <c r="CD720" s="3"/>
      <c r="CE720" s="3"/>
      <c r="CF720" s="3"/>
      <c r="CG720" s="1516">
        <f t="shared" si="37"/>
        <v>0</v>
      </c>
      <c r="CH720" s="1517"/>
      <c r="CI720" s="1518">
        <f t="shared" si="38"/>
        <v>0</v>
      </c>
      <c r="CJ720" s="1519"/>
      <c r="CK720" s="1516">
        <f t="shared" si="16"/>
        <v>1</v>
      </c>
      <c r="CL720" s="1517"/>
      <c r="CM720" s="1518">
        <f t="shared" si="17"/>
        <v>3</v>
      </c>
      <c r="CN720" s="1519"/>
      <c r="CO720" s="3"/>
      <c r="CP720" s="1513">
        <f t="shared" si="18"/>
        <v>0</v>
      </c>
      <c r="CQ720" s="1514"/>
      <c r="CR720" s="1514"/>
      <c r="CS720" s="1514"/>
      <c r="CT720" s="1515"/>
      <c r="CU720" s="1507">
        <f t="shared" si="19"/>
        <v>0</v>
      </c>
      <c r="CV720" s="1507"/>
      <c r="CW720" s="1507"/>
      <c r="CX720" s="1507"/>
      <c r="CY720" s="1507"/>
      <c r="CZ720" s="1507">
        <f t="shared" si="20"/>
        <v>0</v>
      </c>
      <c r="DA720" s="1507"/>
      <c r="DB720" s="1507"/>
      <c r="DC720" s="1507"/>
      <c r="DD720" s="1507"/>
      <c r="DE720" s="1507">
        <f t="shared" si="21"/>
        <v>3</v>
      </c>
      <c r="DF720" s="1507"/>
      <c r="DG720" s="1507"/>
      <c r="DH720" s="1507"/>
      <c r="DI720" s="1507"/>
      <c r="DJ720" s="1507">
        <f t="shared" si="22"/>
        <v>0</v>
      </c>
      <c r="DK720" s="1507"/>
      <c r="DL720" s="1507"/>
      <c r="DM720" s="1507"/>
      <c r="DN720" s="1507"/>
      <c r="DO720" s="1507">
        <f t="shared" si="23"/>
        <v>0</v>
      </c>
      <c r="DP720" s="1507"/>
      <c r="DQ720" s="1507"/>
      <c r="DR720" s="1507"/>
      <c r="DS720" s="1507"/>
      <c r="DT720" s="6"/>
      <c r="DU720" s="1502">
        <f t="shared" si="24"/>
        <v>0</v>
      </c>
      <c r="DV720" s="1502"/>
      <c r="DW720" s="1502"/>
      <c r="DX720" s="1502"/>
      <c r="DY720" s="1502"/>
      <c r="DZ720" s="1502">
        <f t="shared" si="25"/>
        <v>0</v>
      </c>
      <c r="EA720" s="1502"/>
      <c r="EB720" s="1502"/>
      <c r="EC720" s="1502"/>
      <c r="ED720" s="1502"/>
      <c r="EE720" s="1502">
        <f t="shared" si="26"/>
        <v>0</v>
      </c>
      <c r="EF720" s="1502"/>
      <c r="EG720" s="1502"/>
      <c r="EH720" s="1502"/>
      <c r="EI720" s="1502"/>
      <c r="EJ720" s="1502">
        <f t="shared" si="27"/>
        <v>3</v>
      </c>
      <c r="EK720" s="1502"/>
      <c r="EL720" s="1502"/>
      <c r="EM720" s="1502"/>
      <c r="EN720" s="1502"/>
      <c r="EO720" s="1502">
        <f t="shared" si="28"/>
        <v>0</v>
      </c>
      <c r="EP720" s="1502"/>
      <c r="EQ720" s="1502"/>
      <c r="ER720" s="1502"/>
      <c r="ES720" s="1502"/>
      <c r="ET720" s="1502">
        <f t="shared" si="29"/>
        <v>0</v>
      </c>
      <c r="EU720" s="1502"/>
      <c r="EV720" s="1502"/>
      <c r="EW720" s="1502"/>
      <c r="EX720" s="1502"/>
      <c r="EZ720" s="1516" t="str">
        <f t="shared" si="30"/>
        <v/>
      </c>
      <c r="FA720" s="1522"/>
      <c r="FB720" s="1522"/>
      <c r="FC720" s="1522"/>
      <c r="FD720" s="1517"/>
      <c r="FE720" s="1516" t="str">
        <f t="shared" si="31"/>
        <v/>
      </c>
      <c r="FF720" s="1522"/>
      <c r="FG720" s="1522"/>
      <c r="FH720" s="1522"/>
      <c r="FI720" s="1517"/>
      <c r="FJ720" s="1516" t="str">
        <f t="shared" si="32"/>
        <v/>
      </c>
      <c r="FK720" s="1522"/>
      <c r="FL720" s="1522"/>
      <c r="FM720" s="1522"/>
      <c r="FN720" s="1517"/>
      <c r="FO720" s="1516">
        <f t="shared" si="33"/>
        <v>1465</v>
      </c>
      <c r="FP720" s="1522"/>
      <c r="FQ720" s="1522"/>
      <c r="FR720" s="1522"/>
      <c r="FS720" s="1517"/>
      <c r="FT720" s="1516" t="str">
        <f t="shared" si="34"/>
        <v/>
      </c>
      <c r="FU720" s="1522"/>
      <c r="FV720" s="1522"/>
      <c r="FW720" s="1522"/>
      <c r="FX720" s="1517"/>
      <c r="FY720" s="1516" t="str">
        <f t="shared" si="35"/>
        <v/>
      </c>
      <c r="FZ720" s="1522"/>
      <c r="GA720" s="1522"/>
      <c r="GB720" s="1522"/>
      <c r="GC720" s="1517"/>
    </row>
    <row r="721" spans="1:185" ht="12.95" customHeight="1">
      <c r="B721" s="1364" t="s">
        <v>324</v>
      </c>
      <c r="C721" s="1365"/>
      <c r="D721" s="1365"/>
      <c r="E721" s="1365"/>
      <c r="F721" s="1366"/>
      <c r="G721" s="1348">
        <v>19</v>
      </c>
      <c r="H721" s="1349"/>
      <c r="I721" s="1349"/>
      <c r="J721" s="1350"/>
      <c r="K721" s="1418">
        <v>675</v>
      </c>
      <c r="L721" s="1419"/>
      <c r="M721" s="1419"/>
      <c r="N721" s="1420"/>
      <c r="O721" s="1358">
        <v>1788</v>
      </c>
      <c r="P721" s="1359"/>
      <c r="Q721" s="1359"/>
      <c r="R721" s="1359"/>
      <c r="S721" s="1360"/>
      <c r="T721" s="1358">
        <v>25</v>
      </c>
      <c r="U721" s="1359"/>
      <c r="V721" s="1359"/>
      <c r="W721" s="1360"/>
      <c r="X721" s="1355">
        <f t="shared" si="8"/>
        <v>1813</v>
      </c>
      <c r="Y721" s="1356"/>
      <c r="Z721" s="1356"/>
      <c r="AA721" s="1356"/>
      <c r="AB721" s="1357"/>
      <c r="AC721" s="1430">
        <v>0.5</v>
      </c>
      <c r="AD721" s="1431"/>
      <c r="AE721" s="1431"/>
      <c r="AF721" s="1431"/>
      <c r="AG721" s="1432"/>
      <c r="AH721" s="1361">
        <f t="shared" si="36"/>
        <v>0.5</v>
      </c>
      <c r="AI721" s="1362"/>
      <c r="AJ721" s="1363"/>
      <c r="AK721" s="1364" t="s">
        <v>591</v>
      </c>
      <c r="AL721" s="1365"/>
      <c r="AM721" s="1365"/>
      <c r="AN721" s="1365"/>
      <c r="AO721" s="1366"/>
      <c r="AP721" s="3"/>
      <c r="AQ721" s="3"/>
      <c r="AR721" s="3"/>
      <c r="AS721" s="3"/>
      <c r="AY721" s="116"/>
      <c r="AZ721" s="118">
        <f t="shared" si="9"/>
        <v>3626</v>
      </c>
      <c r="BA721" s="3"/>
      <c r="BB721" s="3"/>
      <c r="BC721" s="3"/>
      <c r="BD721" s="3"/>
      <c r="BE721" s="204"/>
      <c r="BF721" s="294">
        <f t="shared" si="10"/>
        <v>19</v>
      </c>
      <c r="BG721" s="297">
        <f t="shared" si="11"/>
        <v>0.15322580645161291</v>
      </c>
      <c r="BH721" s="298">
        <f t="shared" si="12"/>
        <v>7.6612903225806453E-2</v>
      </c>
      <c r="BI721" s="3"/>
      <c r="BJ721" s="3"/>
      <c r="BK721" s="3"/>
      <c r="BL721" s="3"/>
      <c r="BM721" s="3"/>
      <c r="BN721" s="3"/>
      <c r="BS721" s="294">
        <f t="shared" si="13"/>
        <v>19</v>
      </c>
      <c r="BT721" s="297">
        <f t="shared" si="14"/>
        <v>0.15322580645161291</v>
      </c>
      <c r="BU721" s="298">
        <f t="shared" si="15"/>
        <v>7.6612903225806453E-2</v>
      </c>
      <c r="CC721" s="3"/>
      <c r="CD721" s="3"/>
      <c r="CE721" s="3"/>
      <c r="CF721" s="3"/>
      <c r="CG721" s="1516">
        <f t="shared" si="37"/>
        <v>1</v>
      </c>
      <c r="CH721" s="1517"/>
      <c r="CI721" s="1518">
        <f t="shared" si="38"/>
        <v>19</v>
      </c>
      <c r="CJ721" s="1519"/>
      <c r="CK721" s="1516">
        <f t="shared" si="16"/>
        <v>0</v>
      </c>
      <c r="CL721" s="1517"/>
      <c r="CM721" s="1518">
        <f t="shared" si="17"/>
        <v>0</v>
      </c>
      <c r="CN721" s="1519"/>
      <c r="CO721" s="3"/>
      <c r="CP721" s="1513">
        <f t="shared" si="18"/>
        <v>0</v>
      </c>
      <c r="CQ721" s="1514"/>
      <c r="CR721" s="1514"/>
      <c r="CS721" s="1514"/>
      <c r="CT721" s="1515"/>
      <c r="CU721" s="1507">
        <f t="shared" si="19"/>
        <v>19</v>
      </c>
      <c r="CV721" s="1507"/>
      <c r="CW721" s="1507"/>
      <c r="CX721" s="1507"/>
      <c r="CY721" s="1507"/>
      <c r="CZ721" s="1507">
        <f t="shared" si="20"/>
        <v>0</v>
      </c>
      <c r="DA721" s="1507"/>
      <c r="DB721" s="1507"/>
      <c r="DC721" s="1507"/>
      <c r="DD721" s="1507"/>
      <c r="DE721" s="1507">
        <f t="shared" si="21"/>
        <v>0</v>
      </c>
      <c r="DF721" s="1507"/>
      <c r="DG721" s="1507"/>
      <c r="DH721" s="1507"/>
      <c r="DI721" s="1507"/>
      <c r="DJ721" s="1507">
        <f t="shared" si="22"/>
        <v>0</v>
      </c>
      <c r="DK721" s="1507"/>
      <c r="DL721" s="1507"/>
      <c r="DM721" s="1507"/>
      <c r="DN721" s="1507"/>
      <c r="DO721" s="1507">
        <f t="shared" si="23"/>
        <v>0</v>
      </c>
      <c r="DP721" s="1507"/>
      <c r="DQ721" s="1507"/>
      <c r="DR721" s="1507"/>
      <c r="DS721" s="1507"/>
      <c r="DT721" s="6"/>
      <c r="DU721" s="1502">
        <f t="shared" si="24"/>
        <v>0</v>
      </c>
      <c r="DV721" s="1502"/>
      <c r="DW721" s="1502"/>
      <c r="DX721" s="1502"/>
      <c r="DY721" s="1502"/>
      <c r="DZ721" s="1502">
        <f t="shared" si="25"/>
        <v>0</v>
      </c>
      <c r="EA721" s="1502"/>
      <c r="EB721" s="1502"/>
      <c r="EC721" s="1502"/>
      <c r="ED721" s="1502"/>
      <c r="EE721" s="1502">
        <f t="shared" si="26"/>
        <v>0</v>
      </c>
      <c r="EF721" s="1502"/>
      <c r="EG721" s="1502"/>
      <c r="EH721" s="1502"/>
      <c r="EI721" s="1502"/>
      <c r="EJ721" s="1502">
        <f t="shared" si="27"/>
        <v>0</v>
      </c>
      <c r="EK721" s="1502"/>
      <c r="EL721" s="1502"/>
      <c r="EM721" s="1502"/>
      <c r="EN721" s="1502"/>
      <c r="EO721" s="1502">
        <f t="shared" si="28"/>
        <v>0</v>
      </c>
      <c r="EP721" s="1502"/>
      <c r="EQ721" s="1502"/>
      <c r="ER721" s="1502"/>
      <c r="ES721" s="1502"/>
      <c r="ET721" s="1502">
        <f t="shared" si="29"/>
        <v>0</v>
      </c>
      <c r="EU721" s="1502"/>
      <c r="EV721" s="1502"/>
      <c r="EW721" s="1502"/>
      <c r="EX721" s="1502"/>
      <c r="EZ721" s="1516" t="str">
        <f t="shared" si="30"/>
        <v/>
      </c>
      <c r="FA721" s="1522"/>
      <c r="FB721" s="1522"/>
      <c r="FC721" s="1522"/>
      <c r="FD721" s="1517"/>
      <c r="FE721" s="1516">
        <f t="shared" si="31"/>
        <v>1788</v>
      </c>
      <c r="FF721" s="1522"/>
      <c r="FG721" s="1522"/>
      <c r="FH721" s="1522"/>
      <c r="FI721" s="1517"/>
      <c r="FJ721" s="1516" t="str">
        <f t="shared" si="32"/>
        <v/>
      </c>
      <c r="FK721" s="1522"/>
      <c r="FL721" s="1522"/>
      <c r="FM721" s="1522"/>
      <c r="FN721" s="1517"/>
      <c r="FO721" s="1516" t="str">
        <f t="shared" si="33"/>
        <v/>
      </c>
      <c r="FP721" s="1522"/>
      <c r="FQ721" s="1522"/>
      <c r="FR721" s="1522"/>
      <c r="FS721" s="1517"/>
      <c r="FT721" s="1516" t="str">
        <f t="shared" si="34"/>
        <v/>
      </c>
      <c r="FU721" s="1522"/>
      <c r="FV721" s="1522"/>
      <c r="FW721" s="1522"/>
      <c r="FX721" s="1517"/>
      <c r="FY721" s="1516" t="str">
        <f t="shared" si="35"/>
        <v/>
      </c>
      <c r="FZ721" s="1522"/>
      <c r="GA721" s="1522"/>
      <c r="GB721" s="1522"/>
      <c r="GC721" s="1517"/>
    </row>
    <row r="722" spans="1:185" ht="12.95" customHeight="1">
      <c r="B722" s="1364" t="s">
        <v>163</v>
      </c>
      <c r="C722" s="1365"/>
      <c r="D722" s="1365"/>
      <c r="E722" s="1365"/>
      <c r="F722" s="1366"/>
      <c r="G722" s="1348">
        <v>19</v>
      </c>
      <c r="H722" s="1349"/>
      <c r="I722" s="1349"/>
      <c r="J722" s="1350"/>
      <c r="K722" s="1418">
        <v>881</v>
      </c>
      <c r="L722" s="1419"/>
      <c r="M722" s="1419"/>
      <c r="N722" s="1420"/>
      <c r="O722" s="1358">
        <v>2097</v>
      </c>
      <c r="P722" s="1359"/>
      <c r="Q722" s="1359"/>
      <c r="R722" s="1359"/>
      <c r="S722" s="1360"/>
      <c r="T722" s="1358">
        <v>80</v>
      </c>
      <c r="U722" s="1359"/>
      <c r="V722" s="1359"/>
      <c r="W722" s="1360"/>
      <c r="X722" s="1355">
        <f t="shared" si="8"/>
        <v>2177</v>
      </c>
      <c r="Y722" s="1356"/>
      <c r="Z722" s="1356"/>
      <c r="AA722" s="1356"/>
      <c r="AB722" s="1357"/>
      <c r="AC722" s="1430">
        <v>0.5</v>
      </c>
      <c r="AD722" s="1431"/>
      <c r="AE722" s="1431"/>
      <c r="AF722" s="1431"/>
      <c r="AG722" s="1432"/>
      <c r="AH722" s="1361">
        <f t="shared" si="36"/>
        <v>0.50022977941176472</v>
      </c>
      <c r="AI722" s="1362"/>
      <c r="AJ722" s="1363"/>
      <c r="AK722" s="1364" t="s">
        <v>591</v>
      </c>
      <c r="AL722" s="1365"/>
      <c r="AM722" s="1365"/>
      <c r="AN722" s="1365"/>
      <c r="AO722" s="1366"/>
      <c r="AP722" s="3"/>
      <c r="AQ722" s="3"/>
      <c r="AR722" s="3"/>
      <c r="AS722" s="3"/>
      <c r="AY722" s="116"/>
      <c r="AZ722" s="118">
        <f t="shared" si="9"/>
        <v>4352</v>
      </c>
      <c r="BA722" s="3"/>
      <c r="BB722" s="3"/>
      <c r="BC722" s="3"/>
      <c r="BD722" s="3"/>
      <c r="BE722" s="204"/>
      <c r="BF722" s="294">
        <f t="shared" si="10"/>
        <v>19</v>
      </c>
      <c r="BG722" s="297">
        <f t="shared" si="11"/>
        <v>0.15322580645161291</v>
      </c>
      <c r="BH722" s="298">
        <f t="shared" si="12"/>
        <v>7.6612903225806453E-2</v>
      </c>
      <c r="BI722" s="3"/>
      <c r="BJ722" s="3"/>
      <c r="BK722" s="3"/>
      <c r="BL722" s="3"/>
      <c r="BM722" s="3"/>
      <c r="BN722" s="3"/>
      <c r="BS722" s="294">
        <f t="shared" si="13"/>
        <v>19</v>
      </c>
      <c r="BT722" s="297">
        <f t="shared" si="14"/>
        <v>0.15322580645161291</v>
      </c>
      <c r="BU722" s="298">
        <f t="shared" si="15"/>
        <v>7.6648111361480073E-2</v>
      </c>
      <c r="CC722" s="3"/>
      <c r="CD722" s="3"/>
      <c r="CE722" s="3"/>
      <c r="CF722" s="3"/>
      <c r="CG722" s="1516">
        <f t="shared" si="37"/>
        <v>1</v>
      </c>
      <c r="CH722" s="1517"/>
      <c r="CI722" s="1518">
        <f t="shared" si="38"/>
        <v>19</v>
      </c>
      <c r="CJ722" s="1519"/>
      <c r="CK722" s="1516">
        <f t="shared" si="16"/>
        <v>0</v>
      </c>
      <c r="CL722" s="1517"/>
      <c r="CM722" s="1518">
        <f t="shared" si="17"/>
        <v>0</v>
      </c>
      <c r="CN722" s="1519"/>
      <c r="CO722" s="3"/>
      <c r="CP722" s="1513">
        <f t="shared" si="18"/>
        <v>0</v>
      </c>
      <c r="CQ722" s="1514"/>
      <c r="CR722" s="1514"/>
      <c r="CS722" s="1514"/>
      <c r="CT722" s="1515"/>
      <c r="CU722" s="1507">
        <f t="shared" si="19"/>
        <v>0</v>
      </c>
      <c r="CV722" s="1507"/>
      <c r="CW722" s="1507"/>
      <c r="CX722" s="1507"/>
      <c r="CY722" s="1507"/>
      <c r="CZ722" s="1507">
        <f t="shared" si="20"/>
        <v>19</v>
      </c>
      <c r="DA722" s="1507"/>
      <c r="DB722" s="1507"/>
      <c r="DC722" s="1507"/>
      <c r="DD722" s="1507"/>
      <c r="DE722" s="1507">
        <f t="shared" si="21"/>
        <v>0</v>
      </c>
      <c r="DF722" s="1507"/>
      <c r="DG722" s="1507"/>
      <c r="DH722" s="1507"/>
      <c r="DI722" s="1507"/>
      <c r="DJ722" s="1507">
        <f t="shared" si="22"/>
        <v>0</v>
      </c>
      <c r="DK722" s="1507"/>
      <c r="DL722" s="1507"/>
      <c r="DM722" s="1507"/>
      <c r="DN722" s="1507"/>
      <c r="DO722" s="1507">
        <f t="shared" si="23"/>
        <v>0</v>
      </c>
      <c r="DP722" s="1507"/>
      <c r="DQ722" s="1507"/>
      <c r="DR722" s="1507"/>
      <c r="DS722" s="1507"/>
      <c r="DT722" s="6"/>
      <c r="DU722" s="1502">
        <f t="shared" si="24"/>
        <v>0</v>
      </c>
      <c r="DV722" s="1502"/>
      <c r="DW722" s="1502"/>
      <c r="DX722" s="1502"/>
      <c r="DY722" s="1502"/>
      <c r="DZ722" s="1502">
        <f t="shared" si="25"/>
        <v>0</v>
      </c>
      <c r="EA722" s="1502"/>
      <c r="EB722" s="1502"/>
      <c r="EC722" s="1502"/>
      <c r="ED722" s="1502"/>
      <c r="EE722" s="1502">
        <f t="shared" si="26"/>
        <v>0</v>
      </c>
      <c r="EF722" s="1502"/>
      <c r="EG722" s="1502"/>
      <c r="EH722" s="1502"/>
      <c r="EI722" s="1502"/>
      <c r="EJ722" s="1502">
        <f t="shared" si="27"/>
        <v>0</v>
      </c>
      <c r="EK722" s="1502"/>
      <c r="EL722" s="1502"/>
      <c r="EM722" s="1502"/>
      <c r="EN722" s="1502"/>
      <c r="EO722" s="1502">
        <f t="shared" si="28"/>
        <v>0</v>
      </c>
      <c r="EP722" s="1502"/>
      <c r="EQ722" s="1502"/>
      <c r="ER722" s="1502"/>
      <c r="ES722" s="1502"/>
      <c r="ET722" s="1502">
        <f t="shared" si="29"/>
        <v>0</v>
      </c>
      <c r="EU722" s="1502"/>
      <c r="EV722" s="1502"/>
      <c r="EW722" s="1502"/>
      <c r="EX722" s="1502"/>
      <c r="EZ722" s="1516" t="str">
        <f t="shared" si="30"/>
        <v/>
      </c>
      <c r="FA722" s="1522"/>
      <c r="FB722" s="1522"/>
      <c r="FC722" s="1522"/>
      <c r="FD722" s="1517"/>
      <c r="FE722" s="1516" t="str">
        <f t="shared" si="31"/>
        <v/>
      </c>
      <c r="FF722" s="1522"/>
      <c r="FG722" s="1522"/>
      <c r="FH722" s="1522"/>
      <c r="FI722" s="1517"/>
      <c r="FJ722" s="1516">
        <f t="shared" si="32"/>
        <v>2097</v>
      </c>
      <c r="FK722" s="1522"/>
      <c r="FL722" s="1522"/>
      <c r="FM722" s="1522"/>
      <c r="FN722" s="1517"/>
      <c r="FO722" s="1516" t="str">
        <f t="shared" si="33"/>
        <v/>
      </c>
      <c r="FP722" s="1522"/>
      <c r="FQ722" s="1522"/>
      <c r="FR722" s="1522"/>
      <c r="FS722" s="1517"/>
      <c r="FT722" s="1516" t="str">
        <f t="shared" si="34"/>
        <v/>
      </c>
      <c r="FU722" s="1522"/>
      <c r="FV722" s="1522"/>
      <c r="FW722" s="1522"/>
      <c r="FX722" s="1517"/>
      <c r="FY722" s="1516" t="str">
        <f t="shared" si="35"/>
        <v/>
      </c>
      <c r="FZ722" s="1522"/>
      <c r="GA722" s="1522"/>
      <c r="GB722" s="1522"/>
      <c r="GC722" s="1517"/>
    </row>
    <row r="723" spans="1:185" ht="12.95" customHeight="1">
      <c r="B723" s="1364" t="s">
        <v>164</v>
      </c>
      <c r="C723" s="1365"/>
      <c r="D723" s="1365"/>
      <c r="E723" s="1365"/>
      <c r="F723" s="1366"/>
      <c r="G723" s="1348">
        <v>11</v>
      </c>
      <c r="H723" s="1349"/>
      <c r="I723" s="1349"/>
      <c r="J723" s="1350"/>
      <c r="K723" s="1418">
        <v>1125</v>
      </c>
      <c r="L723" s="1419"/>
      <c r="M723" s="1419"/>
      <c r="N723" s="1420"/>
      <c r="O723" s="1358">
        <v>2471</v>
      </c>
      <c r="P723" s="1359"/>
      <c r="Q723" s="1359"/>
      <c r="R723" s="1359"/>
      <c r="S723" s="1360"/>
      <c r="T723" s="1358">
        <v>43</v>
      </c>
      <c r="U723" s="1359"/>
      <c r="V723" s="1359"/>
      <c r="W723" s="1360"/>
      <c r="X723" s="1355">
        <f t="shared" si="8"/>
        <v>2514</v>
      </c>
      <c r="Y723" s="1356"/>
      <c r="Z723" s="1356"/>
      <c r="AA723" s="1356"/>
      <c r="AB723" s="1357"/>
      <c r="AC723" s="1430">
        <v>0.5</v>
      </c>
      <c r="AD723" s="1431"/>
      <c r="AE723" s="1431"/>
      <c r="AF723" s="1431"/>
      <c r="AG723" s="1432"/>
      <c r="AH723" s="1361">
        <f t="shared" si="36"/>
        <v>0.5</v>
      </c>
      <c r="AI723" s="1362"/>
      <c r="AJ723" s="1363"/>
      <c r="AK723" s="1364" t="s">
        <v>591</v>
      </c>
      <c r="AL723" s="1365"/>
      <c r="AM723" s="1365"/>
      <c r="AN723" s="1365"/>
      <c r="AO723" s="1366"/>
      <c r="AP723" s="3"/>
      <c r="AQ723" s="3"/>
      <c r="AR723" s="3"/>
      <c r="AS723" s="3"/>
      <c r="AY723" s="116"/>
      <c r="AZ723" s="118">
        <f t="shared" si="9"/>
        <v>5028</v>
      </c>
      <c r="BA723" s="3"/>
      <c r="BB723" s="3"/>
      <c r="BC723" s="3"/>
      <c r="BD723" s="3"/>
      <c r="BE723" s="204"/>
      <c r="BF723" s="294">
        <f t="shared" si="10"/>
        <v>11</v>
      </c>
      <c r="BG723" s="297">
        <f t="shared" si="11"/>
        <v>8.8709677419354843E-2</v>
      </c>
      <c r="BH723" s="298">
        <f t="shared" si="12"/>
        <v>4.4354838709677422E-2</v>
      </c>
      <c r="BI723" s="3"/>
      <c r="BJ723" s="3"/>
      <c r="BK723" s="3"/>
      <c r="BL723" s="3"/>
      <c r="BM723" s="3"/>
      <c r="BN723" s="3"/>
      <c r="BS723" s="294">
        <f t="shared" si="13"/>
        <v>11</v>
      </c>
      <c r="BT723" s="297">
        <f t="shared" si="14"/>
        <v>8.8709677419354843E-2</v>
      </c>
      <c r="BU723" s="298">
        <f t="shared" si="15"/>
        <v>4.4354838709677422E-2</v>
      </c>
      <c r="CC723" s="3"/>
      <c r="CD723" s="3"/>
      <c r="CE723" s="3"/>
      <c r="CF723" s="3"/>
      <c r="CG723" s="1516">
        <f t="shared" si="37"/>
        <v>1</v>
      </c>
      <c r="CH723" s="1517"/>
      <c r="CI723" s="1518">
        <f t="shared" si="38"/>
        <v>11</v>
      </c>
      <c r="CJ723" s="1519"/>
      <c r="CK723" s="1516">
        <f t="shared" si="16"/>
        <v>0</v>
      </c>
      <c r="CL723" s="1517"/>
      <c r="CM723" s="1518">
        <f t="shared" si="17"/>
        <v>0</v>
      </c>
      <c r="CN723" s="1519"/>
      <c r="CO723" s="3"/>
      <c r="CP723" s="1513">
        <f t="shared" si="18"/>
        <v>0</v>
      </c>
      <c r="CQ723" s="1514"/>
      <c r="CR723" s="1514"/>
      <c r="CS723" s="1514"/>
      <c r="CT723" s="1515"/>
      <c r="CU723" s="1507">
        <f t="shared" si="19"/>
        <v>0</v>
      </c>
      <c r="CV723" s="1507"/>
      <c r="CW723" s="1507"/>
      <c r="CX723" s="1507"/>
      <c r="CY723" s="1507"/>
      <c r="CZ723" s="1507">
        <f t="shared" si="20"/>
        <v>0</v>
      </c>
      <c r="DA723" s="1507"/>
      <c r="DB723" s="1507"/>
      <c r="DC723" s="1507"/>
      <c r="DD723" s="1507"/>
      <c r="DE723" s="1507">
        <f t="shared" si="21"/>
        <v>11</v>
      </c>
      <c r="DF723" s="1507"/>
      <c r="DG723" s="1507"/>
      <c r="DH723" s="1507"/>
      <c r="DI723" s="1507"/>
      <c r="DJ723" s="1507">
        <f t="shared" si="22"/>
        <v>0</v>
      </c>
      <c r="DK723" s="1507"/>
      <c r="DL723" s="1507"/>
      <c r="DM723" s="1507"/>
      <c r="DN723" s="1507"/>
      <c r="DO723" s="1507">
        <f t="shared" si="23"/>
        <v>0</v>
      </c>
      <c r="DP723" s="1507"/>
      <c r="DQ723" s="1507"/>
      <c r="DR723" s="1507"/>
      <c r="DS723" s="1507"/>
      <c r="DT723" s="6"/>
      <c r="DU723" s="1502">
        <f t="shared" si="24"/>
        <v>0</v>
      </c>
      <c r="DV723" s="1502"/>
      <c r="DW723" s="1502"/>
      <c r="DX723" s="1502"/>
      <c r="DY723" s="1502"/>
      <c r="DZ723" s="1502">
        <f t="shared" si="25"/>
        <v>0</v>
      </c>
      <c r="EA723" s="1502"/>
      <c r="EB723" s="1502"/>
      <c r="EC723" s="1502"/>
      <c r="ED723" s="1502"/>
      <c r="EE723" s="1502">
        <f t="shared" si="26"/>
        <v>0</v>
      </c>
      <c r="EF723" s="1502"/>
      <c r="EG723" s="1502"/>
      <c r="EH723" s="1502"/>
      <c r="EI723" s="1502"/>
      <c r="EJ723" s="1502">
        <f t="shared" si="27"/>
        <v>0</v>
      </c>
      <c r="EK723" s="1502"/>
      <c r="EL723" s="1502"/>
      <c r="EM723" s="1502"/>
      <c r="EN723" s="1502"/>
      <c r="EO723" s="1502">
        <f t="shared" si="28"/>
        <v>0</v>
      </c>
      <c r="EP723" s="1502"/>
      <c r="EQ723" s="1502"/>
      <c r="ER723" s="1502"/>
      <c r="ES723" s="1502"/>
      <c r="ET723" s="1502">
        <f t="shared" si="29"/>
        <v>0</v>
      </c>
      <c r="EU723" s="1502"/>
      <c r="EV723" s="1502"/>
      <c r="EW723" s="1502"/>
      <c r="EX723" s="1502"/>
      <c r="EZ723" s="1516" t="str">
        <f t="shared" si="30"/>
        <v/>
      </c>
      <c r="FA723" s="1522"/>
      <c r="FB723" s="1522"/>
      <c r="FC723" s="1522"/>
      <c r="FD723" s="1517"/>
      <c r="FE723" s="1516" t="str">
        <f t="shared" si="31"/>
        <v/>
      </c>
      <c r="FF723" s="1522"/>
      <c r="FG723" s="1522"/>
      <c r="FH723" s="1522"/>
      <c r="FI723" s="1517"/>
      <c r="FJ723" s="1516" t="str">
        <f t="shared" si="32"/>
        <v/>
      </c>
      <c r="FK723" s="1522"/>
      <c r="FL723" s="1522"/>
      <c r="FM723" s="1522"/>
      <c r="FN723" s="1517"/>
      <c r="FO723" s="1516">
        <f t="shared" si="33"/>
        <v>2471</v>
      </c>
      <c r="FP723" s="1522"/>
      <c r="FQ723" s="1522"/>
      <c r="FR723" s="1522"/>
      <c r="FS723" s="1517"/>
      <c r="FT723" s="1516" t="str">
        <f t="shared" si="34"/>
        <v/>
      </c>
      <c r="FU723" s="1522"/>
      <c r="FV723" s="1522"/>
      <c r="FW723" s="1522"/>
      <c r="FX723" s="1517"/>
      <c r="FY723" s="1516" t="str">
        <f t="shared" si="35"/>
        <v/>
      </c>
      <c r="FZ723" s="1522"/>
      <c r="GA723" s="1522"/>
      <c r="GB723" s="1522"/>
      <c r="GC723" s="1517"/>
    </row>
    <row r="724" spans="1:185" ht="12.95" customHeight="1">
      <c r="B724" s="1364" t="s">
        <v>324</v>
      </c>
      <c r="C724" s="1365"/>
      <c r="D724" s="1365"/>
      <c r="E724" s="1365"/>
      <c r="F724" s="1366"/>
      <c r="G724" s="1348">
        <v>21</v>
      </c>
      <c r="H724" s="1349"/>
      <c r="I724" s="1349"/>
      <c r="J724" s="1350"/>
      <c r="K724" s="1418">
        <v>675</v>
      </c>
      <c r="L724" s="1419"/>
      <c r="M724" s="1419"/>
      <c r="N724" s="1420"/>
      <c r="O724" s="1358">
        <v>2514</v>
      </c>
      <c r="P724" s="1359"/>
      <c r="Q724" s="1359"/>
      <c r="R724" s="1359"/>
      <c r="S724" s="1360"/>
      <c r="T724" s="1358">
        <v>25</v>
      </c>
      <c r="U724" s="1359"/>
      <c r="V724" s="1359"/>
      <c r="W724" s="1360"/>
      <c r="X724" s="1355">
        <f t="shared" si="8"/>
        <v>2539</v>
      </c>
      <c r="Y724" s="1356"/>
      <c r="Z724" s="1356"/>
      <c r="AA724" s="1356"/>
      <c r="AB724" s="1357"/>
      <c r="AC724" s="1430">
        <v>0.7</v>
      </c>
      <c r="AD724" s="1431"/>
      <c r="AE724" s="1431"/>
      <c r="AF724" s="1431"/>
      <c r="AG724" s="1432"/>
      <c r="AH724" s="1361">
        <f t="shared" si="36"/>
        <v>0.70022062879205738</v>
      </c>
      <c r="AI724" s="1362"/>
      <c r="AJ724" s="1363"/>
      <c r="AK724" s="1364" t="s">
        <v>591</v>
      </c>
      <c r="AL724" s="1365"/>
      <c r="AM724" s="1365"/>
      <c r="AN724" s="1365"/>
      <c r="AO724" s="1366"/>
      <c r="AP724" s="3"/>
      <c r="AQ724" s="3"/>
      <c r="AR724" s="3"/>
      <c r="AS724" s="3"/>
      <c r="AY724" s="116"/>
      <c r="AZ724" s="118">
        <f t="shared" si="9"/>
        <v>3626</v>
      </c>
      <c r="BA724" s="3"/>
      <c r="BB724" s="3"/>
      <c r="BC724" s="3"/>
      <c r="BD724" s="3"/>
      <c r="BE724" s="204"/>
      <c r="BF724" s="294">
        <f t="shared" si="10"/>
        <v>21</v>
      </c>
      <c r="BG724" s="297">
        <f t="shared" si="11"/>
        <v>0.16935483870967741</v>
      </c>
      <c r="BH724" s="298">
        <f t="shared" si="12"/>
        <v>0.11854838709677418</v>
      </c>
      <c r="BI724" s="3"/>
      <c r="BJ724" s="3"/>
      <c r="BK724" s="3"/>
      <c r="BL724" s="3"/>
      <c r="BM724" s="3"/>
      <c r="BN724" s="3"/>
      <c r="BS724" s="294">
        <f t="shared" si="13"/>
        <v>21</v>
      </c>
      <c r="BT724" s="297">
        <f t="shared" si="14"/>
        <v>0.16935483870967741</v>
      </c>
      <c r="BU724" s="298">
        <f t="shared" si="15"/>
        <v>0.11858575165026777</v>
      </c>
      <c r="CC724" s="3"/>
      <c r="CE724" s="3"/>
      <c r="CF724" s="3"/>
      <c r="CG724" s="1516">
        <f t="shared" si="37"/>
        <v>0</v>
      </c>
      <c r="CH724" s="1517"/>
      <c r="CI724" s="1518">
        <f t="shared" si="38"/>
        <v>0</v>
      </c>
      <c r="CJ724" s="1519"/>
      <c r="CK724" s="1516">
        <f t="shared" si="16"/>
        <v>0</v>
      </c>
      <c r="CL724" s="1517"/>
      <c r="CM724" s="1518">
        <f t="shared" si="17"/>
        <v>0</v>
      </c>
      <c r="CN724" s="1519"/>
      <c r="CO724" s="3"/>
      <c r="CP724" s="1513">
        <f t="shared" si="18"/>
        <v>0</v>
      </c>
      <c r="CQ724" s="1514"/>
      <c r="CR724" s="1514"/>
      <c r="CS724" s="1514"/>
      <c r="CT724" s="1515"/>
      <c r="CU724" s="1507">
        <f t="shared" si="19"/>
        <v>21</v>
      </c>
      <c r="CV724" s="1507"/>
      <c r="CW724" s="1507"/>
      <c r="CX724" s="1507"/>
      <c r="CY724" s="1507"/>
      <c r="CZ724" s="1507">
        <f t="shared" si="20"/>
        <v>0</v>
      </c>
      <c r="DA724" s="1507"/>
      <c r="DB724" s="1507"/>
      <c r="DC724" s="1507"/>
      <c r="DD724" s="1507"/>
      <c r="DE724" s="1507">
        <f t="shared" si="21"/>
        <v>0</v>
      </c>
      <c r="DF724" s="1507"/>
      <c r="DG724" s="1507"/>
      <c r="DH724" s="1507"/>
      <c r="DI724" s="1507"/>
      <c r="DJ724" s="1507">
        <f t="shared" si="22"/>
        <v>0</v>
      </c>
      <c r="DK724" s="1507"/>
      <c r="DL724" s="1507"/>
      <c r="DM724" s="1507"/>
      <c r="DN724" s="1507"/>
      <c r="DO724" s="1507">
        <f t="shared" si="23"/>
        <v>0</v>
      </c>
      <c r="DP724" s="1507"/>
      <c r="DQ724" s="1507"/>
      <c r="DR724" s="1507"/>
      <c r="DS724" s="1507"/>
      <c r="DT724" s="6"/>
      <c r="DU724" s="1502">
        <f t="shared" si="24"/>
        <v>0</v>
      </c>
      <c r="DV724" s="1502"/>
      <c r="DW724" s="1502"/>
      <c r="DX724" s="1502"/>
      <c r="DY724" s="1502"/>
      <c r="DZ724" s="1502">
        <f t="shared" si="25"/>
        <v>0</v>
      </c>
      <c r="EA724" s="1502"/>
      <c r="EB724" s="1502"/>
      <c r="EC724" s="1502"/>
      <c r="ED724" s="1502"/>
      <c r="EE724" s="1502">
        <f t="shared" si="26"/>
        <v>0</v>
      </c>
      <c r="EF724" s="1502"/>
      <c r="EG724" s="1502"/>
      <c r="EH724" s="1502"/>
      <c r="EI724" s="1502"/>
      <c r="EJ724" s="1502">
        <f t="shared" si="27"/>
        <v>0</v>
      </c>
      <c r="EK724" s="1502"/>
      <c r="EL724" s="1502"/>
      <c r="EM724" s="1502"/>
      <c r="EN724" s="1502"/>
      <c r="EO724" s="1502">
        <f t="shared" si="28"/>
        <v>0</v>
      </c>
      <c r="EP724" s="1502"/>
      <c r="EQ724" s="1502"/>
      <c r="ER724" s="1502"/>
      <c r="ES724" s="1502"/>
      <c r="ET724" s="1502">
        <f t="shared" si="29"/>
        <v>0</v>
      </c>
      <c r="EU724" s="1502"/>
      <c r="EV724" s="1502"/>
      <c r="EW724" s="1502"/>
      <c r="EX724" s="1502"/>
      <c r="EZ724" s="1516" t="str">
        <f t="shared" si="30"/>
        <v/>
      </c>
      <c r="FA724" s="1522"/>
      <c r="FB724" s="1522"/>
      <c r="FC724" s="1522"/>
      <c r="FD724" s="1517"/>
      <c r="FE724" s="1516">
        <f t="shared" si="31"/>
        <v>2514</v>
      </c>
      <c r="FF724" s="1522"/>
      <c r="FG724" s="1522"/>
      <c r="FH724" s="1522"/>
      <c r="FI724" s="1517"/>
      <c r="FJ724" s="1516" t="str">
        <f t="shared" si="32"/>
        <v/>
      </c>
      <c r="FK724" s="1522"/>
      <c r="FL724" s="1522"/>
      <c r="FM724" s="1522"/>
      <c r="FN724" s="1517"/>
      <c r="FO724" s="1516" t="str">
        <f t="shared" si="33"/>
        <v/>
      </c>
      <c r="FP724" s="1522"/>
      <c r="FQ724" s="1522"/>
      <c r="FR724" s="1522"/>
      <c r="FS724" s="1517"/>
      <c r="FT724" s="1516" t="str">
        <f t="shared" si="34"/>
        <v/>
      </c>
      <c r="FU724" s="1522"/>
      <c r="FV724" s="1522"/>
      <c r="FW724" s="1522"/>
      <c r="FX724" s="1517"/>
      <c r="FY724" s="1516" t="str">
        <f t="shared" si="35"/>
        <v/>
      </c>
      <c r="FZ724" s="1522"/>
      <c r="GA724" s="1522"/>
      <c r="GB724" s="1522"/>
      <c r="GC724" s="1517"/>
    </row>
    <row r="725" spans="1:185" ht="12.95" customHeight="1">
      <c r="B725" s="1364" t="s">
        <v>163</v>
      </c>
      <c r="C725" s="1365"/>
      <c r="D725" s="1365"/>
      <c r="E725" s="1365"/>
      <c r="F725" s="1366"/>
      <c r="G725" s="1348">
        <v>22</v>
      </c>
      <c r="H725" s="1349"/>
      <c r="I725" s="1349"/>
      <c r="J725" s="1350"/>
      <c r="K725" s="1418">
        <v>881</v>
      </c>
      <c r="L725" s="1419"/>
      <c r="M725" s="1419"/>
      <c r="N725" s="1420"/>
      <c r="O725" s="1358">
        <v>2967</v>
      </c>
      <c r="P725" s="1359"/>
      <c r="Q725" s="1359"/>
      <c r="R725" s="1359"/>
      <c r="S725" s="1360"/>
      <c r="T725" s="1358">
        <v>80</v>
      </c>
      <c r="U725" s="1359"/>
      <c r="V725" s="1359"/>
      <c r="W725" s="1360"/>
      <c r="X725" s="1355">
        <f t="shared" si="8"/>
        <v>3047</v>
      </c>
      <c r="Y725" s="1356"/>
      <c r="Z725" s="1356"/>
      <c r="AA725" s="1356"/>
      <c r="AB725" s="1357"/>
      <c r="AC725" s="1430">
        <v>0.7</v>
      </c>
      <c r="AD725" s="1431"/>
      <c r="AE725" s="1431"/>
      <c r="AF725" s="1431"/>
      <c r="AG725" s="1432"/>
      <c r="AH725" s="1361">
        <f t="shared" si="36"/>
        <v>0.70013786764705888</v>
      </c>
      <c r="AI725" s="1362"/>
      <c r="AJ725" s="1363"/>
      <c r="AK725" s="1364" t="s">
        <v>591</v>
      </c>
      <c r="AL725" s="1365"/>
      <c r="AM725" s="1365"/>
      <c r="AN725" s="1365"/>
      <c r="AO725" s="1366"/>
      <c r="AP725" s="3"/>
      <c r="AQ725" s="3"/>
      <c r="AR725" s="3"/>
      <c r="AS725" s="3"/>
      <c r="AY725" s="1085"/>
      <c r="AZ725" s="118">
        <f t="shared" si="9"/>
        <v>4352</v>
      </c>
      <c r="BA725" s="3"/>
      <c r="BB725" s="3"/>
      <c r="BC725" s="3"/>
      <c r="BD725" s="3"/>
      <c r="BE725" s="204"/>
      <c r="BF725" s="294">
        <f t="shared" si="10"/>
        <v>22</v>
      </c>
      <c r="BG725" s="297">
        <f t="shared" si="11"/>
        <v>0.17741935483870969</v>
      </c>
      <c r="BH725" s="298">
        <f t="shared" si="12"/>
        <v>0.12419354838709677</v>
      </c>
      <c r="BI725" s="3"/>
      <c r="BJ725" s="3"/>
      <c r="BK725" s="3"/>
      <c r="BL725" s="3"/>
      <c r="BM725" s="3"/>
      <c r="BN725" s="3"/>
      <c r="BS725" s="294">
        <f t="shared" si="13"/>
        <v>22</v>
      </c>
      <c r="BT725" s="297">
        <f t="shared" si="14"/>
        <v>0.17741935483870969</v>
      </c>
      <c r="BU725" s="298">
        <f t="shared" si="15"/>
        <v>0.1242180087760911</v>
      </c>
      <c r="BV725" s="292"/>
      <c r="BW725" s="3"/>
      <c r="BX725" s="3"/>
      <c r="BY725" s="3"/>
      <c r="BZ725" s="3"/>
      <c r="CA725" s="3"/>
      <c r="CB725" s="3"/>
      <c r="CC725" s="3"/>
      <c r="CE725" s="3"/>
      <c r="CF725" s="3"/>
      <c r="CG725" s="1516">
        <f t="shared" si="37"/>
        <v>0</v>
      </c>
      <c r="CH725" s="1517"/>
      <c r="CI725" s="1518">
        <f t="shared" si="38"/>
        <v>0</v>
      </c>
      <c r="CJ725" s="1519"/>
      <c r="CK725" s="1516">
        <f t="shared" si="16"/>
        <v>0</v>
      </c>
      <c r="CL725" s="1517"/>
      <c r="CM725" s="1518">
        <f t="shared" si="17"/>
        <v>0</v>
      </c>
      <c r="CN725" s="1519"/>
      <c r="CO725" s="3"/>
      <c r="CP725" s="1513">
        <f t="shared" si="18"/>
        <v>0</v>
      </c>
      <c r="CQ725" s="1514"/>
      <c r="CR725" s="1514"/>
      <c r="CS725" s="1514"/>
      <c r="CT725" s="1515"/>
      <c r="CU725" s="1507">
        <f t="shared" si="19"/>
        <v>0</v>
      </c>
      <c r="CV725" s="1507"/>
      <c r="CW725" s="1507"/>
      <c r="CX725" s="1507"/>
      <c r="CY725" s="1507"/>
      <c r="CZ725" s="1507">
        <f t="shared" si="20"/>
        <v>22</v>
      </c>
      <c r="DA725" s="1507"/>
      <c r="DB725" s="1507"/>
      <c r="DC725" s="1507"/>
      <c r="DD725" s="1507"/>
      <c r="DE725" s="1507">
        <f t="shared" si="21"/>
        <v>0</v>
      </c>
      <c r="DF725" s="1507"/>
      <c r="DG725" s="1507"/>
      <c r="DH725" s="1507"/>
      <c r="DI725" s="1507"/>
      <c r="DJ725" s="1507">
        <f t="shared" si="22"/>
        <v>0</v>
      </c>
      <c r="DK725" s="1507"/>
      <c r="DL725" s="1507"/>
      <c r="DM725" s="1507"/>
      <c r="DN725" s="1507"/>
      <c r="DO725" s="1507">
        <f t="shared" si="23"/>
        <v>0</v>
      </c>
      <c r="DP725" s="1507"/>
      <c r="DQ725" s="1507"/>
      <c r="DR725" s="1507"/>
      <c r="DS725" s="1507"/>
      <c r="DT725" s="6"/>
      <c r="DU725" s="1502">
        <f t="shared" si="24"/>
        <v>0</v>
      </c>
      <c r="DV725" s="1502"/>
      <c r="DW725" s="1502"/>
      <c r="DX725" s="1502"/>
      <c r="DY725" s="1502"/>
      <c r="DZ725" s="1502">
        <f t="shared" si="25"/>
        <v>0</v>
      </c>
      <c r="EA725" s="1502"/>
      <c r="EB725" s="1502"/>
      <c r="EC725" s="1502"/>
      <c r="ED725" s="1502"/>
      <c r="EE725" s="1502">
        <f t="shared" si="26"/>
        <v>0</v>
      </c>
      <c r="EF725" s="1502"/>
      <c r="EG725" s="1502"/>
      <c r="EH725" s="1502"/>
      <c r="EI725" s="1502"/>
      <c r="EJ725" s="1502">
        <f t="shared" si="27"/>
        <v>0</v>
      </c>
      <c r="EK725" s="1502"/>
      <c r="EL725" s="1502"/>
      <c r="EM725" s="1502"/>
      <c r="EN725" s="1502"/>
      <c r="EO725" s="1502">
        <f t="shared" si="28"/>
        <v>0</v>
      </c>
      <c r="EP725" s="1502"/>
      <c r="EQ725" s="1502"/>
      <c r="ER725" s="1502"/>
      <c r="ES725" s="1502"/>
      <c r="ET725" s="1502">
        <f t="shared" si="29"/>
        <v>0</v>
      </c>
      <c r="EU725" s="1502"/>
      <c r="EV725" s="1502"/>
      <c r="EW725" s="1502"/>
      <c r="EX725" s="1502"/>
      <c r="EZ725" s="1516" t="str">
        <f t="shared" si="30"/>
        <v/>
      </c>
      <c r="FA725" s="1522"/>
      <c r="FB725" s="1522"/>
      <c r="FC725" s="1522"/>
      <c r="FD725" s="1517"/>
      <c r="FE725" s="1516" t="str">
        <f t="shared" si="31"/>
        <v/>
      </c>
      <c r="FF725" s="1522"/>
      <c r="FG725" s="1522"/>
      <c r="FH725" s="1522"/>
      <c r="FI725" s="1517"/>
      <c r="FJ725" s="1516">
        <f t="shared" si="32"/>
        <v>2967</v>
      </c>
      <c r="FK725" s="1522"/>
      <c r="FL725" s="1522"/>
      <c r="FM725" s="1522"/>
      <c r="FN725" s="1517"/>
      <c r="FO725" s="1516" t="str">
        <f t="shared" si="33"/>
        <v/>
      </c>
      <c r="FP725" s="1522"/>
      <c r="FQ725" s="1522"/>
      <c r="FR725" s="1522"/>
      <c r="FS725" s="1517"/>
      <c r="FT725" s="1516" t="str">
        <f t="shared" si="34"/>
        <v/>
      </c>
      <c r="FU725" s="1522"/>
      <c r="FV725" s="1522"/>
      <c r="FW725" s="1522"/>
      <c r="FX725" s="1517"/>
      <c r="FY725" s="1516" t="str">
        <f t="shared" si="35"/>
        <v/>
      </c>
      <c r="FZ725" s="1522"/>
      <c r="GA725" s="1522"/>
      <c r="GB725" s="1522"/>
      <c r="GC725" s="1517"/>
    </row>
    <row r="726" spans="1:185" ht="12.95" customHeight="1">
      <c r="B726" s="1364" t="s">
        <v>164</v>
      </c>
      <c r="C726" s="1365"/>
      <c r="D726" s="1365"/>
      <c r="E726" s="1365"/>
      <c r="F726" s="1366"/>
      <c r="G726" s="1348">
        <v>18</v>
      </c>
      <c r="H726" s="1349"/>
      <c r="I726" s="1349"/>
      <c r="J726" s="1350"/>
      <c r="K726" s="1418">
        <v>1125</v>
      </c>
      <c r="L726" s="1419"/>
      <c r="M726" s="1419"/>
      <c r="N726" s="1420"/>
      <c r="O726" s="1358">
        <v>3477</v>
      </c>
      <c r="P726" s="1359"/>
      <c r="Q726" s="1359"/>
      <c r="R726" s="1359"/>
      <c r="S726" s="1360"/>
      <c r="T726" s="1358">
        <v>43</v>
      </c>
      <c r="U726" s="1359"/>
      <c r="V726" s="1359"/>
      <c r="W726" s="1360"/>
      <c r="X726" s="1355">
        <f t="shared" si="8"/>
        <v>3520</v>
      </c>
      <c r="Y726" s="1356"/>
      <c r="Z726" s="1356"/>
      <c r="AA726" s="1356"/>
      <c r="AB726" s="1357"/>
      <c r="AC726" s="1430">
        <v>0.7</v>
      </c>
      <c r="AD726" s="1431"/>
      <c r="AE726" s="1431"/>
      <c r="AF726" s="1431"/>
      <c r="AG726" s="1432"/>
      <c r="AH726" s="1361">
        <f t="shared" si="36"/>
        <v>0.70007955449482895</v>
      </c>
      <c r="AI726" s="1362"/>
      <c r="AJ726" s="1363"/>
      <c r="AK726" s="1364" t="s">
        <v>591</v>
      </c>
      <c r="AL726" s="1365"/>
      <c r="AM726" s="1365"/>
      <c r="AN726" s="1365"/>
      <c r="AO726" s="1366"/>
      <c r="AP726" s="3"/>
      <c r="AQ726" s="3"/>
      <c r="AR726" s="3"/>
      <c r="AS726" s="3"/>
      <c r="AY726" s="1085"/>
      <c r="AZ726" s="118">
        <f t="shared" si="9"/>
        <v>5028</v>
      </c>
      <c r="BA726" s="3"/>
      <c r="BB726" s="3"/>
      <c r="BC726" s="3"/>
      <c r="BD726" s="3"/>
      <c r="BE726" s="204"/>
      <c r="BF726" s="294">
        <f t="shared" si="10"/>
        <v>18</v>
      </c>
      <c r="BG726" s="297">
        <f t="shared" si="11"/>
        <v>0.14516129032258066</v>
      </c>
      <c r="BH726" s="298">
        <f t="shared" si="12"/>
        <v>0.10161290322580645</v>
      </c>
      <c r="BI726" s="3"/>
      <c r="BJ726" s="3"/>
      <c r="BK726" s="3"/>
      <c r="BL726" s="3"/>
      <c r="BM726" s="3"/>
      <c r="BN726" s="3"/>
      <c r="BS726" s="294">
        <f t="shared" si="13"/>
        <v>18</v>
      </c>
      <c r="BT726" s="297">
        <f t="shared" si="14"/>
        <v>0.14516129032258066</v>
      </c>
      <c r="BU726" s="298">
        <f t="shared" si="15"/>
        <v>0.10162445145892679</v>
      </c>
      <c r="BV726" s="3"/>
      <c r="BW726" s="3"/>
      <c r="BX726" s="3"/>
      <c r="BY726" s="3"/>
      <c r="BZ726" s="3"/>
      <c r="CA726" s="3"/>
      <c r="CB726" s="3"/>
      <c r="CC726" s="3"/>
      <c r="CE726" s="3"/>
      <c r="CF726" s="3"/>
      <c r="CG726" s="1516">
        <f t="shared" si="37"/>
        <v>0</v>
      </c>
      <c r="CH726" s="1517"/>
      <c r="CI726" s="1518">
        <f t="shared" si="38"/>
        <v>0</v>
      </c>
      <c r="CJ726" s="1519"/>
      <c r="CK726" s="1516">
        <f t="shared" si="16"/>
        <v>0</v>
      </c>
      <c r="CL726" s="1517"/>
      <c r="CM726" s="1518">
        <f t="shared" si="17"/>
        <v>0</v>
      </c>
      <c r="CN726" s="1519"/>
      <c r="CO726" s="3"/>
      <c r="CP726" s="1513">
        <f t="shared" si="18"/>
        <v>0</v>
      </c>
      <c r="CQ726" s="1514"/>
      <c r="CR726" s="1514"/>
      <c r="CS726" s="1514"/>
      <c r="CT726" s="1515"/>
      <c r="CU726" s="1507">
        <f t="shared" si="19"/>
        <v>0</v>
      </c>
      <c r="CV726" s="1507"/>
      <c r="CW726" s="1507"/>
      <c r="CX726" s="1507"/>
      <c r="CY726" s="1507"/>
      <c r="CZ726" s="1507">
        <f t="shared" si="20"/>
        <v>0</v>
      </c>
      <c r="DA726" s="1507"/>
      <c r="DB726" s="1507"/>
      <c r="DC726" s="1507"/>
      <c r="DD726" s="1507"/>
      <c r="DE726" s="1507">
        <f t="shared" si="21"/>
        <v>18</v>
      </c>
      <c r="DF726" s="1507"/>
      <c r="DG726" s="1507"/>
      <c r="DH726" s="1507"/>
      <c r="DI726" s="1507"/>
      <c r="DJ726" s="1507">
        <f t="shared" si="22"/>
        <v>0</v>
      </c>
      <c r="DK726" s="1507"/>
      <c r="DL726" s="1507"/>
      <c r="DM726" s="1507"/>
      <c r="DN726" s="1507"/>
      <c r="DO726" s="1507">
        <f t="shared" si="23"/>
        <v>0</v>
      </c>
      <c r="DP726" s="1507"/>
      <c r="DQ726" s="1507"/>
      <c r="DR726" s="1507"/>
      <c r="DS726" s="1507"/>
      <c r="DT726" s="6"/>
      <c r="DU726" s="1502">
        <f t="shared" si="24"/>
        <v>0</v>
      </c>
      <c r="DV726" s="1502"/>
      <c r="DW726" s="1502"/>
      <c r="DX726" s="1502"/>
      <c r="DY726" s="1502"/>
      <c r="DZ726" s="1502">
        <f t="shared" si="25"/>
        <v>0</v>
      </c>
      <c r="EA726" s="1502"/>
      <c r="EB726" s="1502"/>
      <c r="EC726" s="1502"/>
      <c r="ED726" s="1502"/>
      <c r="EE726" s="1502">
        <f t="shared" si="26"/>
        <v>0</v>
      </c>
      <c r="EF726" s="1502"/>
      <c r="EG726" s="1502"/>
      <c r="EH726" s="1502"/>
      <c r="EI726" s="1502"/>
      <c r="EJ726" s="1502">
        <f t="shared" si="27"/>
        <v>0</v>
      </c>
      <c r="EK726" s="1502"/>
      <c r="EL726" s="1502"/>
      <c r="EM726" s="1502"/>
      <c r="EN726" s="1502"/>
      <c r="EO726" s="1502">
        <f t="shared" si="28"/>
        <v>0</v>
      </c>
      <c r="EP726" s="1502"/>
      <c r="EQ726" s="1502"/>
      <c r="ER726" s="1502"/>
      <c r="ES726" s="1502"/>
      <c r="ET726" s="1502">
        <f t="shared" si="29"/>
        <v>0</v>
      </c>
      <c r="EU726" s="1502"/>
      <c r="EV726" s="1502"/>
      <c r="EW726" s="1502"/>
      <c r="EX726" s="1502"/>
      <c r="EY726" s="4"/>
      <c r="EZ726" s="1516" t="str">
        <f t="shared" si="30"/>
        <v/>
      </c>
      <c r="FA726" s="1522"/>
      <c r="FB726" s="1522"/>
      <c r="FC726" s="1522"/>
      <c r="FD726" s="1517"/>
      <c r="FE726" s="1516" t="str">
        <f t="shared" si="31"/>
        <v/>
      </c>
      <c r="FF726" s="1522"/>
      <c r="FG726" s="1522"/>
      <c r="FH726" s="1522"/>
      <c r="FI726" s="1517"/>
      <c r="FJ726" s="1516" t="str">
        <f t="shared" si="32"/>
        <v/>
      </c>
      <c r="FK726" s="1522"/>
      <c r="FL726" s="1522"/>
      <c r="FM726" s="1522"/>
      <c r="FN726" s="1517"/>
      <c r="FO726" s="1516">
        <f t="shared" si="33"/>
        <v>3477</v>
      </c>
      <c r="FP726" s="1522"/>
      <c r="FQ726" s="1522"/>
      <c r="FR726" s="1522"/>
      <c r="FS726" s="1517"/>
      <c r="FT726" s="1516" t="str">
        <f t="shared" si="34"/>
        <v/>
      </c>
      <c r="FU726" s="1522"/>
      <c r="FV726" s="1522"/>
      <c r="FW726" s="1522"/>
      <c r="FX726" s="1517"/>
      <c r="FY726" s="1516" t="str">
        <f t="shared" si="35"/>
        <v/>
      </c>
      <c r="FZ726" s="1522"/>
      <c r="GA726" s="1522"/>
      <c r="GB726" s="1522"/>
      <c r="GC726" s="1517"/>
    </row>
    <row r="727" spans="1:185" ht="12.95" customHeight="1">
      <c r="A727" s="4"/>
      <c r="B727" s="1364"/>
      <c r="C727" s="1365"/>
      <c r="D727" s="1365"/>
      <c r="E727" s="1365"/>
      <c r="F727" s="1366"/>
      <c r="G727" s="1348"/>
      <c r="H727" s="1349"/>
      <c r="I727" s="1349"/>
      <c r="J727" s="1350"/>
      <c r="K727" s="1418"/>
      <c r="L727" s="1419"/>
      <c r="M727" s="1419"/>
      <c r="N727" s="1420"/>
      <c r="O727" s="1635" t="s">
        <v>2802</v>
      </c>
      <c r="P727" s="1359"/>
      <c r="Q727" s="1359"/>
      <c r="R727" s="1359"/>
      <c r="S727" s="1360"/>
      <c r="T727" s="1358"/>
      <c r="U727" s="1359"/>
      <c r="V727" s="1359"/>
      <c r="W727" s="1360"/>
      <c r="X727" s="1355" t="e">
        <f t="shared" si="8"/>
        <v>#VALUE!</v>
      </c>
      <c r="Y727" s="1356"/>
      <c r="Z727" s="1356"/>
      <c r="AA727" s="1356"/>
      <c r="AB727" s="1357"/>
      <c r="AC727" s="1430"/>
      <c r="AD727" s="1431"/>
      <c r="AE727" s="1431"/>
      <c r="AF727" s="1431"/>
      <c r="AG727" s="1432"/>
      <c r="AH727" s="1361" t="str">
        <f t="shared" si="36"/>
        <v/>
      </c>
      <c r="AI727" s="1362"/>
      <c r="AJ727" s="1363"/>
      <c r="AK727" s="1364" t="s">
        <v>591</v>
      </c>
      <c r="AL727" s="1365"/>
      <c r="AM727" s="1365"/>
      <c r="AN727" s="1365"/>
      <c r="AO727" s="1366"/>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516">
        <f t="shared" si="37"/>
        <v>0</v>
      </c>
      <c r="CH727" s="1517"/>
      <c r="CI727" s="1518">
        <f t="shared" si="38"/>
        <v>0</v>
      </c>
      <c r="CJ727" s="1519"/>
      <c r="CK727" s="1516">
        <f t="shared" si="16"/>
        <v>0</v>
      </c>
      <c r="CL727" s="1517"/>
      <c r="CM727" s="1518">
        <f t="shared" si="17"/>
        <v>0</v>
      </c>
      <c r="CN727" s="1519"/>
      <c r="CO727" s="3"/>
      <c r="CP727" s="1513">
        <f t="shared" si="18"/>
        <v>0</v>
      </c>
      <c r="CQ727" s="1514"/>
      <c r="CR727" s="1514"/>
      <c r="CS727" s="1514"/>
      <c r="CT727" s="1515"/>
      <c r="CU727" s="1507">
        <f t="shared" si="19"/>
        <v>0</v>
      </c>
      <c r="CV727" s="1507"/>
      <c r="CW727" s="1507"/>
      <c r="CX727" s="1507"/>
      <c r="CY727" s="1507"/>
      <c r="CZ727" s="1507">
        <f t="shared" si="20"/>
        <v>0</v>
      </c>
      <c r="DA727" s="1507"/>
      <c r="DB727" s="1507"/>
      <c r="DC727" s="1507"/>
      <c r="DD727" s="1507"/>
      <c r="DE727" s="1507">
        <f t="shared" si="21"/>
        <v>0</v>
      </c>
      <c r="DF727" s="1507"/>
      <c r="DG727" s="1507"/>
      <c r="DH727" s="1507"/>
      <c r="DI727" s="1507"/>
      <c r="DJ727" s="1507">
        <f t="shared" si="22"/>
        <v>0</v>
      </c>
      <c r="DK727" s="1507"/>
      <c r="DL727" s="1507"/>
      <c r="DM727" s="1507"/>
      <c r="DN727" s="1507"/>
      <c r="DO727" s="1507">
        <f t="shared" si="23"/>
        <v>0</v>
      </c>
      <c r="DP727" s="1507"/>
      <c r="DQ727" s="1507"/>
      <c r="DR727" s="1507"/>
      <c r="DS727" s="1507"/>
      <c r="DT727" s="6"/>
      <c r="DU727" s="1502">
        <f t="shared" si="24"/>
        <v>0</v>
      </c>
      <c r="DV727" s="1502"/>
      <c r="DW727" s="1502"/>
      <c r="DX727" s="1502"/>
      <c r="DY727" s="1502"/>
      <c r="DZ727" s="1502">
        <f t="shared" si="25"/>
        <v>0</v>
      </c>
      <c r="EA727" s="1502"/>
      <c r="EB727" s="1502"/>
      <c r="EC727" s="1502"/>
      <c r="ED727" s="1502"/>
      <c r="EE727" s="1502">
        <f t="shared" si="26"/>
        <v>0</v>
      </c>
      <c r="EF727" s="1502"/>
      <c r="EG727" s="1502"/>
      <c r="EH727" s="1502"/>
      <c r="EI727" s="1502"/>
      <c r="EJ727" s="1502">
        <f t="shared" si="27"/>
        <v>0</v>
      </c>
      <c r="EK727" s="1502"/>
      <c r="EL727" s="1502"/>
      <c r="EM727" s="1502"/>
      <c r="EN727" s="1502"/>
      <c r="EO727" s="1502">
        <f t="shared" si="28"/>
        <v>0</v>
      </c>
      <c r="EP727" s="1502"/>
      <c r="EQ727" s="1502"/>
      <c r="ER727" s="1502"/>
      <c r="ES727" s="1502"/>
      <c r="ET727" s="1502">
        <f t="shared" si="29"/>
        <v>0</v>
      </c>
      <c r="EU727" s="1502"/>
      <c r="EV727" s="1502"/>
      <c r="EW727" s="1502"/>
      <c r="EX727" s="1502"/>
      <c r="EY727" s="4"/>
      <c r="EZ727" s="1516" t="str">
        <f t="shared" si="30"/>
        <v/>
      </c>
      <c r="FA727" s="1522"/>
      <c r="FB727" s="1522"/>
      <c r="FC727" s="1522"/>
      <c r="FD727" s="1517"/>
      <c r="FE727" s="1516" t="str">
        <f t="shared" si="31"/>
        <v/>
      </c>
      <c r="FF727" s="1522"/>
      <c r="FG727" s="1522"/>
      <c r="FH727" s="1522"/>
      <c r="FI727" s="1517"/>
      <c r="FJ727" s="1516" t="str">
        <f t="shared" si="32"/>
        <v/>
      </c>
      <c r="FK727" s="1522"/>
      <c r="FL727" s="1522"/>
      <c r="FM727" s="1522"/>
      <c r="FN727" s="1517"/>
      <c r="FO727" s="1516" t="str">
        <f t="shared" si="33"/>
        <v/>
      </c>
      <c r="FP727" s="1522"/>
      <c r="FQ727" s="1522"/>
      <c r="FR727" s="1522"/>
      <c r="FS727" s="1517"/>
      <c r="FT727" s="1516" t="str">
        <f t="shared" si="34"/>
        <v/>
      </c>
      <c r="FU727" s="1522"/>
      <c r="FV727" s="1522"/>
      <c r="FW727" s="1522"/>
      <c r="FX727" s="1517"/>
      <c r="FY727" s="1516" t="str">
        <f t="shared" si="35"/>
        <v/>
      </c>
      <c r="FZ727" s="1522"/>
      <c r="GA727" s="1522"/>
      <c r="GB727" s="1522"/>
      <c r="GC727" s="1517"/>
    </row>
    <row r="728" spans="1:185" ht="12.95" customHeight="1">
      <c r="A728" s="4"/>
      <c r="B728" s="1364"/>
      <c r="C728" s="1365"/>
      <c r="D728" s="1365"/>
      <c r="E728" s="1365"/>
      <c r="F728" s="1366"/>
      <c r="G728" s="1348"/>
      <c r="H728" s="1349"/>
      <c r="I728" s="1349"/>
      <c r="J728" s="1350"/>
      <c r="K728" s="1418"/>
      <c r="L728" s="1419"/>
      <c r="M728" s="1419"/>
      <c r="N728" s="1420"/>
      <c r="O728" s="1358"/>
      <c r="P728" s="1359"/>
      <c r="Q728" s="1359"/>
      <c r="R728" s="1359"/>
      <c r="S728" s="1360"/>
      <c r="T728" s="1358"/>
      <c r="U728" s="1359"/>
      <c r="V728" s="1359"/>
      <c r="W728" s="1360"/>
      <c r="X728" s="1355">
        <f t="shared" si="8"/>
        <v>0</v>
      </c>
      <c r="Y728" s="1356"/>
      <c r="Z728" s="1356"/>
      <c r="AA728" s="1356"/>
      <c r="AB728" s="1357"/>
      <c r="AC728" s="1430"/>
      <c r="AD728" s="1431"/>
      <c r="AE728" s="1431"/>
      <c r="AF728" s="1431"/>
      <c r="AG728" s="1432"/>
      <c r="AH728" s="1361" t="str">
        <f t="shared" si="36"/>
        <v/>
      </c>
      <c r="AI728" s="1362"/>
      <c r="AJ728" s="1363"/>
      <c r="AK728" s="1364" t="s">
        <v>591</v>
      </c>
      <c r="AL728" s="1365"/>
      <c r="AM728" s="1365"/>
      <c r="AN728" s="1365"/>
      <c r="AO728" s="1366"/>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516">
        <f t="shared" si="37"/>
        <v>0</v>
      </c>
      <c r="CH728" s="1517"/>
      <c r="CI728" s="1518">
        <f t="shared" si="38"/>
        <v>0</v>
      </c>
      <c r="CJ728" s="1519"/>
      <c r="CK728" s="1516">
        <f t="shared" si="16"/>
        <v>0</v>
      </c>
      <c r="CL728" s="1517"/>
      <c r="CM728" s="1518">
        <f t="shared" si="17"/>
        <v>0</v>
      </c>
      <c r="CN728" s="1519"/>
      <c r="CO728" s="3"/>
      <c r="CP728" s="1513">
        <f t="shared" si="18"/>
        <v>0</v>
      </c>
      <c r="CQ728" s="1514"/>
      <c r="CR728" s="1514"/>
      <c r="CS728" s="1514"/>
      <c r="CT728" s="1515"/>
      <c r="CU728" s="1507">
        <f t="shared" si="19"/>
        <v>0</v>
      </c>
      <c r="CV728" s="1507"/>
      <c r="CW728" s="1507"/>
      <c r="CX728" s="1507"/>
      <c r="CY728" s="1507"/>
      <c r="CZ728" s="1507">
        <f t="shared" si="20"/>
        <v>0</v>
      </c>
      <c r="DA728" s="1507"/>
      <c r="DB728" s="1507"/>
      <c r="DC728" s="1507"/>
      <c r="DD728" s="1507"/>
      <c r="DE728" s="1507">
        <f t="shared" si="21"/>
        <v>0</v>
      </c>
      <c r="DF728" s="1507"/>
      <c r="DG728" s="1507"/>
      <c r="DH728" s="1507"/>
      <c r="DI728" s="1507"/>
      <c r="DJ728" s="1507">
        <f t="shared" si="22"/>
        <v>0</v>
      </c>
      <c r="DK728" s="1507"/>
      <c r="DL728" s="1507"/>
      <c r="DM728" s="1507"/>
      <c r="DN728" s="1507"/>
      <c r="DO728" s="1507">
        <f t="shared" si="23"/>
        <v>0</v>
      </c>
      <c r="DP728" s="1507"/>
      <c r="DQ728" s="1507"/>
      <c r="DR728" s="1507"/>
      <c r="DS728" s="1507"/>
      <c r="DT728" s="6"/>
      <c r="DU728" s="1502">
        <f t="shared" si="24"/>
        <v>0</v>
      </c>
      <c r="DV728" s="1502"/>
      <c r="DW728" s="1502"/>
      <c r="DX728" s="1502"/>
      <c r="DY728" s="1502"/>
      <c r="DZ728" s="1502">
        <f t="shared" si="25"/>
        <v>0</v>
      </c>
      <c r="EA728" s="1502"/>
      <c r="EB728" s="1502"/>
      <c r="EC728" s="1502"/>
      <c r="ED728" s="1502"/>
      <c r="EE728" s="1502">
        <f t="shared" si="26"/>
        <v>0</v>
      </c>
      <c r="EF728" s="1502"/>
      <c r="EG728" s="1502"/>
      <c r="EH728" s="1502"/>
      <c r="EI728" s="1502"/>
      <c r="EJ728" s="1502">
        <f t="shared" si="27"/>
        <v>0</v>
      </c>
      <c r="EK728" s="1502"/>
      <c r="EL728" s="1502"/>
      <c r="EM728" s="1502"/>
      <c r="EN728" s="1502"/>
      <c r="EO728" s="1502">
        <f t="shared" si="28"/>
        <v>0</v>
      </c>
      <c r="EP728" s="1502"/>
      <c r="EQ728" s="1502"/>
      <c r="ER728" s="1502"/>
      <c r="ES728" s="1502"/>
      <c r="ET728" s="1502">
        <f t="shared" si="29"/>
        <v>0</v>
      </c>
      <c r="EU728" s="1502"/>
      <c r="EV728" s="1502"/>
      <c r="EW728" s="1502"/>
      <c r="EX728" s="1502"/>
      <c r="EY728" s="4"/>
      <c r="EZ728" s="1516" t="str">
        <f t="shared" si="30"/>
        <v/>
      </c>
      <c r="FA728" s="1522"/>
      <c r="FB728" s="1522"/>
      <c r="FC728" s="1522"/>
      <c r="FD728" s="1517"/>
      <c r="FE728" s="1516" t="str">
        <f t="shared" si="31"/>
        <v/>
      </c>
      <c r="FF728" s="1522"/>
      <c r="FG728" s="1522"/>
      <c r="FH728" s="1522"/>
      <c r="FI728" s="1517"/>
      <c r="FJ728" s="1516" t="str">
        <f t="shared" si="32"/>
        <v/>
      </c>
      <c r="FK728" s="1522"/>
      <c r="FL728" s="1522"/>
      <c r="FM728" s="1522"/>
      <c r="FN728" s="1517"/>
      <c r="FO728" s="1516" t="str">
        <f t="shared" si="33"/>
        <v/>
      </c>
      <c r="FP728" s="1522"/>
      <c r="FQ728" s="1522"/>
      <c r="FR728" s="1522"/>
      <c r="FS728" s="1517"/>
      <c r="FT728" s="1516" t="str">
        <f t="shared" si="34"/>
        <v/>
      </c>
      <c r="FU728" s="1522"/>
      <c r="FV728" s="1522"/>
      <c r="FW728" s="1522"/>
      <c r="FX728" s="1517"/>
      <c r="FY728" s="1516" t="str">
        <f t="shared" si="35"/>
        <v/>
      </c>
      <c r="FZ728" s="1522"/>
      <c r="GA728" s="1522"/>
      <c r="GB728" s="1522"/>
      <c r="GC728" s="1517"/>
    </row>
    <row r="729" spans="1:185" ht="12.95" customHeight="1">
      <c r="A729" s="4"/>
      <c r="B729" s="1364"/>
      <c r="C729" s="1365"/>
      <c r="D729" s="1365"/>
      <c r="E729" s="1365"/>
      <c r="F729" s="1366"/>
      <c r="G729" s="1348"/>
      <c r="H729" s="1349"/>
      <c r="I729" s="1349"/>
      <c r="J729" s="1350"/>
      <c r="K729" s="1418"/>
      <c r="L729" s="1419"/>
      <c r="M729" s="1419"/>
      <c r="N729" s="1420"/>
      <c r="O729" s="1358"/>
      <c r="P729" s="1359"/>
      <c r="Q729" s="1359"/>
      <c r="R729" s="1359"/>
      <c r="S729" s="1360"/>
      <c r="T729" s="1358"/>
      <c r="U729" s="1359"/>
      <c r="V729" s="1359"/>
      <c r="W729" s="1360"/>
      <c r="X729" s="1355">
        <f t="shared" si="8"/>
        <v>0</v>
      </c>
      <c r="Y729" s="1356"/>
      <c r="Z729" s="1356"/>
      <c r="AA729" s="1356"/>
      <c r="AB729" s="1357"/>
      <c r="AC729" s="1430"/>
      <c r="AD729" s="1431"/>
      <c r="AE729" s="1431"/>
      <c r="AF729" s="1431"/>
      <c r="AG729" s="1432"/>
      <c r="AH729" s="1361" t="str">
        <f t="shared" si="36"/>
        <v/>
      </c>
      <c r="AI729" s="1362"/>
      <c r="AJ729" s="1363"/>
      <c r="AK729" s="1364" t="s">
        <v>591</v>
      </c>
      <c r="AL729" s="1365"/>
      <c r="AM729" s="1365"/>
      <c r="AN729" s="1365"/>
      <c r="AO729" s="1366"/>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516">
        <f t="shared" si="37"/>
        <v>0</v>
      </c>
      <c r="CH729" s="1517"/>
      <c r="CI729" s="1518">
        <f t="shared" si="38"/>
        <v>0</v>
      </c>
      <c r="CJ729" s="1519"/>
      <c r="CK729" s="1516">
        <f t="shared" si="16"/>
        <v>0</v>
      </c>
      <c r="CL729" s="1517"/>
      <c r="CM729" s="1518">
        <f t="shared" si="17"/>
        <v>0</v>
      </c>
      <c r="CN729" s="1519"/>
      <c r="CO729" s="3"/>
      <c r="CP729" s="1513">
        <f t="shared" si="18"/>
        <v>0</v>
      </c>
      <c r="CQ729" s="1514"/>
      <c r="CR729" s="1514"/>
      <c r="CS729" s="1514"/>
      <c r="CT729" s="1515"/>
      <c r="CU729" s="1507">
        <f t="shared" si="19"/>
        <v>0</v>
      </c>
      <c r="CV729" s="1507"/>
      <c r="CW729" s="1507"/>
      <c r="CX729" s="1507"/>
      <c r="CY729" s="1507"/>
      <c r="CZ729" s="1507">
        <f t="shared" si="20"/>
        <v>0</v>
      </c>
      <c r="DA729" s="1507"/>
      <c r="DB729" s="1507"/>
      <c r="DC729" s="1507"/>
      <c r="DD729" s="1507"/>
      <c r="DE729" s="1507">
        <f t="shared" si="21"/>
        <v>0</v>
      </c>
      <c r="DF729" s="1507"/>
      <c r="DG729" s="1507"/>
      <c r="DH729" s="1507"/>
      <c r="DI729" s="1507"/>
      <c r="DJ729" s="1507">
        <f t="shared" si="22"/>
        <v>0</v>
      </c>
      <c r="DK729" s="1507"/>
      <c r="DL729" s="1507"/>
      <c r="DM729" s="1507"/>
      <c r="DN729" s="1507"/>
      <c r="DO729" s="1507">
        <f t="shared" si="23"/>
        <v>0</v>
      </c>
      <c r="DP729" s="1507"/>
      <c r="DQ729" s="1507"/>
      <c r="DR729" s="1507"/>
      <c r="DS729" s="1507"/>
      <c r="DT729" s="6"/>
      <c r="DU729" s="1502">
        <f t="shared" si="24"/>
        <v>0</v>
      </c>
      <c r="DV729" s="1502"/>
      <c r="DW729" s="1502"/>
      <c r="DX729" s="1502"/>
      <c r="DY729" s="1502"/>
      <c r="DZ729" s="1502">
        <f t="shared" si="25"/>
        <v>0</v>
      </c>
      <c r="EA729" s="1502"/>
      <c r="EB729" s="1502"/>
      <c r="EC729" s="1502"/>
      <c r="ED729" s="1502"/>
      <c r="EE729" s="1502">
        <f t="shared" si="26"/>
        <v>0</v>
      </c>
      <c r="EF729" s="1502"/>
      <c r="EG729" s="1502"/>
      <c r="EH729" s="1502"/>
      <c r="EI729" s="1502"/>
      <c r="EJ729" s="1502">
        <f t="shared" si="27"/>
        <v>0</v>
      </c>
      <c r="EK729" s="1502"/>
      <c r="EL729" s="1502"/>
      <c r="EM729" s="1502"/>
      <c r="EN729" s="1502"/>
      <c r="EO729" s="1502">
        <f t="shared" si="28"/>
        <v>0</v>
      </c>
      <c r="EP729" s="1502"/>
      <c r="EQ729" s="1502"/>
      <c r="ER729" s="1502"/>
      <c r="ES729" s="1502"/>
      <c r="ET729" s="1502">
        <f t="shared" si="29"/>
        <v>0</v>
      </c>
      <c r="EU729" s="1502"/>
      <c r="EV729" s="1502"/>
      <c r="EW729" s="1502"/>
      <c r="EX729" s="1502"/>
      <c r="EZ729" s="1516" t="str">
        <f t="shared" si="30"/>
        <v/>
      </c>
      <c r="FA729" s="1522"/>
      <c r="FB729" s="1522"/>
      <c r="FC729" s="1522"/>
      <c r="FD729" s="1517"/>
      <c r="FE729" s="1516" t="str">
        <f t="shared" si="31"/>
        <v/>
      </c>
      <c r="FF729" s="1522"/>
      <c r="FG729" s="1522"/>
      <c r="FH729" s="1522"/>
      <c r="FI729" s="1517"/>
      <c r="FJ729" s="1516" t="str">
        <f t="shared" si="32"/>
        <v/>
      </c>
      <c r="FK729" s="1522"/>
      <c r="FL729" s="1522"/>
      <c r="FM729" s="1522"/>
      <c r="FN729" s="1517"/>
      <c r="FO729" s="1516" t="str">
        <f t="shared" si="33"/>
        <v/>
      </c>
      <c r="FP729" s="1522"/>
      <c r="FQ729" s="1522"/>
      <c r="FR729" s="1522"/>
      <c r="FS729" s="1517"/>
      <c r="FT729" s="1516" t="str">
        <f t="shared" si="34"/>
        <v/>
      </c>
      <c r="FU729" s="1522"/>
      <c r="FV729" s="1522"/>
      <c r="FW729" s="1522"/>
      <c r="FX729" s="1517"/>
      <c r="FY729" s="1516" t="str">
        <f t="shared" si="35"/>
        <v/>
      </c>
      <c r="FZ729" s="1522"/>
      <c r="GA729" s="1522"/>
      <c r="GB729" s="1522"/>
      <c r="GC729" s="1517"/>
    </row>
    <row r="730" spans="1:185" ht="12.95" customHeight="1">
      <c r="B730" s="1364"/>
      <c r="C730" s="1365"/>
      <c r="D730" s="1365"/>
      <c r="E730" s="1365"/>
      <c r="F730" s="1366"/>
      <c r="G730" s="1348"/>
      <c r="H730" s="1349"/>
      <c r="I730" s="1349"/>
      <c r="J730" s="1350"/>
      <c r="K730" s="1418"/>
      <c r="L730" s="1419"/>
      <c r="M730" s="1419"/>
      <c r="N730" s="1420"/>
      <c r="O730" s="1358"/>
      <c r="P730" s="1359"/>
      <c r="Q730" s="1359"/>
      <c r="R730" s="1359"/>
      <c r="S730" s="1360"/>
      <c r="T730" s="1358"/>
      <c r="U730" s="1359"/>
      <c r="V730" s="1359"/>
      <c r="W730" s="1360"/>
      <c r="X730" s="1355">
        <f t="shared" si="8"/>
        <v>0</v>
      </c>
      <c r="Y730" s="1356"/>
      <c r="Z730" s="1356"/>
      <c r="AA730" s="1356"/>
      <c r="AB730" s="1357"/>
      <c r="AC730" s="1430"/>
      <c r="AD730" s="1431"/>
      <c r="AE730" s="1431"/>
      <c r="AF730" s="1431"/>
      <c r="AG730" s="1432"/>
      <c r="AH730" s="1361" t="str">
        <f t="shared" si="36"/>
        <v/>
      </c>
      <c r="AI730" s="1362"/>
      <c r="AJ730" s="1363"/>
      <c r="AK730" s="1364" t="s">
        <v>591</v>
      </c>
      <c r="AL730" s="1365"/>
      <c r="AM730" s="1365"/>
      <c r="AN730" s="1365"/>
      <c r="AO730" s="1366"/>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516">
        <f t="shared" si="37"/>
        <v>0</v>
      </c>
      <c r="CH730" s="1517"/>
      <c r="CI730" s="1518">
        <f t="shared" si="38"/>
        <v>0</v>
      </c>
      <c r="CJ730" s="1519"/>
      <c r="CK730" s="1516">
        <f t="shared" si="16"/>
        <v>0</v>
      </c>
      <c r="CL730" s="1517"/>
      <c r="CM730" s="1518">
        <f t="shared" si="17"/>
        <v>0</v>
      </c>
      <c r="CN730" s="1519"/>
      <c r="CO730" s="3"/>
      <c r="CP730" s="1513">
        <f t="shared" si="18"/>
        <v>0</v>
      </c>
      <c r="CQ730" s="1514"/>
      <c r="CR730" s="1514"/>
      <c r="CS730" s="1514"/>
      <c r="CT730" s="1515"/>
      <c r="CU730" s="1507">
        <f t="shared" si="19"/>
        <v>0</v>
      </c>
      <c r="CV730" s="1507"/>
      <c r="CW730" s="1507"/>
      <c r="CX730" s="1507"/>
      <c r="CY730" s="1507"/>
      <c r="CZ730" s="1507">
        <f t="shared" si="20"/>
        <v>0</v>
      </c>
      <c r="DA730" s="1507"/>
      <c r="DB730" s="1507"/>
      <c r="DC730" s="1507"/>
      <c r="DD730" s="1507"/>
      <c r="DE730" s="1507">
        <f t="shared" si="21"/>
        <v>0</v>
      </c>
      <c r="DF730" s="1507"/>
      <c r="DG730" s="1507"/>
      <c r="DH730" s="1507"/>
      <c r="DI730" s="1507"/>
      <c r="DJ730" s="1507">
        <f t="shared" si="22"/>
        <v>0</v>
      </c>
      <c r="DK730" s="1507"/>
      <c r="DL730" s="1507"/>
      <c r="DM730" s="1507"/>
      <c r="DN730" s="1507"/>
      <c r="DO730" s="1507">
        <f t="shared" si="23"/>
        <v>0</v>
      </c>
      <c r="DP730" s="1507"/>
      <c r="DQ730" s="1507"/>
      <c r="DR730" s="1507"/>
      <c r="DS730" s="1507"/>
      <c r="DT730" s="6"/>
      <c r="DU730" s="1502">
        <f t="shared" si="24"/>
        <v>0</v>
      </c>
      <c r="DV730" s="1502"/>
      <c r="DW730" s="1502"/>
      <c r="DX730" s="1502"/>
      <c r="DY730" s="1502"/>
      <c r="DZ730" s="1502">
        <f t="shared" si="25"/>
        <v>0</v>
      </c>
      <c r="EA730" s="1502"/>
      <c r="EB730" s="1502"/>
      <c r="EC730" s="1502"/>
      <c r="ED730" s="1502"/>
      <c r="EE730" s="1502">
        <f t="shared" si="26"/>
        <v>0</v>
      </c>
      <c r="EF730" s="1502"/>
      <c r="EG730" s="1502"/>
      <c r="EH730" s="1502"/>
      <c r="EI730" s="1502"/>
      <c r="EJ730" s="1502">
        <f t="shared" si="27"/>
        <v>0</v>
      </c>
      <c r="EK730" s="1502"/>
      <c r="EL730" s="1502"/>
      <c r="EM730" s="1502"/>
      <c r="EN730" s="1502"/>
      <c r="EO730" s="1502">
        <f t="shared" si="28"/>
        <v>0</v>
      </c>
      <c r="EP730" s="1502"/>
      <c r="EQ730" s="1502"/>
      <c r="ER730" s="1502"/>
      <c r="ES730" s="1502"/>
      <c r="ET730" s="1502">
        <f t="shared" si="29"/>
        <v>0</v>
      </c>
      <c r="EU730" s="1502"/>
      <c r="EV730" s="1502"/>
      <c r="EW730" s="1502"/>
      <c r="EX730" s="1502"/>
      <c r="EZ730" s="1516" t="str">
        <f t="shared" si="30"/>
        <v/>
      </c>
      <c r="FA730" s="1522"/>
      <c r="FB730" s="1522"/>
      <c r="FC730" s="1522"/>
      <c r="FD730" s="1517"/>
      <c r="FE730" s="1516" t="str">
        <f t="shared" si="31"/>
        <v/>
      </c>
      <c r="FF730" s="1522"/>
      <c r="FG730" s="1522"/>
      <c r="FH730" s="1522"/>
      <c r="FI730" s="1517"/>
      <c r="FJ730" s="1516" t="str">
        <f t="shared" si="32"/>
        <v/>
      </c>
      <c r="FK730" s="1522"/>
      <c r="FL730" s="1522"/>
      <c r="FM730" s="1522"/>
      <c r="FN730" s="1517"/>
      <c r="FO730" s="1516" t="str">
        <f t="shared" si="33"/>
        <v/>
      </c>
      <c r="FP730" s="1522"/>
      <c r="FQ730" s="1522"/>
      <c r="FR730" s="1522"/>
      <c r="FS730" s="1517"/>
      <c r="FT730" s="1516" t="str">
        <f t="shared" si="34"/>
        <v/>
      </c>
      <c r="FU730" s="1522"/>
      <c r="FV730" s="1522"/>
      <c r="FW730" s="1522"/>
      <c r="FX730" s="1517"/>
      <c r="FY730" s="1516" t="str">
        <f t="shared" si="35"/>
        <v/>
      </c>
      <c r="FZ730" s="1522"/>
      <c r="GA730" s="1522"/>
      <c r="GB730" s="1522"/>
      <c r="GC730" s="1517"/>
    </row>
    <row r="731" spans="1:185" ht="12.95" customHeight="1">
      <c r="B731" s="1364"/>
      <c r="C731" s="1365"/>
      <c r="D731" s="1365"/>
      <c r="E731" s="1365"/>
      <c r="F731" s="1366"/>
      <c r="G731" s="1348"/>
      <c r="H731" s="1349"/>
      <c r="I731" s="1349"/>
      <c r="J731" s="1350"/>
      <c r="K731" s="1418"/>
      <c r="L731" s="1419"/>
      <c r="M731" s="1419"/>
      <c r="N731" s="1420"/>
      <c r="O731" s="1358"/>
      <c r="P731" s="1359"/>
      <c r="Q731" s="1359"/>
      <c r="R731" s="1359"/>
      <c r="S731" s="1360"/>
      <c r="T731" s="1358"/>
      <c r="U731" s="1359"/>
      <c r="V731" s="1359"/>
      <c r="W731" s="1360"/>
      <c r="X731" s="1355">
        <f t="shared" si="8"/>
        <v>0</v>
      </c>
      <c r="Y731" s="1356"/>
      <c r="Z731" s="1356"/>
      <c r="AA731" s="1356"/>
      <c r="AB731" s="1357"/>
      <c r="AC731" s="1430"/>
      <c r="AD731" s="1431"/>
      <c r="AE731" s="1431"/>
      <c r="AF731" s="1431"/>
      <c r="AG731" s="1432"/>
      <c r="AH731" s="1361" t="str">
        <f t="shared" si="36"/>
        <v/>
      </c>
      <c r="AI731" s="1362"/>
      <c r="AJ731" s="1363"/>
      <c r="AK731" s="1364" t="s">
        <v>591</v>
      </c>
      <c r="AL731" s="1365"/>
      <c r="AM731" s="1365"/>
      <c r="AN731" s="1365"/>
      <c r="AO731" s="1366"/>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516">
        <f t="shared" si="37"/>
        <v>0</v>
      </c>
      <c r="CH731" s="1517"/>
      <c r="CI731" s="1518">
        <f t="shared" si="38"/>
        <v>0</v>
      </c>
      <c r="CJ731" s="1519"/>
      <c r="CK731" s="1516">
        <f t="shared" si="16"/>
        <v>0</v>
      </c>
      <c r="CL731" s="1517"/>
      <c r="CM731" s="1518">
        <f t="shared" si="17"/>
        <v>0</v>
      </c>
      <c r="CN731" s="1519"/>
      <c r="CO731" s="3"/>
      <c r="CP731" s="1513">
        <f t="shared" si="18"/>
        <v>0</v>
      </c>
      <c r="CQ731" s="1514"/>
      <c r="CR731" s="1514"/>
      <c r="CS731" s="1514"/>
      <c r="CT731" s="1515"/>
      <c r="CU731" s="1507">
        <f t="shared" si="19"/>
        <v>0</v>
      </c>
      <c r="CV731" s="1507"/>
      <c r="CW731" s="1507"/>
      <c r="CX731" s="1507"/>
      <c r="CY731" s="1507"/>
      <c r="CZ731" s="1507">
        <f t="shared" si="20"/>
        <v>0</v>
      </c>
      <c r="DA731" s="1507"/>
      <c r="DB731" s="1507"/>
      <c r="DC731" s="1507"/>
      <c r="DD731" s="1507"/>
      <c r="DE731" s="1507">
        <f t="shared" si="21"/>
        <v>0</v>
      </c>
      <c r="DF731" s="1507"/>
      <c r="DG731" s="1507"/>
      <c r="DH731" s="1507"/>
      <c r="DI731" s="1507"/>
      <c r="DJ731" s="1507">
        <f t="shared" si="22"/>
        <v>0</v>
      </c>
      <c r="DK731" s="1507"/>
      <c r="DL731" s="1507"/>
      <c r="DM731" s="1507"/>
      <c r="DN731" s="1507"/>
      <c r="DO731" s="1507">
        <f t="shared" si="23"/>
        <v>0</v>
      </c>
      <c r="DP731" s="1507"/>
      <c r="DQ731" s="1507"/>
      <c r="DR731" s="1507"/>
      <c r="DS731" s="1507"/>
      <c r="DT731" s="6"/>
      <c r="DU731" s="1502">
        <f t="shared" si="24"/>
        <v>0</v>
      </c>
      <c r="DV731" s="1502"/>
      <c r="DW731" s="1502"/>
      <c r="DX731" s="1502"/>
      <c r="DY731" s="1502"/>
      <c r="DZ731" s="1502">
        <f t="shared" si="25"/>
        <v>0</v>
      </c>
      <c r="EA731" s="1502"/>
      <c r="EB731" s="1502"/>
      <c r="EC731" s="1502"/>
      <c r="ED731" s="1502"/>
      <c r="EE731" s="1502">
        <f t="shared" si="26"/>
        <v>0</v>
      </c>
      <c r="EF731" s="1502"/>
      <c r="EG731" s="1502"/>
      <c r="EH731" s="1502"/>
      <c r="EI731" s="1502"/>
      <c r="EJ731" s="1502">
        <f t="shared" si="27"/>
        <v>0</v>
      </c>
      <c r="EK731" s="1502"/>
      <c r="EL731" s="1502"/>
      <c r="EM731" s="1502"/>
      <c r="EN731" s="1502"/>
      <c r="EO731" s="1502">
        <f t="shared" si="28"/>
        <v>0</v>
      </c>
      <c r="EP731" s="1502"/>
      <c r="EQ731" s="1502"/>
      <c r="ER731" s="1502"/>
      <c r="ES731" s="1502"/>
      <c r="ET731" s="1502">
        <f t="shared" si="29"/>
        <v>0</v>
      </c>
      <c r="EU731" s="1502"/>
      <c r="EV731" s="1502"/>
      <c r="EW731" s="1502"/>
      <c r="EX731" s="1502"/>
      <c r="EZ731" s="1516" t="str">
        <f t="shared" si="30"/>
        <v/>
      </c>
      <c r="FA731" s="1522"/>
      <c r="FB731" s="1522"/>
      <c r="FC731" s="1522"/>
      <c r="FD731" s="1517"/>
      <c r="FE731" s="1516" t="str">
        <f t="shared" si="31"/>
        <v/>
      </c>
      <c r="FF731" s="1522"/>
      <c r="FG731" s="1522"/>
      <c r="FH731" s="1522"/>
      <c r="FI731" s="1517"/>
      <c r="FJ731" s="1516" t="str">
        <f t="shared" si="32"/>
        <v/>
      </c>
      <c r="FK731" s="1522"/>
      <c r="FL731" s="1522"/>
      <c r="FM731" s="1522"/>
      <c r="FN731" s="1517"/>
      <c r="FO731" s="1516" t="str">
        <f t="shared" si="33"/>
        <v/>
      </c>
      <c r="FP731" s="1522"/>
      <c r="FQ731" s="1522"/>
      <c r="FR731" s="1522"/>
      <c r="FS731" s="1517"/>
      <c r="FT731" s="1516" t="str">
        <f t="shared" si="34"/>
        <v/>
      </c>
      <c r="FU731" s="1522"/>
      <c r="FV731" s="1522"/>
      <c r="FW731" s="1522"/>
      <c r="FX731" s="1517"/>
      <c r="FY731" s="1516" t="str">
        <f t="shared" si="35"/>
        <v/>
      </c>
      <c r="FZ731" s="1522"/>
      <c r="GA731" s="1522"/>
      <c r="GB731" s="1522"/>
      <c r="GC731" s="1517"/>
    </row>
    <row r="732" spans="1:185" ht="12.95" customHeight="1">
      <c r="B732" s="1364"/>
      <c r="C732" s="1365"/>
      <c r="D732" s="1365"/>
      <c r="E732" s="1365"/>
      <c r="F732" s="1366"/>
      <c r="G732" s="1348"/>
      <c r="H732" s="1349"/>
      <c r="I732" s="1349"/>
      <c r="J732" s="1350"/>
      <c r="K732" s="1418"/>
      <c r="L732" s="1419"/>
      <c r="M732" s="1419"/>
      <c r="N732" s="1420"/>
      <c r="O732" s="1358"/>
      <c r="P732" s="1359"/>
      <c r="Q732" s="1359"/>
      <c r="R732" s="1359"/>
      <c r="S732" s="1360"/>
      <c r="T732" s="1358"/>
      <c r="U732" s="1359"/>
      <c r="V732" s="1359"/>
      <c r="W732" s="1360"/>
      <c r="X732" s="1355">
        <f t="shared" si="8"/>
        <v>0</v>
      </c>
      <c r="Y732" s="1356"/>
      <c r="Z732" s="1356"/>
      <c r="AA732" s="1356"/>
      <c r="AB732" s="1357"/>
      <c r="AC732" s="1430"/>
      <c r="AD732" s="1431"/>
      <c r="AE732" s="1431"/>
      <c r="AF732" s="1431"/>
      <c r="AG732" s="1432"/>
      <c r="AH732" s="1361" t="str">
        <f t="shared" si="36"/>
        <v/>
      </c>
      <c r="AI732" s="1362"/>
      <c r="AJ732" s="1363"/>
      <c r="AK732" s="1364" t="s">
        <v>591</v>
      </c>
      <c r="AL732" s="1365"/>
      <c r="AM732" s="1365"/>
      <c r="AN732" s="1365"/>
      <c r="AO732" s="1366"/>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516">
        <f t="shared" si="37"/>
        <v>0</v>
      </c>
      <c r="CH732" s="1517"/>
      <c r="CI732" s="1518">
        <f t="shared" si="38"/>
        <v>0</v>
      </c>
      <c r="CJ732" s="1519"/>
      <c r="CK732" s="1516">
        <f t="shared" si="16"/>
        <v>0</v>
      </c>
      <c r="CL732" s="1517"/>
      <c r="CM732" s="1518">
        <f t="shared" si="17"/>
        <v>0</v>
      </c>
      <c r="CN732" s="1519"/>
      <c r="CO732" s="3"/>
      <c r="CP732" s="1513">
        <f t="shared" si="18"/>
        <v>0</v>
      </c>
      <c r="CQ732" s="1514"/>
      <c r="CR732" s="1514"/>
      <c r="CS732" s="1514"/>
      <c r="CT732" s="1515"/>
      <c r="CU732" s="1507">
        <f t="shared" si="19"/>
        <v>0</v>
      </c>
      <c r="CV732" s="1507"/>
      <c r="CW732" s="1507"/>
      <c r="CX732" s="1507"/>
      <c r="CY732" s="1507"/>
      <c r="CZ732" s="1507">
        <f t="shared" si="20"/>
        <v>0</v>
      </c>
      <c r="DA732" s="1507"/>
      <c r="DB732" s="1507"/>
      <c r="DC732" s="1507"/>
      <c r="DD732" s="1507"/>
      <c r="DE732" s="1507">
        <f t="shared" si="21"/>
        <v>0</v>
      </c>
      <c r="DF732" s="1507"/>
      <c r="DG732" s="1507"/>
      <c r="DH732" s="1507"/>
      <c r="DI732" s="1507"/>
      <c r="DJ732" s="1507">
        <f t="shared" si="22"/>
        <v>0</v>
      </c>
      <c r="DK732" s="1507"/>
      <c r="DL732" s="1507"/>
      <c r="DM732" s="1507"/>
      <c r="DN732" s="1507"/>
      <c r="DO732" s="1507">
        <f t="shared" si="23"/>
        <v>0</v>
      </c>
      <c r="DP732" s="1507"/>
      <c r="DQ732" s="1507"/>
      <c r="DR732" s="1507"/>
      <c r="DS732" s="1507"/>
      <c r="DT732" s="6"/>
      <c r="DU732" s="1502">
        <f t="shared" si="24"/>
        <v>0</v>
      </c>
      <c r="DV732" s="1502"/>
      <c r="DW732" s="1502"/>
      <c r="DX732" s="1502"/>
      <c r="DY732" s="1502"/>
      <c r="DZ732" s="1502">
        <f t="shared" si="25"/>
        <v>0</v>
      </c>
      <c r="EA732" s="1502"/>
      <c r="EB732" s="1502"/>
      <c r="EC732" s="1502"/>
      <c r="ED732" s="1502"/>
      <c r="EE732" s="1502">
        <f t="shared" si="26"/>
        <v>0</v>
      </c>
      <c r="EF732" s="1502"/>
      <c r="EG732" s="1502"/>
      <c r="EH732" s="1502"/>
      <c r="EI732" s="1502"/>
      <c r="EJ732" s="1502">
        <f t="shared" si="27"/>
        <v>0</v>
      </c>
      <c r="EK732" s="1502"/>
      <c r="EL732" s="1502"/>
      <c r="EM732" s="1502"/>
      <c r="EN732" s="1502"/>
      <c r="EO732" s="1502">
        <f t="shared" si="28"/>
        <v>0</v>
      </c>
      <c r="EP732" s="1502"/>
      <c r="EQ732" s="1502"/>
      <c r="ER732" s="1502"/>
      <c r="ES732" s="1502"/>
      <c r="ET732" s="1502">
        <f t="shared" si="29"/>
        <v>0</v>
      </c>
      <c r="EU732" s="1502"/>
      <c r="EV732" s="1502"/>
      <c r="EW732" s="1502"/>
      <c r="EX732" s="1502"/>
      <c r="EZ732" s="1516" t="str">
        <f t="shared" si="30"/>
        <v/>
      </c>
      <c r="FA732" s="1522"/>
      <c r="FB732" s="1522"/>
      <c r="FC732" s="1522"/>
      <c r="FD732" s="1517"/>
      <c r="FE732" s="1516" t="str">
        <f t="shared" si="31"/>
        <v/>
      </c>
      <c r="FF732" s="1522"/>
      <c r="FG732" s="1522"/>
      <c r="FH732" s="1522"/>
      <c r="FI732" s="1517"/>
      <c r="FJ732" s="1516" t="str">
        <f t="shared" si="32"/>
        <v/>
      </c>
      <c r="FK732" s="1522"/>
      <c r="FL732" s="1522"/>
      <c r="FM732" s="1522"/>
      <c r="FN732" s="1517"/>
      <c r="FO732" s="1516" t="str">
        <f t="shared" si="33"/>
        <v/>
      </c>
      <c r="FP732" s="1522"/>
      <c r="FQ732" s="1522"/>
      <c r="FR732" s="1522"/>
      <c r="FS732" s="1517"/>
      <c r="FT732" s="1516" t="str">
        <f t="shared" si="34"/>
        <v/>
      </c>
      <c r="FU732" s="1522"/>
      <c r="FV732" s="1522"/>
      <c r="FW732" s="1522"/>
      <c r="FX732" s="1517"/>
      <c r="FY732" s="1516" t="str">
        <f t="shared" si="35"/>
        <v/>
      </c>
      <c r="FZ732" s="1522"/>
      <c r="GA732" s="1522"/>
      <c r="GB732" s="1522"/>
      <c r="GC732" s="1517"/>
    </row>
    <row r="733" spans="1:185" ht="12.95" customHeight="1">
      <c r="B733" s="1364"/>
      <c r="C733" s="1365"/>
      <c r="D733" s="1365"/>
      <c r="E733" s="1365"/>
      <c r="F733" s="1366"/>
      <c r="G733" s="1348"/>
      <c r="H733" s="1349"/>
      <c r="I733" s="1349"/>
      <c r="J733" s="1350"/>
      <c r="K733" s="1418"/>
      <c r="L733" s="1419"/>
      <c r="M733" s="1419"/>
      <c r="N733" s="1420"/>
      <c r="O733" s="1358"/>
      <c r="P733" s="1359"/>
      <c r="Q733" s="1359"/>
      <c r="R733" s="1359"/>
      <c r="S733" s="1360"/>
      <c r="T733" s="1358"/>
      <c r="U733" s="1359"/>
      <c r="V733" s="1359"/>
      <c r="W733" s="1360"/>
      <c r="X733" s="1355">
        <f t="shared" si="8"/>
        <v>0</v>
      </c>
      <c r="Y733" s="1356"/>
      <c r="Z733" s="1356"/>
      <c r="AA733" s="1356"/>
      <c r="AB733" s="1357"/>
      <c r="AC733" s="1430"/>
      <c r="AD733" s="1431"/>
      <c r="AE733" s="1431"/>
      <c r="AF733" s="1431"/>
      <c r="AG733" s="1432"/>
      <c r="AH733" s="1361" t="str">
        <f t="shared" si="36"/>
        <v/>
      </c>
      <c r="AI733" s="1362"/>
      <c r="AJ733" s="1363"/>
      <c r="AK733" s="1364" t="s">
        <v>591</v>
      </c>
      <c r="AL733" s="1365"/>
      <c r="AM733" s="1365"/>
      <c r="AN733" s="1365"/>
      <c r="AO733" s="1366"/>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516">
        <f t="shared" si="37"/>
        <v>0</v>
      </c>
      <c r="CH733" s="1517"/>
      <c r="CI733" s="1518">
        <f t="shared" si="38"/>
        <v>0</v>
      </c>
      <c r="CJ733" s="1519"/>
      <c r="CK733" s="1516">
        <f t="shared" si="16"/>
        <v>0</v>
      </c>
      <c r="CL733" s="1517"/>
      <c r="CM733" s="1518">
        <f t="shared" si="17"/>
        <v>0</v>
      </c>
      <c r="CN733" s="1519"/>
      <c r="CO733" s="3"/>
      <c r="CP733" s="1513">
        <f t="shared" si="18"/>
        <v>0</v>
      </c>
      <c r="CQ733" s="1514"/>
      <c r="CR733" s="1514"/>
      <c r="CS733" s="1514"/>
      <c r="CT733" s="1515"/>
      <c r="CU733" s="1507">
        <f t="shared" si="19"/>
        <v>0</v>
      </c>
      <c r="CV733" s="1507"/>
      <c r="CW733" s="1507"/>
      <c r="CX733" s="1507"/>
      <c r="CY733" s="1507"/>
      <c r="CZ733" s="1507">
        <f t="shared" si="20"/>
        <v>0</v>
      </c>
      <c r="DA733" s="1507"/>
      <c r="DB733" s="1507"/>
      <c r="DC733" s="1507"/>
      <c r="DD733" s="1507"/>
      <c r="DE733" s="1507">
        <f t="shared" si="21"/>
        <v>0</v>
      </c>
      <c r="DF733" s="1507"/>
      <c r="DG733" s="1507"/>
      <c r="DH733" s="1507"/>
      <c r="DI733" s="1507"/>
      <c r="DJ733" s="1507">
        <f t="shared" si="22"/>
        <v>0</v>
      </c>
      <c r="DK733" s="1507"/>
      <c r="DL733" s="1507"/>
      <c r="DM733" s="1507"/>
      <c r="DN733" s="1507"/>
      <c r="DO733" s="1507">
        <f t="shared" si="23"/>
        <v>0</v>
      </c>
      <c r="DP733" s="1507"/>
      <c r="DQ733" s="1507"/>
      <c r="DR733" s="1507"/>
      <c r="DS733" s="1507"/>
      <c r="DT733" s="6"/>
      <c r="DU733" s="1502">
        <f t="shared" si="24"/>
        <v>0</v>
      </c>
      <c r="DV733" s="1502"/>
      <c r="DW733" s="1502"/>
      <c r="DX733" s="1502"/>
      <c r="DY733" s="1502"/>
      <c r="DZ733" s="1502">
        <f t="shared" si="25"/>
        <v>0</v>
      </c>
      <c r="EA733" s="1502"/>
      <c r="EB733" s="1502"/>
      <c r="EC733" s="1502"/>
      <c r="ED733" s="1502"/>
      <c r="EE733" s="1502">
        <f t="shared" si="26"/>
        <v>0</v>
      </c>
      <c r="EF733" s="1502"/>
      <c r="EG733" s="1502"/>
      <c r="EH733" s="1502"/>
      <c r="EI733" s="1502"/>
      <c r="EJ733" s="1502">
        <f t="shared" si="27"/>
        <v>0</v>
      </c>
      <c r="EK733" s="1502"/>
      <c r="EL733" s="1502"/>
      <c r="EM733" s="1502"/>
      <c r="EN733" s="1502"/>
      <c r="EO733" s="1502">
        <f t="shared" si="28"/>
        <v>0</v>
      </c>
      <c r="EP733" s="1502"/>
      <c r="EQ733" s="1502"/>
      <c r="ER733" s="1502"/>
      <c r="ES733" s="1502"/>
      <c r="ET733" s="1502">
        <f t="shared" si="29"/>
        <v>0</v>
      </c>
      <c r="EU733" s="1502"/>
      <c r="EV733" s="1502"/>
      <c r="EW733" s="1502"/>
      <c r="EX733" s="1502"/>
      <c r="EZ733" s="1516" t="str">
        <f t="shared" si="30"/>
        <v/>
      </c>
      <c r="FA733" s="1522"/>
      <c r="FB733" s="1522"/>
      <c r="FC733" s="1522"/>
      <c r="FD733" s="1517"/>
      <c r="FE733" s="1516" t="str">
        <f t="shared" si="31"/>
        <v/>
      </c>
      <c r="FF733" s="1522"/>
      <c r="FG733" s="1522"/>
      <c r="FH733" s="1522"/>
      <c r="FI733" s="1517"/>
      <c r="FJ733" s="1516" t="str">
        <f t="shared" si="32"/>
        <v/>
      </c>
      <c r="FK733" s="1522"/>
      <c r="FL733" s="1522"/>
      <c r="FM733" s="1522"/>
      <c r="FN733" s="1517"/>
      <c r="FO733" s="1516" t="str">
        <f t="shared" si="33"/>
        <v/>
      </c>
      <c r="FP733" s="1522"/>
      <c r="FQ733" s="1522"/>
      <c r="FR733" s="1522"/>
      <c r="FS733" s="1517"/>
      <c r="FT733" s="1516" t="str">
        <f t="shared" si="34"/>
        <v/>
      </c>
      <c r="FU733" s="1522"/>
      <c r="FV733" s="1522"/>
      <c r="FW733" s="1522"/>
      <c r="FX733" s="1517"/>
      <c r="FY733" s="1516" t="str">
        <f t="shared" si="35"/>
        <v/>
      </c>
      <c r="FZ733" s="1522"/>
      <c r="GA733" s="1522"/>
      <c r="GB733" s="1522"/>
      <c r="GC733" s="1517"/>
    </row>
    <row r="734" spans="1:185" ht="12.95" customHeight="1">
      <c r="B734" s="1364"/>
      <c r="C734" s="1365"/>
      <c r="D734" s="1365"/>
      <c r="E734" s="1365"/>
      <c r="F734" s="1366"/>
      <c r="G734" s="1348"/>
      <c r="H734" s="1349"/>
      <c r="I734" s="1349"/>
      <c r="J734" s="1350"/>
      <c r="K734" s="1418"/>
      <c r="L734" s="1419"/>
      <c r="M734" s="1419"/>
      <c r="N734" s="1420"/>
      <c r="O734" s="1358"/>
      <c r="P734" s="1359"/>
      <c r="Q734" s="1359"/>
      <c r="R734" s="1359"/>
      <c r="S734" s="1360"/>
      <c r="T734" s="1358"/>
      <c r="U734" s="1359"/>
      <c r="V734" s="1359"/>
      <c r="W734" s="1360"/>
      <c r="X734" s="1355">
        <f t="shared" si="8"/>
        <v>0</v>
      </c>
      <c r="Y734" s="1356"/>
      <c r="Z734" s="1356"/>
      <c r="AA734" s="1356"/>
      <c r="AB734" s="1357"/>
      <c r="AC734" s="1430"/>
      <c r="AD734" s="1431"/>
      <c r="AE734" s="1431"/>
      <c r="AF734" s="1431"/>
      <c r="AG734" s="1432"/>
      <c r="AH734" s="1361" t="str">
        <f t="shared" si="36"/>
        <v/>
      </c>
      <c r="AI734" s="1362"/>
      <c r="AJ734" s="1363"/>
      <c r="AK734" s="1364" t="s">
        <v>591</v>
      </c>
      <c r="AL734" s="1365"/>
      <c r="AM734" s="1365"/>
      <c r="AN734" s="1365"/>
      <c r="AO734" s="1366"/>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516">
        <f t="shared" si="37"/>
        <v>0</v>
      </c>
      <c r="CH734" s="1517"/>
      <c r="CI734" s="1518">
        <f t="shared" si="38"/>
        <v>0</v>
      </c>
      <c r="CJ734" s="1519"/>
      <c r="CK734" s="1516">
        <f t="shared" si="16"/>
        <v>0</v>
      </c>
      <c r="CL734" s="1517"/>
      <c r="CM734" s="1518">
        <f t="shared" si="17"/>
        <v>0</v>
      </c>
      <c r="CN734" s="1519"/>
      <c r="CO734" s="3"/>
      <c r="CP734" s="1513">
        <f t="shared" si="18"/>
        <v>0</v>
      </c>
      <c r="CQ734" s="1514"/>
      <c r="CR734" s="1514"/>
      <c r="CS734" s="1514"/>
      <c r="CT734" s="1515"/>
      <c r="CU734" s="1507">
        <f t="shared" si="19"/>
        <v>0</v>
      </c>
      <c r="CV734" s="1507"/>
      <c r="CW734" s="1507"/>
      <c r="CX734" s="1507"/>
      <c r="CY734" s="1507"/>
      <c r="CZ734" s="1507">
        <f t="shared" si="20"/>
        <v>0</v>
      </c>
      <c r="DA734" s="1507"/>
      <c r="DB734" s="1507"/>
      <c r="DC734" s="1507"/>
      <c r="DD734" s="1507"/>
      <c r="DE734" s="1507">
        <f t="shared" si="21"/>
        <v>0</v>
      </c>
      <c r="DF734" s="1507"/>
      <c r="DG734" s="1507"/>
      <c r="DH734" s="1507"/>
      <c r="DI734" s="1507"/>
      <c r="DJ734" s="1507">
        <f t="shared" si="22"/>
        <v>0</v>
      </c>
      <c r="DK734" s="1507"/>
      <c r="DL734" s="1507"/>
      <c r="DM734" s="1507"/>
      <c r="DN734" s="1507"/>
      <c r="DO734" s="1507">
        <f t="shared" si="23"/>
        <v>0</v>
      </c>
      <c r="DP734" s="1507"/>
      <c r="DQ734" s="1507"/>
      <c r="DR734" s="1507"/>
      <c r="DS734" s="1507"/>
      <c r="DT734" s="6"/>
      <c r="DU734" s="1502">
        <f t="shared" si="24"/>
        <v>0</v>
      </c>
      <c r="DV734" s="1502"/>
      <c r="DW734" s="1502"/>
      <c r="DX734" s="1502"/>
      <c r="DY734" s="1502"/>
      <c r="DZ734" s="1502">
        <f t="shared" si="25"/>
        <v>0</v>
      </c>
      <c r="EA734" s="1502"/>
      <c r="EB734" s="1502"/>
      <c r="EC734" s="1502"/>
      <c r="ED734" s="1502"/>
      <c r="EE734" s="1502">
        <f t="shared" si="26"/>
        <v>0</v>
      </c>
      <c r="EF734" s="1502"/>
      <c r="EG734" s="1502"/>
      <c r="EH734" s="1502"/>
      <c r="EI734" s="1502"/>
      <c r="EJ734" s="1502">
        <f t="shared" si="27"/>
        <v>0</v>
      </c>
      <c r="EK734" s="1502"/>
      <c r="EL734" s="1502"/>
      <c r="EM734" s="1502"/>
      <c r="EN734" s="1502"/>
      <c r="EO734" s="1502">
        <f t="shared" si="28"/>
        <v>0</v>
      </c>
      <c r="EP734" s="1502"/>
      <c r="EQ734" s="1502"/>
      <c r="ER734" s="1502"/>
      <c r="ES734" s="1502"/>
      <c r="ET734" s="1502">
        <f t="shared" si="29"/>
        <v>0</v>
      </c>
      <c r="EU734" s="1502"/>
      <c r="EV734" s="1502"/>
      <c r="EW734" s="1502"/>
      <c r="EX734" s="1502"/>
      <c r="EZ734" s="1516" t="str">
        <f t="shared" si="30"/>
        <v/>
      </c>
      <c r="FA734" s="1522"/>
      <c r="FB734" s="1522"/>
      <c r="FC734" s="1522"/>
      <c r="FD734" s="1517"/>
      <c r="FE734" s="1516" t="str">
        <f t="shared" si="31"/>
        <v/>
      </c>
      <c r="FF734" s="1522"/>
      <c r="FG734" s="1522"/>
      <c r="FH734" s="1522"/>
      <c r="FI734" s="1517"/>
      <c r="FJ734" s="1516" t="str">
        <f t="shared" si="32"/>
        <v/>
      </c>
      <c r="FK734" s="1522"/>
      <c r="FL734" s="1522"/>
      <c r="FM734" s="1522"/>
      <c r="FN734" s="1517"/>
      <c r="FO734" s="1516" t="str">
        <f t="shared" si="33"/>
        <v/>
      </c>
      <c r="FP734" s="1522"/>
      <c r="FQ734" s="1522"/>
      <c r="FR734" s="1522"/>
      <c r="FS734" s="1517"/>
      <c r="FT734" s="1516" t="str">
        <f t="shared" si="34"/>
        <v/>
      </c>
      <c r="FU734" s="1522"/>
      <c r="FV734" s="1522"/>
      <c r="FW734" s="1522"/>
      <c r="FX734" s="1517"/>
      <c r="FY734" s="1516" t="str">
        <f t="shared" si="35"/>
        <v/>
      </c>
      <c r="FZ734" s="1522"/>
      <c r="GA734" s="1522"/>
      <c r="GB734" s="1522"/>
      <c r="GC734" s="1517"/>
    </row>
    <row r="735" spans="1:185" ht="12.95" customHeight="1">
      <c r="B735" s="1364"/>
      <c r="C735" s="1365"/>
      <c r="D735" s="1365"/>
      <c r="E735" s="1365"/>
      <c r="F735" s="1366"/>
      <c r="G735" s="1348"/>
      <c r="H735" s="1349"/>
      <c r="I735" s="1349"/>
      <c r="J735" s="1350"/>
      <c r="K735" s="1418"/>
      <c r="L735" s="1419"/>
      <c r="M735" s="1419"/>
      <c r="N735" s="1420"/>
      <c r="O735" s="1358"/>
      <c r="P735" s="1359"/>
      <c r="Q735" s="1359"/>
      <c r="R735" s="1359"/>
      <c r="S735" s="1360"/>
      <c r="T735" s="1358"/>
      <c r="U735" s="1359"/>
      <c r="V735" s="1359"/>
      <c r="W735" s="1360"/>
      <c r="X735" s="1355">
        <f t="shared" si="8"/>
        <v>0</v>
      </c>
      <c r="Y735" s="1356"/>
      <c r="Z735" s="1356"/>
      <c r="AA735" s="1356"/>
      <c r="AB735" s="1357"/>
      <c r="AC735" s="1430"/>
      <c r="AD735" s="1431"/>
      <c r="AE735" s="1431"/>
      <c r="AF735" s="1431"/>
      <c r="AG735" s="1432"/>
      <c r="AH735" s="1361" t="str">
        <f t="shared" si="36"/>
        <v/>
      </c>
      <c r="AI735" s="1362"/>
      <c r="AJ735" s="1363"/>
      <c r="AK735" s="1364" t="s">
        <v>591</v>
      </c>
      <c r="AL735" s="1365"/>
      <c r="AM735" s="1365"/>
      <c r="AN735" s="1365"/>
      <c r="AO735" s="1366"/>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516">
        <f t="shared" si="37"/>
        <v>0</v>
      </c>
      <c r="CH735" s="1517"/>
      <c r="CI735" s="1518">
        <f t="shared" si="38"/>
        <v>0</v>
      </c>
      <c r="CJ735" s="1519"/>
      <c r="CK735" s="1516">
        <f t="shared" si="16"/>
        <v>0</v>
      </c>
      <c r="CL735" s="1517"/>
      <c r="CM735" s="1518">
        <f t="shared" si="17"/>
        <v>0</v>
      </c>
      <c r="CN735" s="1519"/>
      <c r="CO735" s="3"/>
      <c r="CP735" s="1513">
        <f t="shared" si="18"/>
        <v>0</v>
      </c>
      <c r="CQ735" s="1514"/>
      <c r="CR735" s="1514"/>
      <c r="CS735" s="1514"/>
      <c r="CT735" s="1515"/>
      <c r="CU735" s="1507">
        <f t="shared" si="19"/>
        <v>0</v>
      </c>
      <c r="CV735" s="1507"/>
      <c r="CW735" s="1507"/>
      <c r="CX735" s="1507"/>
      <c r="CY735" s="1507"/>
      <c r="CZ735" s="1507">
        <f t="shared" si="20"/>
        <v>0</v>
      </c>
      <c r="DA735" s="1507"/>
      <c r="DB735" s="1507"/>
      <c r="DC735" s="1507"/>
      <c r="DD735" s="1507"/>
      <c r="DE735" s="1507">
        <f t="shared" si="21"/>
        <v>0</v>
      </c>
      <c r="DF735" s="1507"/>
      <c r="DG735" s="1507"/>
      <c r="DH735" s="1507"/>
      <c r="DI735" s="1507"/>
      <c r="DJ735" s="1507">
        <f t="shared" si="22"/>
        <v>0</v>
      </c>
      <c r="DK735" s="1507"/>
      <c r="DL735" s="1507"/>
      <c r="DM735" s="1507"/>
      <c r="DN735" s="1507"/>
      <c r="DO735" s="1507">
        <f t="shared" si="23"/>
        <v>0</v>
      </c>
      <c r="DP735" s="1507"/>
      <c r="DQ735" s="1507"/>
      <c r="DR735" s="1507"/>
      <c r="DS735" s="1507"/>
      <c r="DT735" s="6"/>
      <c r="DU735" s="1502">
        <f t="shared" si="24"/>
        <v>0</v>
      </c>
      <c r="DV735" s="1502"/>
      <c r="DW735" s="1502"/>
      <c r="DX735" s="1502"/>
      <c r="DY735" s="1502"/>
      <c r="DZ735" s="1502">
        <f t="shared" si="25"/>
        <v>0</v>
      </c>
      <c r="EA735" s="1502"/>
      <c r="EB735" s="1502"/>
      <c r="EC735" s="1502"/>
      <c r="ED735" s="1502"/>
      <c r="EE735" s="1502">
        <f t="shared" si="26"/>
        <v>0</v>
      </c>
      <c r="EF735" s="1502"/>
      <c r="EG735" s="1502"/>
      <c r="EH735" s="1502"/>
      <c r="EI735" s="1502"/>
      <c r="EJ735" s="1502">
        <f t="shared" si="27"/>
        <v>0</v>
      </c>
      <c r="EK735" s="1502"/>
      <c r="EL735" s="1502"/>
      <c r="EM735" s="1502"/>
      <c r="EN735" s="1502"/>
      <c r="EO735" s="1502">
        <f t="shared" si="28"/>
        <v>0</v>
      </c>
      <c r="EP735" s="1502"/>
      <c r="EQ735" s="1502"/>
      <c r="ER735" s="1502"/>
      <c r="ES735" s="1502"/>
      <c r="ET735" s="1502">
        <f t="shared" si="29"/>
        <v>0</v>
      </c>
      <c r="EU735" s="1502"/>
      <c r="EV735" s="1502"/>
      <c r="EW735" s="1502"/>
      <c r="EX735" s="1502"/>
      <c r="EZ735" s="1516" t="str">
        <f t="shared" si="30"/>
        <v/>
      </c>
      <c r="FA735" s="1522"/>
      <c r="FB735" s="1522"/>
      <c r="FC735" s="1522"/>
      <c r="FD735" s="1517"/>
      <c r="FE735" s="1516" t="str">
        <f t="shared" si="31"/>
        <v/>
      </c>
      <c r="FF735" s="1522"/>
      <c r="FG735" s="1522"/>
      <c r="FH735" s="1522"/>
      <c r="FI735" s="1517"/>
      <c r="FJ735" s="1516" t="str">
        <f t="shared" si="32"/>
        <v/>
      </c>
      <c r="FK735" s="1522"/>
      <c r="FL735" s="1522"/>
      <c r="FM735" s="1522"/>
      <c r="FN735" s="1517"/>
      <c r="FO735" s="1516" t="str">
        <f t="shared" si="33"/>
        <v/>
      </c>
      <c r="FP735" s="1522"/>
      <c r="FQ735" s="1522"/>
      <c r="FR735" s="1522"/>
      <c r="FS735" s="1517"/>
      <c r="FT735" s="1516" t="str">
        <f t="shared" si="34"/>
        <v/>
      </c>
      <c r="FU735" s="1522"/>
      <c r="FV735" s="1522"/>
      <c r="FW735" s="1522"/>
      <c r="FX735" s="1517"/>
      <c r="FY735" s="1516" t="str">
        <f t="shared" si="35"/>
        <v/>
      </c>
      <c r="FZ735" s="1522"/>
      <c r="GA735" s="1522"/>
      <c r="GB735" s="1522"/>
      <c r="GC735" s="1517"/>
    </row>
    <row r="736" spans="1:185" ht="12.95" customHeight="1">
      <c r="B736" s="1364"/>
      <c r="C736" s="1365"/>
      <c r="D736" s="1365"/>
      <c r="E736" s="1365"/>
      <c r="F736" s="1366"/>
      <c r="G736" s="1348"/>
      <c r="H736" s="1349"/>
      <c r="I736" s="1349"/>
      <c r="J736" s="1350"/>
      <c r="K736" s="1418"/>
      <c r="L736" s="1419"/>
      <c r="M736" s="1419"/>
      <c r="N736" s="1420"/>
      <c r="O736" s="1358"/>
      <c r="P736" s="1359"/>
      <c r="Q736" s="1359"/>
      <c r="R736" s="1359"/>
      <c r="S736" s="1360"/>
      <c r="T736" s="1358"/>
      <c r="U736" s="1359"/>
      <c r="V736" s="1359"/>
      <c r="W736" s="1360"/>
      <c r="X736" s="1355">
        <f t="shared" si="8"/>
        <v>0</v>
      </c>
      <c r="Y736" s="1356"/>
      <c r="Z736" s="1356"/>
      <c r="AA736" s="1356"/>
      <c r="AB736" s="1357"/>
      <c r="AC736" s="1430"/>
      <c r="AD736" s="1431"/>
      <c r="AE736" s="1431"/>
      <c r="AF736" s="1431"/>
      <c r="AG736" s="1432"/>
      <c r="AH736" s="1361" t="str">
        <f t="shared" si="36"/>
        <v/>
      </c>
      <c r="AI736" s="1362"/>
      <c r="AJ736" s="1363"/>
      <c r="AK736" s="1364" t="s">
        <v>591</v>
      </c>
      <c r="AL736" s="1365"/>
      <c r="AM736" s="1365"/>
      <c r="AN736" s="1365"/>
      <c r="AO736" s="1366"/>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516">
        <f t="shared" si="37"/>
        <v>0</v>
      </c>
      <c r="CH736" s="1517"/>
      <c r="CI736" s="1518">
        <f t="shared" si="38"/>
        <v>0</v>
      </c>
      <c r="CJ736" s="1519"/>
      <c r="CK736" s="1516">
        <f t="shared" si="16"/>
        <v>0</v>
      </c>
      <c r="CL736" s="1517"/>
      <c r="CM736" s="1518">
        <f t="shared" si="17"/>
        <v>0</v>
      </c>
      <c r="CN736" s="1519"/>
      <c r="CO736" s="3"/>
      <c r="CP736" s="1513">
        <f t="shared" si="18"/>
        <v>0</v>
      </c>
      <c r="CQ736" s="1514"/>
      <c r="CR736" s="1514"/>
      <c r="CS736" s="1514"/>
      <c r="CT736" s="1515"/>
      <c r="CU736" s="1507">
        <f t="shared" si="19"/>
        <v>0</v>
      </c>
      <c r="CV736" s="1507"/>
      <c r="CW736" s="1507"/>
      <c r="CX736" s="1507"/>
      <c r="CY736" s="1507"/>
      <c r="CZ736" s="1507">
        <f t="shared" si="20"/>
        <v>0</v>
      </c>
      <c r="DA736" s="1507"/>
      <c r="DB736" s="1507"/>
      <c r="DC736" s="1507"/>
      <c r="DD736" s="1507"/>
      <c r="DE736" s="1507">
        <f t="shared" si="21"/>
        <v>0</v>
      </c>
      <c r="DF736" s="1507"/>
      <c r="DG736" s="1507"/>
      <c r="DH736" s="1507"/>
      <c r="DI736" s="1507"/>
      <c r="DJ736" s="1507">
        <f t="shared" si="22"/>
        <v>0</v>
      </c>
      <c r="DK736" s="1507"/>
      <c r="DL736" s="1507"/>
      <c r="DM736" s="1507"/>
      <c r="DN736" s="1507"/>
      <c r="DO736" s="1507">
        <f t="shared" si="23"/>
        <v>0</v>
      </c>
      <c r="DP736" s="1507"/>
      <c r="DQ736" s="1507"/>
      <c r="DR736" s="1507"/>
      <c r="DS736" s="1507"/>
      <c r="DT736" s="6"/>
      <c r="DU736" s="1502">
        <f t="shared" si="24"/>
        <v>0</v>
      </c>
      <c r="DV736" s="1502"/>
      <c r="DW736" s="1502"/>
      <c r="DX736" s="1502"/>
      <c r="DY736" s="1502"/>
      <c r="DZ736" s="1502">
        <f t="shared" si="25"/>
        <v>0</v>
      </c>
      <c r="EA736" s="1502"/>
      <c r="EB736" s="1502"/>
      <c r="EC736" s="1502"/>
      <c r="ED736" s="1502"/>
      <c r="EE736" s="1502">
        <f t="shared" si="26"/>
        <v>0</v>
      </c>
      <c r="EF736" s="1502"/>
      <c r="EG736" s="1502"/>
      <c r="EH736" s="1502"/>
      <c r="EI736" s="1502"/>
      <c r="EJ736" s="1502">
        <f t="shared" si="27"/>
        <v>0</v>
      </c>
      <c r="EK736" s="1502"/>
      <c r="EL736" s="1502"/>
      <c r="EM736" s="1502"/>
      <c r="EN736" s="1502"/>
      <c r="EO736" s="1502">
        <f t="shared" si="28"/>
        <v>0</v>
      </c>
      <c r="EP736" s="1502"/>
      <c r="EQ736" s="1502"/>
      <c r="ER736" s="1502"/>
      <c r="ES736" s="1502"/>
      <c r="ET736" s="1502">
        <f t="shared" si="29"/>
        <v>0</v>
      </c>
      <c r="EU736" s="1502"/>
      <c r="EV736" s="1502"/>
      <c r="EW736" s="1502"/>
      <c r="EX736" s="1502"/>
      <c r="EZ736" s="1516" t="str">
        <f t="shared" si="30"/>
        <v/>
      </c>
      <c r="FA736" s="1522"/>
      <c r="FB736" s="1522"/>
      <c r="FC736" s="1522"/>
      <c r="FD736" s="1517"/>
      <c r="FE736" s="1516" t="str">
        <f t="shared" si="31"/>
        <v/>
      </c>
      <c r="FF736" s="1522"/>
      <c r="FG736" s="1522"/>
      <c r="FH736" s="1522"/>
      <c r="FI736" s="1517"/>
      <c r="FJ736" s="1516" t="str">
        <f t="shared" si="32"/>
        <v/>
      </c>
      <c r="FK736" s="1522"/>
      <c r="FL736" s="1522"/>
      <c r="FM736" s="1522"/>
      <c r="FN736" s="1517"/>
      <c r="FO736" s="1516" t="str">
        <f t="shared" si="33"/>
        <v/>
      </c>
      <c r="FP736" s="1522"/>
      <c r="FQ736" s="1522"/>
      <c r="FR736" s="1522"/>
      <c r="FS736" s="1517"/>
      <c r="FT736" s="1516" t="str">
        <f t="shared" si="34"/>
        <v/>
      </c>
      <c r="FU736" s="1522"/>
      <c r="FV736" s="1522"/>
      <c r="FW736" s="1522"/>
      <c r="FX736" s="1517"/>
      <c r="FY736" s="1516" t="str">
        <f t="shared" si="35"/>
        <v/>
      </c>
      <c r="FZ736" s="1522"/>
      <c r="GA736" s="1522"/>
      <c r="GB736" s="1522"/>
      <c r="GC736" s="1517"/>
    </row>
    <row r="737" spans="1:185" ht="12.95" customHeight="1">
      <c r="B737" s="1364"/>
      <c r="C737" s="1365"/>
      <c r="D737" s="1365"/>
      <c r="E737" s="1365"/>
      <c r="F737" s="1366"/>
      <c r="G737" s="1348"/>
      <c r="H737" s="1349"/>
      <c r="I737" s="1349"/>
      <c r="J737" s="1350"/>
      <c r="K737" s="1418"/>
      <c r="L737" s="1419"/>
      <c r="M737" s="1419"/>
      <c r="N737" s="1420"/>
      <c r="O737" s="1358"/>
      <c r="P737" s="1359"/>
      <c r="Q737" s="1359"/>
      <c r="R737" s="1359"/>
      <c r="S737" s="1360"/>
      <c r="T737" s="1358"/>
      <c r="U737" s="1359"/>
      <c r="V737" s="1359"/>
      <c r="W737" s="1360"/>
      <c r="X737" s="1355">
        <f t="shared" si="8"/>
        <v>0</v>
      </c>
      <c r="Y737" s="1356"/>
      <c r="Z737" s="1356"/>
      <c r="AA737" s="1356"/>
      <c r="AB737" s="1357"/>
      <c r="AC737" s="1430"/>
      <c r="AD737" s="1431"/>
      <c r="AE737" s="1431"/>
      <c r="AF737" s="1431"/>
      <c r="AG737" s="1432"/>
      <c r="AH737" s="1361" t="str">
        <f t="shared" si="36"/>
        <v/>
      </c>
      <c r="AI737" s="1362"/>
      <c r="AJ737" s="1363"/>
      <c r="AK737" s="1364" t="s">
        <v>591</v>
      </c>
      <c r="AL737" s="1365"/>
      <c r="AM737" s="1365"/>
      <c r="AN737" s="1365"/>
      <c r="AO737" s="1366"/>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516">
        <f t="shared" si="37"/>
        <v>0</v>
      </c>
      <c r="CH737" s="1517"/>
      <c r="CI737" s="1518">
        <f t="shared" si="38"/>
        <v>0</v>
      </c>
      <c r="CJ737" s="1519"/>
      <c r="CK737" s="1516">
        <f t="shared" si="16"/>
        <v>0</v>
      </c>
      <c r="CL737" s="1517"/>
      <c r="CM737" s="1518">
        <f t="shared" si="17"/>
        <v>0</v>
      </c>
      <c r="CN737" s="1519"/>
      <c r="CO737" s="3"/>
      <c r="CP737" s="1513">
        <f t="shared" si="18"/>
        <v>0</v>
      </c>
      <c r="CQ737" s="1514"/>
      <c r="CR737" s="1514"/>
      <c r="CS737" s="1514"/>
      <c r="CT737" s="1515"/>
      <c r="CU737" s="1507">
        <f t="shared" si="19"/>
        <v>0</v>
      </c>
      <c r="CV737" s="1507"/>
      <c r="CW737" s="1507"/>
      <c r="CX737" s="1507"/>
      <c r="CY737" s="1507"/>
      <c r="CZ737" s="1507">
        <f t="shared" si="20"/>
        <v>0</v>
      </c>
      <c r="DA737" s="1507"/>
      <c r="DB737" s="1507"/>
      <c r="DC737" s="1507"/>
      <c r="DD737" s="1507"/>
      <c r="DE737" s="1507">
        <f t="shared" si="21"/>
        <v>0</v>
      </c>
      <c r="DF737" s="1507"/>
      <c r="DG737" s="1507"/>
      <c r="DH737" s="1507"/>
      <c r="DI737" s="1507"/>
      <c r="DJ737" s="1507">
        <f t="shared" si="22"/>
        <v>0</v>
      </c>
      <c r="DK737" s="1507"/>
      <c r="DL737" s="1507"/>
      <c r="DM737" s="1507"/>
      <c r="DN737" s="1507"/>
      <c r="DO737" s="1507">
        <f t="shared" si="23"/>
        <v>0</v>
      </c>
      <c r="DP737" s="1507"/>
      <c r="DQ737" s="1507"/>
      <c r="DR737" s="1507"/>
      <c r="DS737" s="1507"/>
      <c r="DT737" s="6"/>
      <c r="DU737" s="1502">
        <f t="shared" si="24"/>
        <v>0</v>
      </c>
      <c r="DV737" s="1502"/>
      <c r="DW737" s="1502"/>
      <c r="DX737" s="1502"/>
      <c r="DY737" s="1502"/>
      <c r="DZ737" s="1502">
        <f t="shared" si="25"/>
        <v>0</v>
      </c>
      <c r="EA737" s="1502"/>
      <c r="EB737" s="1502"/>
      <c r="EC737" s="1502"/>
      <c r="ED737" s="1502"/>
      <c r="EE737" s="1502">
        <f t="shared" si="26"/>
        <v>0</v>
      </c>
      <c r="EF737" s="1502"/>
      <c r="EG737" s="1502"/>
      <c r="EH737" s="1502"/>
      <c r="EI737" s="1502"/>
      <c r="EJ737" s="1502">
        <f t="shared" si="27"/>
        <v>0</v>
      </c>
      <c r="EK737" s="1502"/>
      <c r="EL737" s="1502"/>
      <c r="EM737" s="1502"/>
      <c r="EN737" s="1502"/>
      <c r="EO737" s="1502">
        <f t="shared" si="28"/>
        <v>0</v>
      </c>
      <c r="EP737" s="1502"/>
      <c r="EQ737" s="1502"/>
      <c r="ER737" s="1502"/>
      <c r="ES737" s="1502"/>
      <c r="ET737" s="1502">
        <f t="shared" si="29"/>
        <v>0</v>
      </c>
      <c r="EU737" s="1502"/>
      <c r="EV737" s="1502"/>
      <c r="EW737" s="1502"/>
      <c r="EX737" s="1502"/>
      <c r="EZ737" s="1516" t="str">
        <f t="shared" si="30"/>
        <v/>
      </c>
      <c r="FA737" s="1522"/>
      <c r="FB737" s="1522"/>
      <c r="FC737" s="1522"/>
      <c r="FD737" s="1517"/>
      <c r="FE737" s="1516" t="str">
        <f t="shared" si="31"/>
        <v/>
      </c>
      <c r="FF737" s="1522"/>
      <c r="FG737" s="1522"/>
      <c r="FH737" s="1522"/>
      <c r="FI737" s="1517"/>
      <c r="FJ737" s="1516" t="str">
        <f t="shared" si="32"/>
        <v/>
      </c>
      <c r="FK737" s="1522"/>
      <c r="FL737" s="1522"/>
      <c r="FM737" s="1522"/>
      <c r="FN737" s="1517"/>
      <c r="FO737" s="1516" t="str">
        <f t="shared" si="33"/>
        <v/>
      </c>
      <c r="FP737" s="1522"/>
      <c r="FQ737" s="1522"/>
      <c r="FR737" s="1522"/>
      <c r="FS737" s="1517"/>
      <c r="FT737" s="1516" t="str">
        <f t="shared" si="34"/>
        <v/>
      </c>
      <c r="FU737" s="1522"/>
      <c r="FV737" s="1522"/>
      <c r="FW737" s="1522"/>
      <c r="FX737" s="1517"/>
      <c r="FY737" s="1516" t="str">
        <f t="shared" si="35"/>
        <v/>
      </c>
      <c r="FZ737" s="1522"/>
      <c r="GA737" s="1522"/>
      <c r="GB737" s="1522"/>
      <c r="GC737" s="1517"/>
    </row>
    <row r="738" spans="1:185" ht="12.95" customHeight="1">
      <c r="B738" s="1364"/>
      <c r="C738" s="1365"/>
      <c r="D738" s="1365"/>
      <c r="E738" s="1365"/>
      <c r="F738" s="1366"/>
      <c r="G738" s="1348"/>
      <c r="H738" s="1349"/>
      <c r="I738" s="1349"/>
      <c r="J738" s="1350"/>
      <c r="K738" s="1418"/>
      <c r="L738" s="1419"/>
      <c r="M738" s="1419"/>
      <c r="N738" s="1420"/>
      <c r="O738" s="1358"/>
      <c r="P738" s="1359"/>
      <c r="Q738" s="1359"/>
      <c r="R738" s="1359"/>
      <c r="S738" s="1360"/>
      <c r="T738" s="1358"/>
      <c r="U738" s="1359"/>
      <c r="V738" s="1359"/>
      <c r="W738" s="1360"/>
      <c r="X738" s="1355">
        <f t="shared" si="8"/>
        <v>0</v>
      </c>
      <c r="Y738" s="1356"/>
      <c r="Z738" s="1356"/>
      <c r="AA738" s="1356"/>
      <c r="AB738" s="1357"/>
      <c r="AC738" s="1430"/>
      <c r="AD738" s="1431"/>
      <c r="AE738" s="1431"/>
      <c r="AF738" s="1431"/>
      <c r="AG738" s="1432"/>
      <c r="AH738" s="1361" t="str">
        <f t="shared" si="36"/>
        <v/>
      </c>
      <c r="AI738" s="1362"/>
      <c r="AJ738" s="1363"/>
      <c r="AK738" s="1364" t="s">
        <v>591</v>
      </c>
      <c r="AL738" s="1365"/>
      <c r="AM738" s="1365"/>
      <c r="AN738" s="1365"/>
      <c r="AO738" s="1366"/>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516">
        <f t="shared" si="37"/>
        <v>0</v>
      </c>
      <c r="CH738" s="1517"/>
      <c r="CI738" s="1518">
        <f t="shared" si="38"/>
        <v>0</v>
      </c>
      <c r="CJ738" s="1519"/>
      <c r="CK738" s="1516">
        <f t="shared" si="16"/>
        <v>0</v>
      </c>
      <c r="CL738" s="1517"/>
      <c r="CM738" s="1518">
        <f t="shared" si="17"/>
        <v>0</v>
      </c>
      <c r="CN738" s="1519"/>
      <c r="CO738" s="3"/>
      <c r="CP738" s="1513">
        <f t="shared" si="18"/>
        <v>0</v>
      </c>
      <c r="CQ738" s="1514"/>
      <c r="CR738" s="1514"/>
      <c r="CS738" s="1514"/>
      <c r="CT738" s="1515"/>
      <c r="CU738" s="1507">
        <f t="shared" si="19"/>
        <v>0</v>
      </c>
      <c r="CV738" s="1507"/>
      <c r="CW738" s="1507"/>
      <c r="CX738" s="1507"/>
      <c r="CY738" s="1507"/>
      <c r="CZ738" s="1507">
        <f t="shared" si="20"/>
        <v>0</v>
      </c>
      <c r="DA738" s="1507"/>
      <c r="DB738" s="1507"/>
      <c r="DC738" s="1507"/>
      <c r="DD738" s="1507"/>
      <c r="DE738" s="1507">
        <f t="shared" si="21"/>
        <v>0</v>
      </c>
      <c r="DF738" s="1507"/>
      <c r="DG738" s="1507"/>
      <c r="DH738" s="1507"/>
      <c r="DI738" s="1507"/>
      <c r="DJ738" s="1507">
        <f t="shared" si="22"/>
        <v>0</v>
      </c>
      <c r="DK738" s="1507"/>
      <c r="DL738" s="1507"/>
      <c r="DM738" s="1507"/>
      <c r="DN738" s="1507"/>
      <c r="DO738" s="1507">
        <f t="shared" si="23"/>
        <v>0</v>
      </c>
      <c r="DP738" s="1507"/>
      <c r="DQ738" s="1507"/>
      <c r="DR738" s="1507"/>
      <c r="DS738" s="1507"/>
      <c r="DT738" s="6"/>
      <c r="DU738" s="1502">
        <f t="shared" si="24"/>
        <v>0</v>
      </c>
      <c r="DV738" s="1502"/>
      <c r="DW738" s="1502"/>
      <c r="DX738" s="1502"/>
      <c r="DY738" s="1502"/>
      <c r="DZ738" s="1502">
        <f t="shared" si="25"/>
        <v>0</v>
      </c>
      <c r="EA738" s="1502"/>
      <c r="EB738" s="1502"/>
      <c r="EC738" s="1502"/>
      <c r="ED738" s="1502"/>
      <c r="EE738" s="1502">
        <f t="shared" si="26"/>
        <v>0</v>
      </c>
      <c r="EF738" s="1502"/>
      <c r="EG738" s="1502"/>
      <c r="EH738" s="1502"/>
      <c r="EI738" s="1502"/>
      <c r="EJ738" s="1502">
        <f t="shared" si="27"/>
        <v>0</v>
      </c>
      <c r="EK738" s="1502"/>
      <c r="EL738" s="1502"/>
      <c r="EM738" s="1502"/>
      <c r="EN738" s="1502"/>
      <c r="EO738" s="1502">
        <f t="shared" si="28"/>
        <v>0</v>
      </c>
      <c r="EP738" s="1502"/>
      <c r="EQ738" s="1502"/>
      <c r="ER738" s="1502"/>
      <c r="ES738" s="1502"/>
      <c r="ET738" s="1502">
        <f t="shared" si="29"/>
        <v>0</v>
      </c>
      <c r="EU738" s="1502"/>
      <c r="EV738" s="1502"/>
      <c r="EW738" s="1502"/>
      <c r="EX738" s="1502"/>
      <c r="EZ738" s="1516" t="str">
        <f t="shared" si="30"/>
        <v/>
      </c>
      <c r="FA738" s="1522"/>
      <c r="FB738" s="1522"/>
      <c r="FC738" s="1522"/>
      <c r="FD738" s="1517"/>
      <c r="FE738" s="1516" t="str">
        <f t="shared" si="31"/>
        <v/>
      </c>
      <c r="FF738" s="1522"/>
      <c r="FG738" s="1522"/>
      <c r="FH738" s="1522"/>
      <c r="FI738" s="1517"/>
      <c r="FJ738" s="1516" t="str">
        <f t="shared" si="32"/>
        <v/>
      </c>
      <c r="FK738" s="1522"/>
      <c r="FL738" s="1522"/>
      <c r="FM738" s="1522"/>
      <c r="FN738" s="1517"/>
      <c r="FO738" s="1516" t="str">
        <f t="shared" si="33"/>
        <v/>
      </c>
      <c r="FP738" s="1522"/>
      <c r="FQ738" s="1522"/>
      <c r="FR738" s="1522"/>
      <c r="FS738" s="1517"/>
      <c r="FT738" s="1516" t="str">
        <f t="shared" si="34"/>
        <v/>
      </c>
      <c r="FU738" s="1522"/>
      <c r="FV738" s="1522"/>
      <c r="FW738" s="1522"/>
      <c r="FX738" s="1517"/>
      <c r="FY738" s="1516" t="str">
        <f t="shared" si="35"/>
        <v/>
      </c>
      <c r="FZ738" s="1522"/>
      <c r="GA738" s="1522"/>
      <c r="GB738" s="1522"/>
      <c r="GC738" s="1517"/>
    </row>
    <row r="739" spans="1:185" ht="12.95" customHeight="1">
      <c r="B739" s="1364"/>
      <c r="C739" s="1365"/>
      <c r="D739" s="1365"/>
      <c r="E739" s="1365"/>
      <c r="F739" s="1366"/>
      <c r="G739" s="1348"/>
      <c r="H739" s="1349"/>
      <c r="I739" s="1349"/>
      <c r="J739" s="1350"/>
      <c r="K739" s="1418"/>
      <c r="L739" s="1419"/>
      <c r="M739" s="1419"/>
      <c r="N739" s="1420"/>
      <c r="O739" s="1358"/>
      <c r="P739" s="1359"/>
      <c r="Q739" s="1359"/>
      <c r="R739" s="1359"/>
      <c r="S739" s="1360"/>
      <c r="T739" s="1358"/>
      <c r="U739" s="1359"/>
      <c r="V739" s="1359"/>
      <c r="W739" s="1360"/>
      <c r="X739" s="1355">
        <f t="shared" si="8"/>
        <v>0</v>
      </c>
      <c r="Y739" s="1356"/>
      <c r="Z739" s="1356"/>
      <c r="AA739" s="1356"/>
      <c r="AB739" s="1357"/>
      <c r="AC739" s="1430"/>
      <c r="AD739" s="1431"/>
      <c r="AE739" s="1431"/>
      <c r="AF739" s="1431"/>
      <c r="AG739" s="1432"/>
      <c r="AH739" s="1361" t="str">
        <f t="shared" si="36"/>
        <v/>
      </c>
      <c r="AI739" s="1362"/>
      <c r="AJ739" s="1363"/>
      <c r="AK739" s="1364" t="s">
        <v>591</v>
      </c>
      <c r="AL739" s="1365"/>
      <c r="AM739" s="1365"/>
      <c r="AN739" s="1365"/>
      <c r="AO739" s="1366"/>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516">
        <f t="shared" si="37"/>
        <v>0</v>
      </c>
      <c r="CH739" s="1517"/>
      <c r="CI739" s="1518">
        <f t="shared" si="38"/>
        <v>0</v>
      </c>
      <c r="CJ739" s="1519"/>
      <c r="CK739" s="1516">
        <f t="shared" si="16"/>
        <v>0</v>
      </c>
      <c r="CL739" s="1517"/>
      <c r="CM739" s="1518">
        <f t="shared" si="17"/>
        <v>0</v>
      </c>
      <c r="CN739" s="1519"/>
      <c r="CO739" s="3"/>
      <c r="CP739" s="1513">
        <f t="shared" si="18"/>
        <v>0</v>
      </c>
      <c r="CQ739" s="1514"/>
      <c r="CR739" s="1514"/>
      <c r="CS739" s="1514"/>
      <c r="CT739" s="1515"/>
      <c r="CU739" s="1507">
        <f t="shared" si="19"/>
        <v>0</v>
      </c>
      <c r="CV739" s="1507"/>
      <c r="CW739" s="1507"/>
      <c r="CX739" s="1507"/>
      <c r="CY739" s="1507"/>
      <c r="CZ739" s="1507">
        <f t="shared" si="20"/>
        <v>0</v>
      </c>
      <c r="DA739" s="1507"/>
      <c r="DB739" s="1507"/>
      <c r="DC739" s="1507"/>
      <c r="DD739" s="1507"/>
      <c r="DE739" s="1507">
        <f t="shared" si="21"/>
        <v>0</v>
      </c>
      <c r="DF739" s="1507"/>
      <c r="DG739" s="1507"/>
      <c r="DH739" s="1507"/>
      <c r="DI739" s="1507"/>
      <c r="DJ739" s="1507">
        <f t="shared" si="22"/>
        <v>0</v>
      </c>
      <c r="DK739" s="1507"/>
      <c r="DL739" s="1507"/>
      <c r="DM739" s="1507"/>
      <c r="DN739" s="1507"/>
      <c r="DO739" s="1507">
        <f t="shared" si="23"/>
        <v>0</v>
      </c>
      <c r="DP739" s="1507"/>
      <c r="DQ739" s="1507"/>
      <c r="DR739" s="1507"/>
      <c r="DS739" s="1507"/>
      <c r="DT739" s="6"/>
      <c r="DU739" s="1502">
        <f t="shared" si="24"/>
        <v>0</v>
      </c>
      <c r="DV739" s="1502"/>
      <c r="DW739" s="1502"/>
      <c r="DX739" s="1502"/>
      <c r="DY739" s="1502"/>
      <c r="DZ739" s="1502">
        <f t="shared" si="25"/>
        <v>0</v>
      </c>
      <c r="EA739" s="1502"/>
      <c r="EB739" s="1502"/>
      <c r="EC739" s="1502"/>
      <c r="ED739" s="1502"/>
      <c r="EE739" s="1502">
        <f t="shared" si="26"/>
        <v>0</v>
      </c>
      <c r="EF739" s="1502"/>
      <c r="EG739" s="1502"/>
      <c r="EH739" s="1502"/>
      <c r="EI739" s="1502"/>
      <c r="EJ739" s="1502">
        <f t="shared" si="27"/>
        <v>0</v>
      </c>
      <c r="EK739" s="1502"/>
      <c r="EL739" s="1502"/>
      <c r="EM739" s="1502"/>
      <c r="EN739" s="1502"/>
      <c r="EO739" s="1502">
        <f t="shared" si="28"/>
        <v>0</v>
      </c>
      <c r="EP739" s="1502"/>
      <c r="EQ739" s="1502"/>
      <c r="ER739" s="1502"/>
      <c r="ES739" s="1502"/>
      <c r="ET739" s="1502">
        <f t="shared" si="29"/>
        <v>0</v>
      </c>
      <c r="EU739" s="1502"/>
      <c r="EV739" s="1502"/>
      <c r="EW739" s="1502"/>
      <c r="EX739" s="1502"/>
      <c r="EZ739" s="1516" t="str">
        <f t="shared" si="30"/>
        <v/>
      </c>
      <c r="FA739" s="1522"/>
      <c r="FB739" s="1522"/>
      <c r="FC739" s="1522"/>
      <c r="FD739" s="1517"/>
      <c r="FE739" s="1516" t="str">
        <f t="shared" si="31"/>
        <v/>
      </c>
      <c r="FF739" s="1522"/>
      <c r="FG739" s="1522"/>
      <c r="FH739" s="1522"/>
      <c r="FI739" s="1517"/>
      <c r="FJ739" s="1516" t="str">
        <f t="shared" si="32"/>
        <v/>
      </c>
      <c r="FK739" s="1522"/>
      <c r="FL739" s="1522"/>
      <c r="FM739" s="1522"/>
      <c r="FN739" s="1517"/>
      <c r="FO739" s="1516" t="str">
        <f t="shared" si="33"/>
        <v/>
      </c>
      <c r="FP739" s="1522"/>
      <c r="FQ739" s="1522"/>
      <c r="FR739" s="1522"/>
      <c r="FS739" s="1517"/>
      <c r="FT739" s="1516" t="str">
        <f t="shared" si="34"/>
        <v/>
      </c>
      <c r="FU739" s="1522"/>
      <c r="FV739" s="1522"/>
      <c r="FW739" s="1522"/>
      <c r="FX739" s="1517"/>
      <c r="FY739" s="1516" t="str">
        <f t="shared" si="35"/>
        <v/>
      </c>
      <c r="FZ739" s="1522"/>
      <c r="GA739" s="1522"/>
      <c r="GB739" s="1522"/>
      <c r="GC739" s="1517"/>
    </row>
    <row r="740" spans="1:185" ht="12.95" customHeight="1">
      <c r="B740" s="1364"/>
      <c r="C740" s="1365"/>
      <c r="D740" s="1365"/>
      <c r="E740" s="1365"/>
      <c r="F740" s="1366"/>
      <c r="G740" s="1348"/>
      <c r="H740" s="1349"/>
      <c r="I740" s="1349"/>
      <c r="J740" s="1350"/>
      <c r="K740" s="1418"/>
      <c r="L740" s="1419"/>
      <c r="M740" s="1419"/>
      <c r="N740" s="1420"/>
      <c r="O740" s="1358"/>
      <c r="P740" s="1359"/>
      <c r="Q740" s="1359"/>
      <c r="R740" s="1359"/>
      <c r="S740" s="1360"/>
      <c r="T740" s="1358"/>
      <c r="U740" s="1359"/>
      <c r="V740" s="1359"/>
      <c r="W740" s="1360"/>
      <c r="X740" s="1355">
        <f t="shared" si="8"/>
        <v>0</v>
      </c>
      <c r="Y740" s="1356"/>
      <c r="Z740" s="1356"/>
      <c r="AA740" s="1356"/>
      <c r="AB740" s="1357"/>
      <c r="AC740" s="1430"/>
      <c r="AD740" s="1431"/>
      <c r="AE740" s="1431"/>
      <c r="AF740" s="1431"/>
      <c r="AG740" s="1432"/>
      <c r="AH740" s="1361" t="str">
        <f t="shared" si="36"/>
        <v/>
      </c>
      <c r="AI740" s="1362"/>
      <c r="AJ740" s="1363"/>
      <c r="AK740" s="1364" t="s">
        <v>591</v>
      </c>
      <c r="AL740" s="1365"/>
      <c r="AM740" s="1365"/>
      <c r="AN740" s="1365"/>
      <c r="AO740" s="1366"/>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516">
        <f t="shared" si="37"/>
        <v>0</v>
      </c>
      <c r="CH740" s="1517"/>
      <c r="CI740" s="1518">
        <f t="shared" si="38"/>
        <v>0</v>
      </c>
      <c r="CJ740" s="1519"/>
      <c r="CK740" s="1516">
        <f t="shared" si="16"/>
        <v>0</v>
      </c>
      <c r="CL740" s="1517"/>
      <c r="CM740" s="1518">
        <f t="shared" si="17"/>
        <v>0</v>
      </c>
      <c r="CN740" s="1519"/>
      <c r="CO740" s="3"/>
      <c r="CP740" s="1513">
        <f t="shared" si="18"/>
        <v>0</v>
      </c>
      <c r="CQ740" s="1514"/>
      <c r="CR740" s="1514"/>
      <c r="CS740" s="1514"/>
      <c r="CT740" s="1515"/>
      <c r="CU740" s="1507">
        <f t="shared" si="19"/>
        <v>0</v>
      </c>
      <c r="CV740" s="1507"/>
      <c r="CW740" s="1507"/>
      <c r="CX740" s="1507"/>
      <c r="CY740" s="1507"/>
      <c r="CZ740" s="1507">
        <f t="shared" si="20"/>
        <v>0</v>
      </c>
      <c r="DA740" s="1507"/>
      <c r="DB740" s="1507"/>
      <c r="DC740" s="1507"/>
      <c r="DD740" s="1507"/>
      <c r="DE740" s="1507">
        <f t="shared" si="21"/>
        <v>0</v>
      </c>
      <c r="DF740" s="1507"/>
      <c r="DG740" s="1507"/>
      <c r="DH740" s="1507"/>
      <c r="DI740" s="1507"/>
      <c r="DJ740" s="1507">
        <f t="shared" si="22"/>
        <v>0</v>
      </c>
      <c r="DK740" s="1507"/>
      <c r="DL740" s="1507"/>
      <c r="DM740" s="1507"/>
      <c r="DN740" s="1507"/>
      <c r="DO740" s="1507">
        <f t="shared" si="23"/>
        <v>0</v>
      </c>
      <c r="DP740" s="1507"/>
      <c r="DQ740" s="1507"/>
      <c r="DR740" s="1507"/>
      <c r="DS740" s="1507"/>
      <c r="DT740" s="6"/>
      <c r="DU740" s="1502">
        <f t="shared" si="24"/>
        <v>0</v>
      </c>
      <c r="DV740" s="1502"/>
      <c r="DW740" s="1502"/>
      <c r="DX740" s="1502"/>
      <c r="DY740" s="1502"/>
      <c r="DZ740" s="1502">
        <f t="shared" si="25"/>
        <v>0</v>
      </c>
      <c r="EA740" s="1502"/>
      <c r="EB740" s="1502"/>
      <c r="EC740" s="1502"/>
      <c r="ED740" s="1502"/>
      <c r="EE740" s="1502">
        <f t="shared" si="26"/>
        <v>0</v>
      </c>
      <c r="EF740" s="1502"/>
      <c r="EG740" s="1502"/>
      <c r="EH740" s="1502"/>
      <c r="EI740" s="1502"/>
      <c r="EJ740" s="1502">
        <f t="shared" si="27"/>
        <v>0</v>
      </c>
      <c r="EK740" s="1502"/>
      <c r="EL740" s="1502"/>
      <c r="EM740" s="1502"/>
      <c r="EN740" s="1502"/>
      <c r="EO740" s="1502">
        <f t="shared" si="28"/>
        <v>0</v>
      </c>
      <c r="EP740" s="1502"/>
      <c r="EQ740" s="1502"/>
      <c r="ER740" s="1502"/>
      <c r="ES740" s="1502"/>
      <c r="ET740" s="1502">
        <f t="shared" si="29"/>
        <v>0</v>
      </c>
      <c r="EU740" s="1502"/>
      <c r="EV740" s="1502"/>
      <c r="EW740" s="1502"/>
      <c r="EX740" s="1502"/>
      <c r="EZ740" s="1516" t="str">
        <f t="shared" si="30"/>
        <v/>
      </c>
      <c r="FA740" s="1522"/>
      <c r="FB740" s="1522"/>
      <c r="FC740" s="1522"/>
      <c r="FD740" s="1517"/>
      <c r="FE740" s="1516" t="str">
        <f t="shared" si="31"/>
        <v/>
      </c>
      <c r="FF740" s="1522"/>
      <c r="FG740" s="1522"/>
      <c r="FH740" s="1522"/>
      <c r="FI740" s="1517"/>
      <c r="FJ740" s="1516" t="str">
        <f t="shared" si="32"/>
        <v/>
      </c>
      <c r="FK740" s="1522"/>
      <c r="FL740" s="1522"/>
      <c r="FM740" s="1522"/>
      <c r="FN740" s="1517"/>
      <c r="FO740" s="1516" t="str">
        <f t="shared" si="33"/>
        <v/>
      </c>
      <c r="FP740" s="1522"/>
      <c r="FQ740" s="1522"/>
      <c r="FR740" s="1522"/>
      <c r="FS740" s="1517"/>
      <c r="FT740" s="1516" t="str">
        <f t="shared" si="34"/>
        <v/>
      </c>
      <c r="FU740" s="1522"/>
      <c r="FV740" s="1522"/>
      <c r="FW740" s="1522"/>
      <c r="FX740" s="1517"/>
      <c r="FY740" s="1516" t="str">
        <f t="shared" si="35"/>
        <v/>
      </c>
      <c r="FZ740" s="1522"/>
      <c r="GA740" s="1522"/>
      <c r="GB740" s="1522"/>
      <c r="GC740" s="1517"/>
    </row>
    <row r="741" spans="1:185" ht="12.95" customHeight="1">
      <c r="B741" s="1364"/>
      <c r="C741" s="1365"/>
      <c r="D741" s="1365"/>
      <c r="E741" s="1365"/>
      <c r="F741" s="1366"/>
      <c r="G741" s="1348"/>
      <c r="H741" s="1349"/>
      <c r="I741" s="1349"/>
      <c r="J741" s="1350"/>
      <c r="K741" s="1418"/>
      <c r="L741" s="1419"/>
      <c r="M741" s="1419"/>
      <c r="N741" s="1420"/>
      <c r="O741" s="1358"/>
      <c r="P741" s="1359"/>
      <c r="Q741" s="1359"/>
      <c r="R741" s="1359"/>
      <c r="S741" s="1360"/>
      <c r="T741" s="1358"/>
      <c r="U741" s="1359"/>
      <c r="V741" s="1359"/>
      <c r="W741" s="1360"/>
      <c r="X741" s="1355">
        <f t="shared" si="8"/>
        <v>0</v>
      </c>
      <c r="Y741" s="1356"/>
      <c r="Z741" s="1356"/>
      <c r="AA741" s="1356"/>
      <c r="AB741" s="1357"/>
      <c r="AC741" s="1430"/>
      <c r="AD741" s="1431"/>
      <c r="AE741" s="1431"/>
      <c r="AF741" s="1431"/>
      <c r="AG741" s="1432"/>
      <c r="AH741" s="1361" t="str">
        <f t="shared" si="36"/>
        <v/>
      </c>
      <c r="AI741" s="1362"/>
      <c r="AJ741" s="1363"/>
      <c r="AK741" s="1364" t="s">
        <v>591</v>
      </c>
      <c r="AL741" s="1365"/>
      <c r="AM741" s="1365"/>
      <c r="AN741" s="1365"/>
      <c r="AO741" s="1366"/>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516">
        <f t="shared" si="37"/>
        <v>0</v>
      </c>
      <c r="CH741" s="1517"/>
      <c r="CI741" s="1518">
        <f t="shared" si="38"/>
        <v>0</v>
      </c>
      <c r="CJ741" s="1519"/>
      <c r="CK741" s="1516">
        <f t="shared" si="16"/>
        <v>0</v>
      </c>
      <c r="CL741" s="1517"/>
      <c r="CM741" s="1518">
        <f t="shared" si="17"/>
        <v>0</v>
      </c>
      <c r="CN741" s="1519"/>
      <c r="CO741" s="3"/>
      <c r="CP741" s="1513">
        <f t="shared" si="18"/>
        <v>0</v>
      </c>
      <c r="CQ741" s="1514"/>
      <c r="CR741" s="1514"/>
      <c r="CS741" s="1514"/>
      <c r="CT741" s="1515"/>
      <c r="CU741" s="1507">
        <f t="shared" si="19"/>
        <v>0</v>
      </c>
      <c r="CV741" s="1507"/>
      <c r="CW741" s="1507"/>
      <c r="CX741" s="1507"/>
      <c r="CY741" s="1507"/>
      <c r="CZ741" s="1507">
        <f t="shared" si="20"/>
        <v>0</v>
      </c>
      <c r="DA741" s="1507"/>
      <c r="DB741" s="1507"/>
      <c r="DC741" s="1507"/>
      <c r="DD741" s="1507"/>
      <c r="DE741" s="1507">
        <f t="shared" si="21"/>
        <v>0</v>
      </c>
      <c r="DF741" s="1507"/>
      <c r="DG741" s="1507"/>
      <c r="DH741" s="1507"/>
      <c r="DI741" s="1507"/>
      <c r="DJ741" s="1507">
        <f t="shared" si="22"/>
        <v>0</v>
      </c>
      <c r="DK741" s="1507"/>
      <c r="DL741" s="1507"/>
      <c r="DM741" s="1507"/>
      <c r="DN741" s="1507"/>
      <c r="DO741" s="1507">
        <f t="shared" si="23"/>
        <v>0</v>
      </c>
      <c r="DP741" s="1507"/>
      <c r="DQ741" s="1507"/>
      <c r="DR741" s="1507"/>
      <c r="DS741" s="1507"/>
      <c r="DT741" s="6"/>
      <c r="DU741" s="1502">
        <f t="shared" si="24"/>
        <v>0</v>
      </c>
      <c r="DV741" s="1502"/>
      <c r="DW741" s="1502"/>
      <c r="DX741" s="1502"/>
      <c r="DY741" s="1502"/>
      <c r="DZ741" s="1502">
        <f t="shared" si="25"/>
        <v>0</v>
      </c>
      <c r="EA741" s="1502"/>
      <c r="EB741" s="1502"/>
      <c r="EC741" s="1502"/>
      <c r="ED741" s="1502"/>
      <c r="EE741" s="1502">
        <f t="shared" si="26"/>
        <v>0</v>
      </c>
      <c r="EF741" s="1502"/>
      <c r="EG741" s="1502"/>
      <c r="EH741" s="1502"/>
      <c r="EI741" s="1502"/>
      <c r="EJ741" s="1502">
        <f t="shared" si="27"/>
        <v>0</v>
      </c>
      <c r="EK741" s="1502"/>
      <c r="EL741" s="1502"/>
      <c r="EM741" s="1502"/>
      <c r="EN741" s="1502"/>
      <c r="EO741" s="1502">
        <f t="shared" si="28"/>
        <v>0</v>
      </c>
      <c r="EP741" s="1502"/>
      <c r="EQ741" s="1502"/>
      <c r="ER741" s="1502"/>
      <c r="ES741" s="1502"/>
      <c r="ET741" s="1502">
        <f t="shared" si="29"/>
        <v>0</v>
      </c>
      <c r="EU741" s="1502"/>
      <c r="EV741" s="1502"/>
      <c r="EW741" s="1502"/>
      <c r="EX741" s="1502"/>
      <c r="EZ741" s="1516" t="str">
        <f t="shared" si="30"/>
        <v/>
      </c>
      <c r="FA741" s="1522"/>
      <c r="FB741" s="1522"/>
      <c r="FC741" s="1522"/>
      <c r="FD741" s="1517"/>
      <c r="FE741" s="1516" t="str">
        <f t="shared" si="31"/>
        <v/>
      </c>
      <c r="FF741" s="1522"/>
      <c r="FG741" s="1522"/>
      <c r="FH741" s="1522"/>
      <c r="FI741" s="1517"/>
      <c r="FJ741" s="1516" t="str">
        <f t="shared" si="32"/>
        <v/>
      </c>
      <c r="FK741" s="1522"/>
      <c r="FL741" s="1522"/>
      <c r="FM741" s="1522"/>
      <c r="FN741" s="1517"/>
      <c r="FO741" s="1516" t="str">
        <f t="shared" si="33"/>
        <v/>
      </c>
      <c r="FP741" s="1522"/>
      <c r="FQ741" s="1522"/>
      <c r="FR741" s="1522"/>
      <c r="FS741" s="1517"/>
      <c r="FT741" s="1516" t="str">
        <f t="shared" si="34"/>
        <v/>
      </c>
      <c r="FU741" s="1522"/>
      <c r="FV741" s="1522"/>
      <c r="FW741" s="1522"/>
      <c r="FX741" s="1517"/>
      <c r="FY741" s="1516" t="str">
        <f t="shared" si="35"/>
        <v/>
      </c>
      <c r="FZ741" s="1522"/>
      <c r="GA741" s="1522"/>
      <c r="GB741" s="1522"/>
      <c r="GC741" s="1517"/>
    </row>
    <row r="742" spans="1:185" ht="12.95" customHeight="1">
      <c r="B742" s="1364"/>
      <c r="C742" s="1365"/>
      <c r="D742" s="1365"/>
      <c r="E742" s="1365"/>
      <c r="F742" s="1366"/>
      <c r="G742" s="1348"/>
      <c r="H742" s="1349"/>
      <c r="I742" s="1349"/>
      <c r="J742" s="1350"/>
      <c r="K742" s="1418"/>
      <c r="L742" s="1419"/>
      <c r="M742" s="1419"/>
      <c r="N742" s="1420"/>
      <c r="O742" s="1358"/>
      <c r="P742" s="1359"/>
      <c r="Q742" s="1359"/>
      <c r="R742" s="1359"/>
      <c r="S742" s="1360"/>
      <c r="T742" s="1358"/>
      <c r="U742" s="1359"/>
      <c r="V742" s="1359"/>
      <c r="W742" s="1360"/>
      <c r="X742" s="1355">
        <f t="shared" ref="X742:X751" si="39">O742+T742</f>
        <v>0</v>
      </c>
      <c r="Y742" s="1356"/>
      <c r="Z742" s="1356"/>
      <c r="AA742" s="1356"/>
      <c r="AB742" s="1357"/>
      <c r="AC742" s="1430"/>
      <c r="AD742" s="1431"/>
      <c r="AE742" s="1431"/>
      <c r="AF742" s="1431"/>
      <c r="AG742" s="1432"/>
      <c r="AH742" s="1361" t="str">
        <f t="shared" si="36"/>
        <v/>
      </c>
      <c r="AI742" s="1362"/>
      <c r="AJ742" s="1363"/>
      <c r="AK742" s="1364" t="s">
        <v>591</v>
      </c>
      <c r="AL742" s="1365"/>
      <c r="AM742" s="1365"/>
      <c r="AN742" s="1365"/>
      <c r="AO742" s="1366"/>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516">
        <f t="shared" si="37"/>
        <v>0</v>
      </c>
      <c r="CH742" s="1517"/>
      <c r="CI742" s="1518">
        <f t="shared" si="38"/>
        <v>0</v>
      </c>
      <c r="CJ742" s="1519"/>
      <c r="CK742" s="1516">
        <f t="shared" si="16"/>
        <v>0</v>
      </c>
      <c r="CL742" s="1517"/>
      <c r="CM742" s="1518">
        <f t="shared" si="17"/>
        <v>0</v>
      </c>
      <c r="CN742" s="1519"/>
      <c r="CO742" s="3"/>
      <c r="CP742" s="1513">
        <f t="shared" si="18"/>
        <v>0</v>
      </c>
      <c r="CQ742" s="1514"/>
      <c r="CR742" s="1514"/>
      <c r="CS742" s="1514"/>
      <c r="CT742" s="1515"/>
      <c r="CU742" s="1507">
        <f t="shared" si="19"/>
        <v>0</v>
      </c>
      <c r="CV742" s="1507"/>
      <c r="CW742" s="1507"/>
      <c r="CX742" s="1507"/>
      <c r="CY742" s="1507"/>
      <c r="CZ742" s="1507">
        <f t="shared" si="20"/>
        <v>0</v>
      </c>
      <c r="DA742" s="1507"/>
      <c r="DB742" s="1507"/>
      <c r="DC742" s="1507"/>
      <c r="DD742" s="1507"/>
      <c r="DE742" s="1507">
        <f t="shared" si="21"/>
        <v>0</v>
      </c>
      <c r="DF742" s="1507"/>
      <c r="DG742" s="1507"/>
      <c r="DH742" s="1507"/>
      <c r="DI742" s="1507"/>
      <c r="DJ742" s="1507">
        <f t="shared" si="22"/>
        <v>0</v>
      </c>
      <c r="DK742" s="1507"/>
      <c r="DL742" s="1507"/>
      <c r="DM742" s="1507"/>
      <c r="DN742" s="1507"/>
      <c r="DO742" s="1507">
        <f t="shared" si="23"/>
        <v>0</v>
      </c>
      <c r="DP742" s="1507"/>
      <c r="DQ742" s="1507"/>
      <c r="DR742" s="1507"/>
      <c r="DS742" s="1507"/>
      <c r="DT742" s="6"/>
      <c r="DU742" s="1502">
        <f t="shared" si="24"/>
        <v>0</v>
      </c>
      <c r="DV742" s="1502"/>
      <c r="DW742" s="1502"/>
      <c r="DX742" s="1502"/>
      <c r="DY742" s="1502"/>
      <c r="DZ742" s="1502">
        <f t="shared" si="25"/>
        <v>0</v>
      </c>
      <c r="EA742" s="1502"/>
      <c r="EB742" s="1502"/>
      <c r="EC742" s="1502"/>
      <c r="ED742" s="1502"/>
      <c r="EE742" s="1502">
        <f t="shared" si="26"/>
        <v>0</v>
      </c>
      <c r="EF742" s="1502"/>
      <c r="EG742" s="1502"/>
      <c r="EH742" s="1502"/>
      <c r="EI742" s="1502"/>
      <c r="EJ742" s="1502">
        <f t="shared" si="27"/>
        <v>0</v>
      </c>
      <c r="EK742" s="1502"/>
      <c r="EL742" s="1502"/>
      <c r="EM742" s="1502"/>
      <c r="EN742" s="1502"/>
      <c r="EO742" s="1502">
        <f t="shared" si="28"/>
        <v>0</v>
      </c>
      <c r="EP742" s="1502"/>
      <c r="EQ742" s="1502"/>
      <c r="ER742" s="1502"/>
      <c r="ES742" s="1502"/>
      <c r="ET742" s="1502">
        <f t="shared" si="29"/>
        <v>0</v>
      </c>
      <c r="EU742" s="1502"/>
      <c r="EV742" s="1502"/>
      <c r="EW742" s="1502"/>
      <c r="EX742" s="1502"/>
      <c r="EZ742" s="1516" t="str">
        <f t="shared" si="30"/>
        <v/>
      </c>
      <c r="FA742" s="1522"/>
      <c r="FB742" s="1522"/>
      <c r="FC742" s="1522"/>
      <c r="FD742" s="1517"/>
      <c r="FE742" s="1516" t="str">
        <f t="shared" si="31"/>
        <v/>
      </c>
      <c r="FF742" s="1522"/>
      <c r="FG742" s="1522"/>
      <c r="FH742" s="1522"/>
      <c r="FI742" s="1517"/>
      <c r="FJ742" s="1516" t="str">
        <f t="shared" si="32"/>
        <v/>
      </c>
      <c r="FK742" s="1522"/>
      <c r="FL742" s="1522"/>
      <c r="FM742" s="1522"/>
      <c r="FN742" s="1517"/>
      <c r="FO742" s="1516" t="str">
        <f t="shared" si="33"/>
        <v/>
      </c>
      <c r="FP742" s="1522"/>
      <c r="FQ742" s="1522"/>
      <c r="FR742" s="1522"/>
      <c r="FS742" s="1517"/>
      <c r="FT742" s="1516" t="str">
        <f t="shared" si="34"/>
        <v/>
      </c>
      <c r="FU742" s="1522"/>
      <c r="FV742" s="1522"/>
      <c r="FW742" s="1522"/>
      <c r="FX742" s="1517"/>
      <c r="FY742" s="1516" t="str">
        <f t="shared" si="35"/>
        <v/>
      </c>
      <c r="FZ742" s="1522"/>
      <c r="GA742" s="1522"/>
      <c r="GB742" s="1522"/>
      <c r="GC742" s="1517"/>
    </row>
    <row r="743" spans="1:185" s="3" customFormat="1" ht="12.95" customHeight="1">
      <c r="A743"/>
      <c r="B743" s="1364"/>
      <c r="C743" s="1365"/>
      <c r="D743" s="1365"/>
      <c r="E743" s="1365"/>
      <c r="F743" s="1366"/>
      <c r="G743" s="1348"/>
      <c r="H743" s="1349"/>
      <c r="I743" s="1349"/>
      <c r="J743" s="1350"/>
      <c r="K743" s="1418"/>
      <c r="L743" s="1419"/>
      <c r="M743" s="1419"/>
      <c r="N743" s="1420"/>
      <c r="O743" s="1358"/>
      <c r="P743" s="1359"/>
      <c r="Q743" s="1359"/>
      <c r="R743" s="1359"/>
      <c r="S743" s="1360"/>
      <c r="T743" s="1358"/>
      <c r="U743" s="1359"/>
      <c r="V743" s="1359"/>
      <c r="W743" s="1360"/>
      <c r="X743" s="1355">
        <f t="shared" si="39"/>
        <v>0</v>
      </c>
      <c r="Y743" s="1356"/>
      <c r="Z743" s="1356"/>
      <c r="AA743" s="1356"/>
      <c r="AB743" s="1357"/>
      <c r="AC743" s="1430"/>
      <c r="AD743" s="1431"/>
      <c r="AE743" s="1431"/>
      <c r="AF743" s="1431"/>
      <c r="AG743" s="1432"/>
      <c r="AH743" s="1361" t="str">
        <f t="shared" si="36"/>
        <v/>
      </c>
      <c r="AI743" s="1362"/>
      <c r="AJ743" s="1363"/>
      <c r="AK743" s="1364" t="s">
        <v>591</v>
      </c>
      <c r="AL743" s="1365"/>
      <c r="AM743" s="1365"/>
      <c r="AN743" s="1365"/>
      <c r="AO743" s="1366"/>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516">
        <f t="shared" si="37"/>
        <v>0</v>
      </c>
      <c r="CH743" s="1517"/>
      <c r="CI743" s="1518">
        <f t="shared" si="38"/>
        <v>0</v>
      </c>
      <c r="CJ743" s="1519"/>
      <c r="CK743" s="1516">
        <f t="shared" si="16"/>
        <v>0</v>
      </c>
      <c r="CL743" s="1517"/>
      <c r="CM743" s="1518">
        <f t="shared" si="17"/>
        <v>0</v>
      </c>
      <c r="CN743" s="1519"/>
      <c r="CP743" s="1513">
        <f t="shared" si="18"/>
        <v>0</v>
      </c>
      <c r="CQ743" s="1514"/>
      <c r="CR743" s="1514"/>
      <c r="CS743" s="1514"/>
      <c r="CT743" s="1515"/>
      <c r="CU743" s="1507">
        <f t="shared" si="19"/>
        <v>0</v>
      </c>
      <c r="CV743" s="1507"/>
      <c r="CW743" s="1507"/>
      <c r="CX743" s="1507"/>
      <c r="CY743" s="1507"/>
      <c r="CZ743" s="1507">
        <f t="shared" si="20"/>
        <v>0</v>
      </c>
      <c r="DA743" s="1507"/>
      <c r="DB743" s="1507"/>
      <c r="DC743" s="1507"/>
      <c r="DD743" s="1507"/>
      <c r="DE743" s="1507">
        <f t="shared" si="21"/>
        <v>0</v>
      </c>
      <c r="DF743" s="1507"/>
      <c r="DG743" s="1507"/>
      <c r="DH743" s="1507"/>
      <c r="DI743" s="1507"/>
      <c r="DJ743" s="1507">
        <f t="shared" si="22"/>
        <v>0</v>
      </c>
      <c r="DK743" s="1507"/>
      <c r="DL743" s="1507"/>
      <c r="DM743" s="1507"/>
      <c r="DN743" s="1507"/>
      <c r="DO743" s="1507">
        <f t="shared" si="23"/>
        <v>0</v>
      </c>
      <c r="DP743" s="1507"/>
      <c r="DQ743" s="1507"/>
      <c r="DR743" s="1507"/>
      <c r="DS743" s="1507"/>
      <c r="DT743" s="6"/>
      <c r="DU743" s="1502">
        <f t="shared" si="24"/>
        <v>0</v>
      </c>
      <c r="DV743" s="1502"/>
      <c r="DW743" s="1502"/>
      <c r="DX743" s="1502"/>
      <c r="DY743" s="1502"/>
      <c r="DZ743" s="1502">
        <f t="shared" si="25"/>
        <v>0</v>
      </c>
      <c r="EA743" s="1502"/>
      <c r="EB743" s="1502"/>
      <c r="EC743" s="1502"/>
      <c r="ED743" s="1502"/>
      <c r="EE743" s="1502">
        <f t="shared" si="26"/>
        <v>0</v>
      </c>
      <c r="EF743" s="1502"/>
      <c r="EG743" s="1502"/>
      <c r="EH743" s="1502"/>
      <c r="EI743" s="1502"/>
      <c r="EJ743" s="1502">
        <f t="shared" si="27"/>
        <v>0</v>
      </c>
      <c r="EK743" s="1502"/>
      <c r="EL743" s="1502"/>
      <c r="EM743" s="1502"/>
      <c r="EN743" s="1502"/>
      <c r="EO743" s="1502">
        <f t="shared" si="28"/>
        <v>0</v>
      </c>
      <c r="EP743" s="1502"/>
      <c r="EQ743" s="1502"/>
      <c r="ER743" s="1502"/>
      <c r="ES743" s="1502"/>
      <c r="ET743" s="1502">
        <f t="shared" si="29"/>
        <v>0</v>
      </c>
      <c r="EU743" s="1502"/>
      <c r="EV743" s="1502"/>
      <c r="EW743" s="1502"/>
      <c r="EX743" s="1502"/>
      <c r="EY743"/>
      <c r="EZ743" s="1516" t="str">
        <f t="shared" si="30"/>
        <v/>
      </c>
      <c r="FA743" s="1522"/>
      <c r="FB743" s="1522"/>
      <c r="FC743" s="1522"/>
      <c r="FD743" s="1517"/>
      <c r="FE743" s="1516" t="str">
        <f t="shared" si="31"/>
        <v/>
      </c>
      <c r="FF743" s="1522"/>
      <c r="FG743" s="1522"/>
      <c r="FH743" s="1522"/>
      <c r="FI743" s="1517"/>
      <c r="FJ743" s="1516" t="str">
        <f t="shared" si="32"/>
        <v/>
      </c>
      <c r="FK743" s="1522"/>
      <c r="FL743" s="1522"/>
      <c r="FM743" s="1522"/>
      <c r="FN743" s="1517"/>
      <c r="FO743" s="1516" t="str">
        <f t="shared" si="33"/>
        <v/>
      </c>
      <c r="FP743" s="1522"/>
      <c r="FQ743" s="1522"/>
      <c r="FR743" s="1522"/>
      <c r="FS743" s="1517"/>
      <c r="FT743" s="1516" t="str">
        <f t="shared" si="34"/>
        <v/>
      </c>
      <c r="FU743" s="1522"/>
      <c r="FV743" s="1522"/>
      <c r="FW743" s="1522"/>
      <c r="FX743" s="1517"/>
      <c r="FY743" s="1516" t="str">
        <f t="shared" si="35"/>
        <v/>
      </c>
      <c r="FZ743" s="1522"/>
      <c r="GA743" s="1522"/>
      <c r="GB743" s="1522"/>
      <c r="GC743" s="1517"/>
    </row>
    <row r="744" spans="1:185" ht="12.95" customHeight="1">
      <c r="B744" s="1364"/>
      <c r="C744" s="1365"/>
      <c r="D744" s="1365"/>
      <c r="E744" s="1365"/>
      <c r="F744" s="1366"/>
      <c r="G744" s="1348"/>
      <c r="H744" s="1349"/>
      <c r="I744" s="1349"/>
      <c r="J744" s="1350"/>
      <c r="K744" s="1418"/>
      <c r="L744" s="1419"/>
      <c r="M744" s="1419"/>
      <c r="N744" s="1420"/>
      <c r="O744" s="1358"/>
      <c r="P744" s="1359"/>
      <c r="Q744" s="1359"/>
      <c r="R744" s="1359"/>
      <c r="S744" s="1360"/>
      <c r="T744" s="1358"/>
      <c r="U744" s="1359"/>
      <c r="V744" s="1359"/>
      <c r="W744" s="1360"/>
      <c r="X744" s="1355">
        <f t="shared" si="39"/>
        <v>0</v>
      </c>
      <c r="Y744" s="1356"/>
      <c r="Z744" s="1356"/>
      <c r="AA744" s="1356"/>
      <c r="AB744" s="1357"/>
      <c r="AC744" s="1430"/>
      <c r="AD744" s="1431"/>
      <c r="AE744" s="1431"/>
      <c r="AF744" s="1431"/>
      <c r="AG744" s="1432"/>
      <c r="AH744" s="1361" t="str">
        <f t="shared" si="36"/>
        <v/>
      </c>
      <c r="AI744" s="1362"/>
      <c r="AJ744" s="1363"/>
      <c r="AK744" s="1364" t="s">
        <v>591</v>
      </c>
      <c r="AL744" s="1365"/>
      <c r="AM744" s="1365"/>
      <c r="AN744" s="1365"/>
      <c r="AO744" s="1366"/>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516">
        <f t="shared" si="37"/>
        <v>0</v>
      </c>
      <c r="CH744" s="1517"/>
      <c r="CI744" s="1518">
        <f t="shared" si="38"/>
        <v>0</v>
      </c>
      <c r="CJ744" s="1519"/>
      <c r="CK744" s="1516">
        <f t="shared" si="16"/>
        <v>0</v>
      </c>
      <c r="CL744" s="1517"/>
      <c r="CM744" s="1518">
        <f t="shared" si="17"/>
        <v>0</v>
      </c>
      <c r="CN744" s="1519"/>
      <c r="CO744" s="3"/>
      <c r="CP744" s="1513">
        <f t="shared" si="18"/>
        <v>0</v>
      </c>
      <c r="CQ744" s="1514"/>
      <c r="CR744" s="1514"/>
      <c r="CS744" s="1514"/>
      <c r="CT744" s="1515"/>
      <c r="CU744" s="1507">
        <f t="shared" si="19"/>
        <v>0</v>
      </c>
      <c r="CV744" s="1507"/>
      <c r="CW744" s="1507"/>
      <c r="CX744" s="1507"/>
      <c r="CY744" s="1507"/>
      <c r="CZ744" s="1507">
        <f t="shared" si="20"/>
        <v>0</v>
      </c>
      <c r="DA744" s="1507"/>
      <c r="DB744" s="1507"/>
      <c r="DC744" s="1507"/>
      <c r="DD744" s="1507"/>
      <c r="DE744" s="1507">
        <f t="shared" si="21"/>
        <v>0</v>
      </c>
      <c r="DF744" s="1507"/>
      <c r="DG744" s="1507"/>
      <c r="DH744" s="1507"/>
      <c r="DI744" s="1507"/>
      <c r="DJ744" s="1507">
        <f t="shared" si="22"/>
        <v>0</v>
      </c>
      <c r="DK744" s="1507"/>
      <c r="DL744" s="1507"/>
      <c r="DM744" s="1507"/>
      <c r="DN744" s="1507"/>
      <c r="DO744" s="1507">
        <f t="shared" si="23"/>
        <v>0</v>
      </c>
      <c r="DP744" s="1507"/>
      <c r="DQ744" s="1507"/>
      <c r="DR744" s="1507"/>
      <c r="DS744" s="1507"/>
      <c r="DT744" s="6"/>
      <c r="DU744" s="1502">
        <f t="shared" si="24"/>
        <v>0</v>
      </c>
      <c r="DV744" s="1502"/>
      <c r="DW744" s="1502"/>
      <c r="DX744" s="1502"/>
      <c r="DY744" s="1502"/>
      <c r="DZ744" s="1502">
        <f t="shared" si="25"/>
        <v>0</v>
      </c>
      <c r="EA744" s="1502"/>
      <c r="EB744" s="1502"/>
      <c r="EC744" s="1502"/>
      <c r="ED744" s="1502"/>
      <c r="EE744" s="1502">
        <f t="shared" si="26"/>
        <v>0</v>
      </c>
      <c r="EF744" s="1502"/>
      <c r="EG744" s="1502"/>
      <c r="EH744" s="1502"/>
      <c r="EI744" s="1502"/>
      <c r="EJ744" s="1502">
        <f t="shared" si="27"/>
        <v>0</v>
      </c>
      <c r="EK744" s="1502"/>
      <c r="EL744" s="1502"/>
      <c r="EM744" s="1502"/>
      <c r="EN744" s="1502"/>
      <c r="EO744" s="1502">
        <f t="shared" si="28"/>
        <v>0</v>
      </c>
      <c r="EP744" s="1502"/>
      <c r="EQ744" s="1502"/>
      <c r="ER744" s="1502"/>
      <c r="ES744" s="1502"/>
      <c r="ET744" s="1502">
        <f t="shared" si="29"/>
        <v>0</v>
      </c>
      <c r="EU744" s="1502"/>
      <c r="EV744" s="1502"/>
      <c r="EW744" s="1502"/>
      <c r="EX744" s="1502"/>
      <c r="EZ744" s="1516" t="str">
        <f t="shared" si="30"/>
        <v/>
      </c>
      <c r="FA744" s="1522"/>
      <c r="FB744" s="1522"/>
      <c r="FC744" s="1522"/>
      <c r="FD744" s="1517"/>
      <c r="FE744" s="1516" t="str">
        <f t="shared" si="31"/>
        <v/>
      </c>
      <c r="FF744" s="1522"/>
      <c r="FG744" s="1522"/>
      <c r="FH744" s="1522"/>
      <c r="FI744" s="1517"/>
      <c r="FJ744" s="1516" t="str">
        <f t="shared" si="32"/>
        <v/>
      </c>
      <c r="FK744" s="1522"/>
      <c r="FL744" s="1522"/>
      <c r="FM744" s="1522"/>
      <c r="FN744" s="1517"/>
      <c r="FO744" s="1516" t="str">
        <f t="shared" si="33"/>
        <v/>
      </c>
      <c r="FP744" s="1522"/>
      <c r="FQ744" s="1522"/>
      <c r="FR744" s="1522"/>
      <c r="FS744" s="1517"/>
      <c r="FT744" s="1516" t="str">
        <f t="shared" si="34"/>
        <v/>
      </c>
      <c r="FU744" s="1522"/>
      <c r="FV744" s="1522"/>
      <c r="FW744" s="1522"/>
      <c r="FX744" s="1517"/>
      <c r="FY744" s="1516" t="str">
        <f t="shared" si="35"/>
        <v/>
      </c>
      <c r="FZ744" s="1522"/>
      <c r="GA744" s="1522"/>
      <c r="GB744" s="1522"/>
      <c r="GC744" s="1517"/>
    </row>
    <row r="745" spans="1:185" ht="12.95" customHeight="1">
      <c r="B745" s="1364"/>
      <c r="C745" s="1365"/>
      <c r="D745" s="1365"/>
      <c r="E745" s="1365"/>
      <c r="F745" s="1366"/>
      <c r="G745" s="1348"/>
      <c r="H745" s="1349"/>
      <c r="I745" s="1349"/>
      <c r="J745" s="1350"/>
      <c r="K745" s="1418"/>
      <c r="L745" s="1419"/>
      <c r="M745" s="1419"/>
      <c r="N745" s="1420"/>
      <c r="O745" s="1358"/>
      <c r="P745" s="1359"/>
      <c r="Q745" s="1359"/>
      <c r="R745" s="1359"/>
      <c r="S745" s="1360"/>
      <c r="T745" s="1358"/>
      <c r="U745" s="1359"/>
      <c r="V745" s="1359"/>
      <c r="W745" s="1360"/>
      <c r="X745" s="1355">
        <f t="shared" si="39"/>
        <v>0</v>
      </c>
      <c r="Y745" s="1356"/>
      <c r="Z745" s="1356"/>
      <c r="AA745" s="1356"/>
      <c r="AB745" s="1357"/>
      <c r="AC745" s="1430"/>
      <c r="AD745" s="1431"/>
      <c r="AE745" s="1431"/>
      <c r="AF745" s="1431"/>
      <c r="AG745" s="1432"/>
      <c r="AH745" s="1361" t="str">
        <f t="shared" si="36"/>
        <v/>
      </c>
      <c r="AI745" s="1362"/>
      <c r="AJ745" s="1363"/>
      <c r="AK745" s="1364" t="s">
        <v>591</v>
      </c>
      <c r="AL745" s="1365"/>
      <c r="AM745" s="1365"/>
      <c r="AN745" s="1365"/>
      <c r="AO745" s="1366"/>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516">
        <f t="shared" si="37"/>
        <v>0</v>
      </c>
      <c r="CH745" s="1517"/>
      <c r="CI745" s="1518">
        <f t="shared" si="38"/>
        <v>0</v>
      </c>
      <c r="CJ745" s="1519"/>
      <c r="CK745" s="1516">
        <f t="shared" si="16"/>
        <v>0</v>
      </c>
      <c r="CL745" s="1517"/>
      <c r="CM745" s="1518">
        <f t="shared" si="17"/>
        <v>0</v>
      </c>
      <c r="CN745" s="1519"/>
      <c r="CO745" s="3"/>
      <c r="CP745" s="1513">
        <f t="shared" si="18"/>
        <v>0</v>
      </c>
      <c r="CQ745" s="1514"/>
      <c r="CR745" s="1514"/>
      <c r="CS745" s="1514"/>
      <c r="CT745" s="1515"/>
      <c r="CU745" s="1507">
        <f t="shared" si="19"/>
        <v>0</v>
      </c>
      <c r="CV745" s="1507"/>
      <c r="CW745" s="1507"/>
      <c r="CX745" s="1507"/>
      <c r="CY745" s="1507"/>
      <c r="CZ745" s="1507">
        <f t="shared" si="20"/>
        <v>0</v>
      </c>
      <c r="DA745" s="1507"/>
      <c r="DB745" s="1507"/>
      <c r="DC745" s="1507"/>
      <c r="DD745" s="1507"/>
      <c r="DE745" s="1507">
        <f t="shared" si="21"/>
        <v>0</v>
      </c>
      <c r="DF745" s="1507"/>
      <c r="DG745" s="1507"/>
      <c r="DH745" s="1507"/>
      <c r="DI745" s="1507"/>
      <c r="DJ745" s="1507">
        <f t="shared" si="22"/>
        <v>0</v>
      </c>
      <c r="DK745" s="1507"/>
      <c r="DL745" s="1507"/>
      <c r="DM745" s="1507"/>
      <c r="DN745" s="1507"/>
      <c r="DO745" s="1507">
        <f t="shared" si="23"/>
        <v>0</v>
      </c>
      <c r="DP745" s="1507"/>
      <c r="DQ745" s="1507"/>
      <c r="DR745" s="1507"/>
      <c r="DS745" s="1507"/>
      <c r="DT745" s="6"/>
      <c r="DU745" s="1502">
        <f t="shared" si="24"/>
        <v>0</v>
      </c>
      <c r="DV745" s="1502"/>
      <c r="DW745" s="1502"/>
      <c r="DX745" s="1502"/>
      <c r="DY745" s="1502"/>
      <c r="DZ745" s="1502">
        <f t="shared" si="25"/>
        <v>0</v>
      </c>
      <c r="EA745" s="1502"/>
      <c r="EB745" s="1502"/>
      <c r="EC745" s="1502"/>
      <c r="ED745" s="1502"/>
      <c r="EE745" s="1502">
        <f t="shared" si="26"/>
        <v>0</v>
      </c>
      <c r="EF745" s="1502"/>
      <c r="EG745" s="1502"/>
      <c r="EH745" s="1502"/>
      <c r="EI745" s="1502"/>
      <c r="EJ745" s="1502">
        <f t="shared" si="27"/>
        <v>0</v>
      </c>
      <c r="EK745" s="1502"/>
      <c r="EL745" s="1502"/>
      <c r="EM745" s="1502"/>
      <c r="EN745" s="1502"/>
      <c r="EO745" s="1502">
        <f t="shared" si="28"/>
        <v>0</v>
      </c>
      <c r="EP745" s="1502"/>
      <c r="EQ745" s="1502"/>
      <c r="ER745" s="1502"/>
      <c r="ES745" s="1502"/>
      <c r="ET745" s="1502">
        <f t="shared" si="29"/>
        <v>0</v>
      </c>
      <c r="EU745" s="1502"/>
      <c r="EV745" s="1502"/>
      <c r="EW745" s="1502"/>
      <c r="EX745" s="1502"/>
      <c r="EZ745" s="1516" t="str">
        <f t="shared" si="30"/>
        <v/>
      </c>
      <c r="FA745" s="1522"/>
      <c r="FB745" s="1522"/>
      <c r="FC745" s="1522"/>
      <c r="FD745" s="1517"/>
      <c r="FE745" s="1516" t="str">
        <f t="shared" si="31"/>
        <v/>
      </c>
      <c r="FF745" s="1522"/>
      <c r="FG745" s="1522"/>
      <c r="FH745" s="1522"/>
      <c r="FI745" s="1517"/>
      <c r="FJ745" s="1516" t="str">
        <f t="shared" si="32"/>
        <v/>
      </c>
      <c r="FK745" s="1522"/>
      <c r="FL745" s="1522"/>
      <c r="FM745" s="1522"/>
      <c r="FN745" s="1517"/>
      <c r="FO745" s="1516" t="str">
        <f t="shared" si="33"/>
        <v/>
      </c>
      <c r="FP745" s="1522"/>
      <c r="FQ745" s="1522"/>
      <c r="FR745" s="1522"/>
      <c r="FS745" s="1517"/>
      <c r="FT745" s="1516" t="str">
        <f t="shared" si="34"/>
        <v/>
      </c>
      <c r="FU745" s="1522"/>
      <c r="FV745" s="1522"/>
      <c r="FW745" s="1522"/>
      <c r="FX745" s="1517"/>
      <c r="FY745" s="1516" t="str">
        <f t="shared" si="35"/>
        <v/>
      </c>
      <c r="FZ745" s="1522"/>
      <c r="GA745" s="1522"/>
      <c r="GB745" s="1522"/>
      <c r="GC745" s="1517"/>
    </row>
    <row r="746" spans="1:185" ht="12.95" customHeight="1">
      <c r="B746" s="1364"/>
      <c r="C746" s="1365"/>
      <c r="D746" s="1365"/>
      <c r="E746" s="1365"/>
      <c r="F746" s="1366"/>
      <c r="G746" s="1348"/>
      <c r="H746" s="1349"/>
      <c r="I746" s="1349"/>
      <c r="J746" s="1350"/>
      <c r="K746" s="1418"/>
      <c r="L746" s="1419"/>
      <c r="M746" s="1419"/>
      <c r="N746" s="1420"/>
      <c r="O746" s="1358"/>
      <c r="P746" s="1359"/>
      <c r="Q746" s="1359"/>
      <c r="R746" s="1359"/>
      <c r="S746" s="1360"/>
      <c r="T746" s="1358"/>
      <c r="U746" s="1359"/>
      <c r="V746" s="1359"/>
      <c r="W746" s="1360"/>
      <c r="X746" s="1355">
        <f t="shared" si="39"/>
        <v>0</v>
      </c>
      <c r="Y746" s="1356"/>
      <c r="Z746" s="1356"/>
      <c r="AA746" s="1356"/>
      <c r="AB746" s="1357"/>
      <c r="AC746" s="1430"/>
      <c r="AD746" s="1431"/>
      <c r="AE746" s="1431"/>
      <c r="AF746" s="1431"/>
      <c r="AG746" s="1432"/>
      <c r="AH746" s="1361" t="str">
        <f t="shared" si="36"/>
        <v/>
      </c>
      <c r="AI746" s="1362"/>
      <c r="AJ746" s="1363"/>
      <c r="AK746" s="1364" t="s">
        <v>591</v>
      </c>
      <c r="AL746" s="1365"/>
      <c r="AM746" s="1365"/>
      <c r="AN746" s="1365"/>
      <c r="AO746" s="1366"/>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516">
        <f t="shared" si="37"/>
        <v>0</v>
      </c>
      <c r="CH746" s="1517"/>
      <c r="CI746" s="1518">
        <f t="shared" si="38"/>
        <v>0</v>
      </c>
      <c r="CJ746" s="1519"/>
      <c r="CK746" s="1516">
        <f t="shared" si="16"/>
        <v>0</v>
      </c>
      <c r="CL746" s="1517"/>
      <c r="CM746" s="1518">
        <f t="shared" si="17"/>
        <v>0</v>
      </c>
      <c r="CN746" s="1519"/>
      <c r="CO746" s="3"/>
      <c r="CP746" s="1513">
        <f t="shared" si="18"/>
        <v>0</v>
      </c>
      <c r="CQ746" s="1514"/>
      <c r="CR746" s="1514"/>
      <c r="CS746" s="1514"/>
      <c r="CT746" s="1515"/>
      <c r="CU746" s="1507">
        <f t="shared" si="19"/>
        <v>0</v>
      </c>
      <c r="CV746" s="1507"/>
      <c r="CW746" s="1507"/>
      <c r="CX746" s="1507"/>
      <c r="CY746" s="1507"/>
      <c r="CZ746" s="1507">
        <f t="shared" si="20"/>
        <v>0</v>
      </c>
      <c r="DA746" s="1507"/>
      <c r="DB746" s="1507"/>
      <c r="DC746" s="1507"/>
      <c r="DD746" s="1507"/>
      <c r="DE746" s="1507">
        <f t="shared" si="21"/>
        <v>0</v>
      </c>
      <c r="DF746" s="1507"/>
      <c r="DG746" s="1507"/>
      <c r="DH746" s="1507"/>
      <c r="DI746" s="1507"/>
      <c r="DJ746" s="1507">
        <f t="shared" si="22"/>
        <v>0</v>
      </c>
      <c r="DK746" s="1507"/>
      <c r="DL746" s="1507"/>
      <c r="DM746" s="1507"/>
      <c r="DN746" s="1507"/>
      <c r="DO746" s="1507">
        <f t="shared" si="23"/>
        <v>0</v>
      </c>
      <c r="DP746" s="1507"/>
      <c r="DQ746" s="1507"/>
      <c r="DR746" s="1507"/>
      <c r="DS746" s="1507"/>
      <c r="DT746" s="6"/>
      <c r="DU746" s="1502">
        <f t="shared" si="24"/>
        <v>0</v>
      </c>
      <c r="DV746" s="1502"/>
      <c r="DW746" s="1502"/>
      <c r="DX746" s="1502"/>
      <c r="DY746" s="1502"/>
      <c r="DZ746" s="1502">
        <f t="shared" si="25"/>
        <v>0</v>
      </c>
      <c r="EA746" s="1502"/>
      <c r="EB746" s="1502"/>
      <c r="EC746" s="1502"/>
      <c r="ED746" s="1502"/>
      <c r="EE746" s="1502">
        <f t="shared" si="26"/>
        <v>0</v>
      </c>
      <c r="EF746" s="1502"/>
      <c r="EG746" s="1502"/>
      <c r="EH746" s="1502"/>
      <c r="EI746" s="1502"/>
      <c r="EJ746" s="1502">
        <f t="shared" si="27"/>
        <v>0</v>
      </c>
      <c r="EK746" s="1502"/>
      <c r="EL746" s="1502"/>
      <c r="EM746" s="1502"/>
      <c r="EN746" s="1502"/>
      <c r="EO746" s="1502">
        <f t="shared" si="28"/>
        <v>0</v>
      </c>
      <c r="EP746" s="1502"/>
      <c r="EQ746" s="1502"/>
      <c r="ER746" s="1502"/>
      <c r="ES746" s="1502"/>
      <c r="ET746" s="1502">
        <f t="shared" si="29"/>
        <v>0</v>
      </c>
      <c r="EU746" s="1502"/>
      <c r="EV746" s="1502"/>
      <c r="EW746" s="1502"/>
      <c r="EX746" s="1502"/>
      <c r="EZ746" s="1516" t="str">
        <f t="shared" si="30"/>
        <v/>
      </c>
      <c r="FA746" s="1522"/>
      <c r="FB746" s="1522"/>
      <c r="FC746" s="1522"/>
      <c r="FD746" s="1517"/>
      <c r="FE746" s="1516" t="str">
        <f t="shared" si="31"/>
        <v/>
      </c>
      <c r="FF746" s="1522"/>
      <c r="FG746" s="1522"/>
      <c r="FH746" s="1522"/>
      <c r="FI746" s="1517"/>
      <c r="FJ746" s="1516" t="str">
        <f t="shared" si="32"/>
        <v/>
      </c>
      <c r="FK746" s="1522"/>
      <c r="FL746" s="1522"/>
      <c r="FM746" s="1522"/>
      <c r="FN746" s="1517"/>
      <c r="FO746" s="1516" t="str">
        <f t="shared" si="33"/>
        <v/>
      </c>
      <c r="FP746" s="1522"/>
      <c r="FQ746" s="1522"/>
      <c r="FR746" s="1522"/>
      <c r="FS746" s="1517"/>
      <c r="FT746" s="1516" t="str">
        <f t="shared" si="34"/>
        <v/>
      </c>
      <c r="FU746" s="1522"/>
      <c r="FV746" s="1522"/>
      <c r="FW746" s="1522"/>
      <c r="FX746" s="1517"/>
      <c r="FY746" s="1516" t="str">
        <f t="shared" si="35"/>
        <v/>
      </c>
      <c r="FZ746" s="1522"/>
      <c r="GA746" s="1522"/>
      <c r="GB746" s="1522"/>
      <c r="GC746" s="1517"/>
    </row>
    <row r="747" spans="1:185" ht="12.95" customHeight="1">
      <c r="B747" s="1364"/>
      <c r="C747" s="1365"/>
      <c r="D747" s="1365"/>
      <c r="E747" s="1365"/>
      <c r="F747" s="1366"/>
      <c r="G747" s="1348"/>
      <c r="H747" s="1349"/>
      <c r="I747" s="1349"/>
      <c r="J747" s="1350"/>
      <c r="K747" s="1418"/>
      <c r="L747" s="1419"/>
      <c r="M747" s="1419"/>
      <c r="N747" s="1420"/>
      <c r="O747" s="1358"/>
      <c r="P747" s="1359"/>
      <c r="Q747" s="1359"/>
      <c r="R747" s="1359"/>
      <c r="S747" s="1360"/>
      <c r="T747" s="1358"/>
      <c r="U747" s="1359"/>
      <c r="V747" s="1359"/>
      <c r="W747" s="1360"/>
      <c r="X747" s="1355">
        <f t="shared" si="39"/>
        <v>0</v>
      </c>
      <c r="Y747" s="1356"/>
      <c r="Z747" s="1356"/>
      <c r="AA747" s="1356"/>
      <c r="AB747" s="1357"/>
      <c r="AC747" s="1430"/>
      <c r="AD747" s="1431"/>
      <c r="AE747" s="1431"/>
      <c r="AF747" s="1431"/>
      <c r="AG747" s="1432"/>
      <c r="AH747" s="1361" t="str">
        <f t="shared" si="36"/>
        <v/>
      </c>
      <c r="AI747" s="1362"/>
      <c r="AJ747" s="1363"/>
      <c r="AK747" s="1364" t="s">
        <v>591</v>
      </c>
      <c r="AL747" s="1365"/>
      <c r="AM747" s="1365"/>
      <c r="AN747" s="1365"/>
      <c r="AO747" s="1366"/>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516">
        <f t="shared" si="37"/>
        <v>0</v>
      </c>
      <c r="CH747" s="1517"/>
      <c r="CI747" s="1518">
        <f t="shared" si="38"/>
        <v>0</v>
      </c>
      <c r="CJ747" s="1519"/>
      <c r="CK747" s="1516">
        <f t="shared" si="16"/>
        <v>0</v>
      </c>
      <c r="CL747" s="1517"/>
      <c r="CM747" s="1518">
        <f t="shared" si="17"/>
        <v>0</v>
      </c>
      <c r="CN747" s="1519"/>
      <c r="CO747" s="3"/>
      <c r="CP747" s="1513">
        <f t="shared" si="18"/>
        <v>0</v>
      </c>
      <c r="CQ747" s="1514"/>
      <c r="CR747" s="1514"/>
      <c r="CS747" s="1514"/>
      <c r="CT747" s="1515"/>
      <c r="CU747" s="1507">
        <f t="shared" si="19"/>
        <v>0</v>
      </c>
      <c r="CV747" s="1507"/>
      <c r="CW747" s="1507"/>
      <c r="CX747" s="1507"/>
      <c r="CY747" s="1507"/>
      <c r="CZ747" s="1507">
        <f t="shared" si="20"/>
        <v>0</v>
      </c>
      <c r="DA747" s="1507"/>
      <c r="DB747" s="1507"/>
      <c r="DC747" s="1507"/>
      <c r="DD747" s="1507"/>
      <c r="DE747" s="1507">
        <f t="shared" si="21"/>
        <v>0</v>
      </c>
      <c r="DF747" s="1507"/>
      <c r="DG747" s="1507"/>
      <c r="DH747" s="1507"/>
      <c r="DI747" s="1507"/>
      <c r="DJ747" s="1507">
        <f t="shared" si="22"/>
        <v>0</v>
      </c>
      <c r="DK747" s="1507"/>
      <c r="DL747" s="1507"/>
      <c r="DM747" s="1507"/>
      <c r="DN747" s="1507"/>
      <c r="DO747" s="1507">
        <f t="shared" si="23"/>
        <v>0</v>
      </c>
      <c r="DP747" s="1507"/>
      <c r="DQ747" s="1507"/>
      <c r="DR747" s="1507"/>
      <c r="DS747" s="1507"/>
      <c r="DT747" s="6"/>
      <c r="DU747" s="1502">
        <f t="shared" si="24"/>
        <v>0</v>
      </c>
      <c r="DV747" s="1502"/>
      <c r="DW747" s="1502"/>
      <c r="DX747" s="1502"/>
      <c r="DY747" s="1502"/>
      <c r="DZ747" s="1502">
        <f t="shared" si="25"/>
        <v>0</v>
      </c>
      <c r="EA747" s="1502"/>
      <c r="EB747" s="1502"/>
      <c r="EC747" s="1502"/>
      <c r="ED747" s="1502"/>
      <c r="EE747" s="1502">
        <f t="shared" si="26"/>
        <v>0</v>
      </c>
      <c r="EF747" s="1502"/>
      <c r="EG747" s="1502"/>
      <c r="EH747" s="1502"/>
      <c r="EI747" s="1502"/>
      <c r="EJ747" s="1502">
        <f t="shared" si="27"/>
        <v>0</v>
      </c>
      <c r="EK747" s="1502"/>
      <c r="EL747" s="1502"/>
      <c r="EM747" s="1502"/>
      <c r="EN747" s="1502"/>
      <c r="EO747" s="1502">
        <f t="shared" si="28"/>
        <v>0</v>
      </c>
      <c r="EP747" s="1502"/>
      <c r="EQ747" s="1502"/>
      <c r="ER747" s="1502"/>
      <c r="ES747" s="1502"/>
      <c r="ET747" s="1502">
        <f t="shared" si="29"/>
        <v>0</v>
      </c>
      <c r="EU747" s="1502"/>
      <c r="EV747" s="1502"/>
      <c r="EW747" s="1502"/>
      <c r="EX747" s="1502"/>
      <c r="EZ747" s="1516" t="str">
        <f t="shared" si="30"/>
        <v/>
      </c>
      <c r="FA747" s="1522"/>
      <c r="FB747" s="1522"/>
      <c r="FC747" s="1522"/>
      <c r="FD747" s="1517"/>
      <c r="FE747" s="1516" t="str">
        <f t="shared" si="31"/>
        <v/>
      </c>
      <c r="FF747" s="1522"/>
      <c r="FG747" s="1522"/>
      <c r="FH747" s="1522"/>
      <c r="FI747" s="1517"/>
      <c r="FJ747" s="1516" t="str">
        <f t="shared" si="32"/>
        <v/>
      </c>
      <c r="FK747" s="1522"/>
      <c r="FL747" s="1522"/>
      <c r="FM747" s="1522"/>
      <c r="FN747" s="1517"/>
      <c r="FO747" s="1516" t="str">
        <f t="shared" si="33"/>
        <v/>
      </c>
      <c r="FP747" s="1522"/>
      <c r="FQ747" s="1522"/>
      <c r="FR747" s="1522"/>
      <c r="FS747" s="1517"/>
      <c r="FT747" s="1516" t="str">
        <f t="shared" si="34"/>
        <v/>
      </c>
      <c r="FU747" s="1522"/>
      <c r="FV747" s="1522"/>
      <c r="FW747" s="1522"/>
      <c r="FX747" s="1517"/>
      <c r="FY747" s="1516" t="str">
        <f t="shared" si="35"/>
        <v/>
      </c>
      <c r="FZ747" s="1522"/>
      <c r="GA747" s="1522"/>
      <c r="GB747" s="1522"/>
      <c r="GC747" s="1517"/>
    </row>
    <row r="748" spans="1:185" s="3" customFormat="1" ht="12.95" customHeight="1">
      <c r="A748"/>
      <c r="B748" s="1364"/>
      <c r="C748" s="1365"/>
      <c r="D748" s="1365"/>
      <c r="E748" s="1365"/>
      <c r="F748" s="1366"/>
      <c r="G748" s="1348"/>
      <c r="H748" s="1349"/>
      <c r="I748" s="1349"/>
      <c r="J748" s="1350"/>
      <c r="K748" s="1418"/>
      <c r="L748" s="1419"/>
      <c r="M748" s="1419"/>
      <c r="N748" s="1420"/>
      <c r="O748" s="1358"/>
      <c r="P748" s="1359"/>
      <c r="Q748" s="1359"/>
      <c r="R748" s="1359"/>
      <c r="S748" s="1360"/>
      <c r="T748" s="1358"/>
      <c r="U748" s="1359"/>
      <c r="V748" s="1359"/>
      <c r="W748" s="1360"/>
      <c r="X748" s="1355">
        <f t="shared" si="39"/>
        <v>0</v>
      </c>
      <c r="Y748" s="1356"/>
      <c r="Z748" s="1356"/>
      <c r="AA748" s="1356"/>
      <c r="AB748" s="1357"/>
      <c r="AC748" s="1430"/>
      <c r="AD748" s="1431"/>
      <c r="AE748" s="1431"/>
      <c r="AF748" s="1431"/>
      <c r="AG748" s="1432"/>
      <c r="AH748" s="1361" t="str">
        <f t="shared" si="36"/>
        <v/>
      </c>
      <c r="AI748" s="1362"/>
      <c r="AJ748" s="1363"/>
      <c r="AK748" s="1364" t="s">
        <v>591</v>
      </c>
      <c r="AL748" s="1365"/>
      <c r="AM748" s="1365"/>
      <c r="AN748" s="1365"/>
      <c r="AO748" s="1366"/>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516">
        <f t="shared" si="37"/>
        <v>0</v>
      </c>
      <c r="CH748" s="1517"/>
      <c r="CI748" s="1518">
        <f t="shared" si="38"/>
        <v>0</v>
      </c>
      <c r="CJ748" s="1519"/>
      <c r="CK748" s="1516">
        <f t="shared" si="16"/>
        <v>0</v>
      </c>
      <c r="CL748" s="1517"/>
      <c r="CM748" s="1518">
        <f t="shared" si="17"/>
        <v>0</v>
      </c>
      <c r="CN748" s="1519"/>
      <c r="CP748" s="1513">
        <f t="shared" si="18"/>
        <v>0</v>
      </c>
      <c r="CQ748" s="1514"/>
      <c r="CR748" s="1514"/>
      <c r="CS748" s="1514"/>
      <c r="CT748" s="1515"/>
      <c r="CU748" s="1507">
        <f t="shared" si="19"/>
        <v>0</v>
      </c>
      <c r="CV748" s="1507"/>
      <c r="CW748" s="1507"/>
      <c r="CX748" s="1507"/>
      <c r="CY748" s="1507"/>
      <c r="CZ748" s="1507">
        <f t="shared" si="20"/>
        <v>0</v>
      </c>
      <c r="DA748" s="1507"/>
      <c r="DB748" s="1507"/>
      <c r="DC748" s="1507"/>
      <c r="DD748" s="1507"/>
      <c r="DE748" s="1507">
        <f t="shared" si="21"/>
        <v>0</v>
      </c>
      <c r="DF748" s="1507"/>
      <c r="DG748" s="1507"/>
      <c r="DH748" s="1507"/>
      <c r="DI748" s="1507"/>
      <c r="DJ748" s="1507">
        <f t="shared" si="22"/>
        <v>0</v>
      </c>
      <c r="DK748" s="1507"/>
      <c r="DL748" s="1507"/>
      <c r="DM748" s="1507"/>
      <c r="DN748" s="1507"/>
      <c r="DO748" s="1507">
        <f t="shared" si="23"/>
        <v>0</v>
      </c>
      <c r="DP748" s="1507"/>
      <c r="DQ748" s="1507"/>
      <c r="DR748" s="1507"/>
      <c r="DS748" s="1507"/>
      <c r="DT748" s="6"/>
      <c r="DU748" s="1502">
        <f t="shared" si="24"/>
        <v>0</v>
      </c>
      <c r="DV748" s="1502"/>
      <c r="DW748" s="1502"/>
      <c r="DX748" s="1502"/>
      <c r="DY748" s="1502"/>
      <c r="DZ748" s="1502">
        <f t="shared" si="25"/>
        <v>0</v>
      </c>
      <c r="EA748" s="1502"/>
      <c r="EB748" s="1502"/>
      <c r="EC748" s="1502"/>
      <c r="ED748" s="1502"/>
      <c r="EE748" s="1502">
        <f t="shared" si="26"/>
        <v>0</v>
      </c>
      <c r="EF748" s="1502"/>
      <c r="EG748" s="1502"/>
      <c r="EH748" s="1502"/>
      <c r="EI748" s="1502"/>
      <c r="EJ748" s="1502">
        <f t="shared" si="27"/>
        <v>0</v>
      </c>
      <c r="EK748" s="1502"/>
      <c r="EL748" s="1502"/>
      <c r="EM748" s="1502"/>
      <c r="EN748" s="1502"/>
      <c r="EO748" s="1502">
        <f t="shared" si="28"/>
        <v>0</v>
      </c>
      <c r="EP748" s="1502"/>
      <c r="EQ748" s="1502"/>
      <c r="ER748" s="1502"/>
      <c r="ES748" s="1502"/>
      <c r="ET748" s="1502">
        <f t="shared" si="29"/>
        <v>0</v>
      </c>
      <c r="EU748" s="1502"/>
      <c r="EV748" s="1502"/>
      <c r="EW748" s="1502"/>
      <c r="EX748" s="1502"/>
      <c r="EY748"/>
      <c r="EZ748" s="1516" t="str">
        <f t="shared" si="30"/>
        <v/>
      </c>
      <c r="FA748" s="1522"/>
      <c r="FB748" s="1522"/>
      <c r="FC748" s="1522"/>
      <c r="FD748" s="1517"/>
      <c r="FE748" s="1516" t="str">
        <f t="shared" si="31"/>
        <v/>
      </c>
      <c r="FF748" s="1522"/>
      <c r="FG748" s="1522"/>
      <c r="FH748" s="1522"/>
      <c r="FI748" s="1517"/>
      <c r="FJ748" s="1516" t="str">
        <f t="shared" si="32"/>
        <v/>
      </c>
      <c r="FK748" s="1522"/>
      <c r="FL748" s="1522"/>
      <c r="FM748" s="1522"/>
      <c r="FN748" s="1517"/>
      <c r="FO748" s="1516" t="str">
        <f t="shared" si="33"/>
        <v/>
      </c>
      <c r="FP748" s="1522"/>
      <c r="FQ748" s="1522"/>
      <c r="FR748" s="1522"/>
      <c r="FS748" s="1517"/>
      <c r="FT748" s="1516" t="str">
        <f t="shared" si="34"/>
        <v/>
      </c>
      <c r="FU748" s="1522"/>
      <c r="FV748" s="1522"/>
      <c r="FW748" s="1522"/>
      <c r="FX748" s="1517"/>
      <c r="FY748" s="1516" t="str">
        <f t="shared" si="35"/>
        <v/>
      </c>
      <c r="FZ748" s="1522"/>
      <c r="GA748" s="1522"/>
      <c r="GB748" s="1522"/>
      <c r="GC748" s="1517"/>
    </row>
    <row r="749" spans="1:185" s="3" customFormat="1" ht="12.95" customHeight="1">
      <c r="A749"/>
      <c r="B749" s="1364"/>
      <c r="C749" s="1365"/>
      <c r="D749" s="1365"/>
      <c r="E749" s="1365"/>
      <c r="F749" s="1366"/>
      <c r="G749" s="1348"/>
      <c r="H749" s="1349"/>
      <c r="I749" s="1349"/>
      <c r="J749" s="1350"/>
      <c r="K749" s="1418"/>
      <c r="L749" s="1419"/>
      <c r="M749" s="1419"/>
      <c r="N749" s="1420"/>
      <c r="O749" s="1358"/>
      <c r="P749" s="1359"/>
      <c r="Q749" s="1359"/>
      <c r="R749" s="1359"/>
      <c r="S749" s="1360"/>
      <c r="T749" s="1358"/>
      <c r="U749" s="1359"/>
      <c r="V749" s="1359"/>
      <c r="W749" s="1360"/>
      <c r="X749" s="1355">
        <f t="shared" si="39"/>
        <v>0</v>
      </c>
      <c r="Y749" s="1356"/>
      <c r="Z749" s="1356"/>
      <c r="AA749" s="1356"/>
      <c r="AB749" s="1357"/>
      <c r="AC749" s="1430"/>
      <c r="AD749" s="1431"/>
      <c r="AE749" s="1431"/>
      <c r="AF749" s="1431"/>
      <c r="AG749" s="1432"/>
      <c r="AH749" s="1361" t="str">
        <f t="shared" si="36"/>
        <v/>
      </c>
      <c r="AI749" s="1362"/>
      <c r="AJ749" s="1363"/>
      <c r="AK749" s="1364" t="s">
        <v>591</v>
      </c>
      <c r="AL749" s="1365"/>
      <c r="AM749" s="1365"/>
      <c r="AN749" s="1365"/>
      <c r="AO749" s="1366"/>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516">
        <f t="shared" si="37"/>
        <v>0</v>
      </c>
      <c r="CH749" s="1517"/>
      <c r="CI749" s="1518">
        <f t="shared" si="38"/>
        <v>0</v>
      </c>
      <c r="CJ749" s="1519"/>
      <c r="CK749" s="1516">
        <f t="shared" si="16"/>
        <v>0</v>
      </c>
      <c r="CL749" s="1517"/>
      <c r="CM749" s="1518">
        <f t="shared" si="17"/>
        <v>0</v>
      </c>
      <c r="CN749" s="1519"/>
      <c r="CP749" s="1513">
        <f t="shared" si="18"/>
        <v>0</v>
      </c>
      <c r="CQ749" s="1514"/>
      <c r="CR749" s="1514"/>
      <c r="CS749" s="1514"/>
      <c r="CT749" s="1515"/>
      <c r="CU749" s="1507">
        <f t="shared" si="19"/>
        <v>0</v>
      </c>
      <c r="CV749" s="1507"/>
      <c r="CW749" s="1507"/>
      <c r="CX749" s="1507"/>
      <c r="CY749" s="1507"/>
      <c r="CZ749" s="1507">
        <f t="shared" si="20"/>
        <v>0</v>
      </c>
      <c r="DA749" s="1507"/>
      <c r="DB749" s="1507"/>
      <c r="DC749" s="1507"/>
      <c r="DD749" s="1507"/>
      <c r="DE749" s="1507">
        <f t="shared" si="21"/>
        <v>0</v>
      </c>
      <c r="DF749" s="1507"/>
      <c r="DG749" s="1507"/>
      <c r="DH749" s="1507"/>
      <c r="DI749" s="1507"/>
      <c r="DJ749" s="1507">
        <f t="shared" si="22"/>
        <v>0</v>
      </c>
      <c r="DK749" s="1507"/>
      <c r="DL749" s="1507"/>
      <c r="DM749" s="1507"/>
      <c r="DN749" s="1507"/>
      <c r="DO749" s="1507">
        <f t="shared" si="23"/>
        <v>0</v>
      </c>
      <c r="DP749" s="1507"/>
      <c r="DQ749" s="1507"/>
      <c r="DR749" s="1507"/>
      <c r="DS749" s="1507"/>
      <c r="DT749" s="6"/>
      <c r="DU749" s="1502">
        <f t="shared" si="24"/>
        <v>0</v>
      </c>
      <c r="DV749" s="1502"/>
      <c r="DW749" s="1502"/>
      <c r="DX749" s="1502"/>
      <c r="DY749" s="1502"/>
      <c r="DZ749" s="1502">
        <f t="shared" si="25"/>
        <v>0</v>
      </c>
      <c r="EA749" s="1502"/>
      <c r="EB749" s="1502"/>
      <c r="EC749" s="1502"/>
      <c r="ED749" s="1502"/>
      <c r="EE749" s="1502">
        <f t="shared" si="26"/>
        <v>0</v>
      </c>
      <c r="EF749" s="1502"/>
      <c r="EG749" s="1502"/>
      <c r="EH749" s="1502"/>
      <c r="EI749" s="1502"/>
      <c r="EJ749" s="1502">
        <f t="shared" si="27"/>
        <v>0</v>
      </c>
      <c r="EK749" s="1502"/>
      <c r="EL749" s="1502"/>
      <c r="EM749" s="1502"/>
      <c r="EN749" s="1502"/>
      <c r="EO749" s="1502">
        <f t="shared" si="28"/>
        <v>0</v>
      </c>
      <c r="EP749" s="1502"/>
      <c r="EQ749" s="1502"/>
      <c r="ER749" s="1502"/>
      <c r="ES749" s="1502"/>
      <c r="ET749" s="1502">
        <f t="shared" si="29"/>
        <v>0</v>
      </c>
      <c r="EU749" s="1502"/>
      <c r="EV749" s="1502"/>
      <c r="EW749" s="1502"/>
      <c r="EX749" s="1502"/>
      <c r="EY749"/>
      <c r="EZ749" s="1516" t="str">
        <f t="shared" si="30"/>
        <v/>
      </c>
      <c r="FA749" s="1522"/>
      <c r="FB749" s="1522"/>
      <c r="FC749" s="1522"/>
      <c r="FD749" s="1517"/>
      <c r="FE749" s="1516" t="str">
        <f t="shared" si="31"/>
        <v/>
      </c>
      <c r="FF749" s="1522"/>
      <c r="FG749" s="1522"/>
      <c r="FH749" s="1522"/>
      <c r="FI749" s="1517"/>
      <c r="FJ749" s="1516" t="str">
        <f t="shared" si="32"/>
        <v/>
      </c>
      <c r="FK749" s="1522"/>
      <c r="FL749" s="1522"/>
      <c r="FM749" s="1522"/>
      <c r="FN749" s="1517"/>
      <c r="FO749" s="1516" t="str">
        <f t="shared" si="33"/>
        <v/>
      </c>
      <c r="FP749" s="1522"/>
      <c r="FQ749" s="1522"/>
      <c r="FR749" s="1522"/>
      <c r="FS749" s="1517"/>
      <c r="FT749" s="1516" t="str">
        <f t="shared" si="34"/>
        <v/>
      </c>
      <c r="FU749" s="1522"/>
      <c r="FV749" s="1522"/>
      <c r="FW749" s="1522"/>
      <c r="FX749" s="1517"/>
      <c r="FY749" s="1516" t="str">
        <f t="shared" si="35"/>
        <v/>
      </c>
      <c r="FZ749" s="1522"/>
      <c r="GA749" s="1522"/>
      <c r="GB749" s="1522"/>
      <c r="GC749" s="1517"/>
    </row>
    <row r="750" spans="1:185" s="3" customFormat="1" ht="12.95" customHeight="1">
      <c r="A750"/>
      <c r="B750" s="1364"/>
      <c r="C750" s="1365"/>
      <c r="D750" s="1365"/>
      <c r="E750" s="1365"/>
      <c r="F750" s="1366"/>
      <c r="G750" s="1348"/>
      <c r="H750" s="1349"/>
      <c r="I750" s="1349"/>
      <c r="J750" s="1350"/>
      <c r="K750" s="1418"/>
      <c r="L750" s="1419"/>
      <c r="M750" s="1419"/>
      <c r="N750" s="1420"/>
      <c r="O750" s="1358"/>
      <c r="P750" s="1359"/>
      <c r="Q750" s="1359"/>
      <c r="R750" s="1359"/>
      <c r="S750" s="1360"/>
      <c r="T750" s="1358"/>
      <c r="U750" s="1359"/>
      <c r="V750" s="1359"/>
      <c r="W750" s="1360"/>
      <c r="X750" s="1355">
        <f t="shared" si="39"/>
        <v>0</v>
      </c>
      <c r="Y750" s="1356"/>
      <c r="Z750" s="1356"/>
      <c r="AA750" s="1356"/>
      <c r="AB750" s="1357"/>
      <c r="AC750" s="1430"/>
      <c r="AD750" s="1431"/>
      <c r="AE750" s="1431"/>
      <c r="AF750" s="1431"/>
      <c r="AG750" s="1432"/>
      <c r="AH750" s="1361" t="str">
        <f t="shared" si="36"/>
        <v/>
      </c>
      <c r="AI750" s="1362"/>
      <c r="AJ750" s="1363"/>
      <c r="AK750" s="1364" t="s">
        <v>591</v>
      </c>
      <c r="AL750" s="1365"/>
      <c r="AM750" s="1365"/>
      <c r="AN750" s="1365"/>
      <c r="AO750" s="1366"/>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516">
        <f t="shared" si="37"/>
        <v>0</v>
      </c>
      <c r="CH750" s="1517"/>
      <c r="CI750" s="1518">
        <f t="shared" si="38"/>
        <v>0</v>
      </c>
      <c r="CJ750" s="1519"/>
      <c r="CK750" s="1516">
        <f t="shared" si="16"/>
        <v>0</v>
      </c>
      <c r="CL750" s="1517"/>
      <c r="CM750" s="1518">
        <f t="shared" si="17"/>
        <v>0</v>
      </c>
      <c r="CN750" s="1519"/>
      <c r="CP750" s="1513">
        <f t="shared" si="18"/>
        <v>0</v>
      </c>
      <c r="CQ750" s="1514"/>
      <c r="CR750" s="1514"/>
      <c r="CS750" s="1514"/>
      <c r="CT750" s="1515"/>
      <c r="CU750" s="1507">
        <f t="shared" si="19"/>
        <v>0</v>
      </c>
      <c r="CV750" s="1507"/>
      <c r="CW750" s="1507"/>
      <c r="CX750" s="1507"/>
      <c r="CY750" s="1507"/>
      <c r="CZ750" s="1507">
        <f t="shared" si="20"/>
        <v>0</v>
      </c>
      <c r="DA750" s="1507"/>
      <c r="DB750" s="1507"/>
      <c r="DC750" s="1507"/>
      <c r="DD750" s="1507"/>
      <c r="DE750" s="1507">
        <f t="shared" si="21"/>
        <v>0</v>
      </c>
      <c r="DF750" s="1507"/>
      <c r="DG750" s="1507"/>
      <c r="DH750" s="1507"/>
      <c r="DI750" s="1507"/>
      <c r="DJ750" s="1507">
        <f t="shared" si="22"/>
        <v>0</v>
      </c>
      <c r="DK750" s="1507"/>
      <c r="DL750" s="1507"/>
      <c r="DM750" s="1507"/>
      <c r="DN750" s="1507"/>
      <c r="DO750" s="1507">
        <f t="shared" si="23"/>
        <v>0</v>
      </c>
      <c r="DP750" s="1507"/>
      <c r="DQ750" s="1507"/>
      <c r="DR750" s="1507"/>
      <c r="DS750" s="1507"/>
      <c r="DT750" s="6"/>
      <c r="DU750" s="1502">
        <f t="shared" si="24"/>
        <v>0</v>
      </c>
      <c r="DV750" s="1502"/>
      <c r="DW750" s="1502"/>
      <c r="DX750" s="1502"/>
      <c r="DY750" s="1502"/>
      <c r="DZ750" s="1502">
        <f t="shared" si="25"/>
        <v>0</v>
      </c>
      <c r="EA750" s="1502"/>
      <c r="EB750" s="1502"/>
      <c r="EC750" s="1502"/>
      <c r="ED750" s="1502"/>
      <c r="EE750" s="1502">
        <f t="shared" si="26"/>
        <v>0</v>
      </c>
      <c r="EF750" s="1502"/>
      <c r="EG750" s="1502"/>
      <c r="EH750" s="1502"/>
      <c r="EI750" s="1502"/>
      <c r="EJ750" s="1502">
        <f t="shared" si="27"/>
        <v>0</v>
      </c>
      <c r="EK750" s="1502"/>
      <c r="EL750" s="1502"/>
      <c r="EM750" s="1502"/>
      <c r="EN750" s="1502"/>
      <c r="EO750" s="1502">
        <f t="shared" si="28"/>
        <v>0</v>
      </c>
      <c r="EP750" s="1502"/>
      <c r="EQ750" s="1502"/>
      <c r="ER750" s="1502"/>
      <c r="ES750" s="1502"/>
      <c r="ET750" s="1502">
        <f t="shared" si="29"/>
        <v>0</v>
      </c>
      <c r="EU750" s="1502"/>
      <c r="EV750" s="1502"/>
      <c r="EW750" s="1502"/>
      <c r="EX750" s="1502"/>
      <c r="EY750"/>
      <c r="EZ750" s="1516" t="str">
        <f t="shared" si="30"/>
        <v/>
      </c>
      <c r="FA750" s="1522"/>
      <c r="FB750" s="1522"/>
      <c r="FC750" s="1522"/>
      <c r="FD750" s="1517"/>
      <c r="FE750" s="1516" t="str">
        <f t="shared" si="31"/>
        <v/>
      </c>
      <c r="FF750" s="1522"/>
      <c r="FG750" s="1522"/>
      <c r="FH750" s="1522"/>
      <c r="FI750" s="1517"/>
      <c r="FJ750" s="1516" t="str">
        <f t="shared" si="32"/>
        <v/>
      </c>
      <c r="FK750" s="1522"/>
      <c r="FL750" s="1522"/>
      <c r="FM750" s="1522"/>
      <c r="FN750" s="1517"/>
      <c r="FO750" s="1516" t="str">
        <f t="shared" si="33"/>
        <v/>
      </c>
      <c r="FP750" s="1522"/>
      <c r="FQ750" s="1522"/>
      <c r="FR750" s="1522"/>
      <c r="FS750" s="1517"/>
      <c r="FT750" s="1516" t="str">
        <f t="shared" si="34"/>
        <v/>
      </c>
      <c r="FU750" s="1522"/>
      <c r="FV750" s="1522"/>
      <c r="FW750" s="1522"/>
      <c r="FX750" s="1517"/>
      <c r="FY750" s="1516" t="str">
        <f t="shared" si="35"/>
        <v/>
      </c>
      <c r="FZ750" s="1522"/>
      <c r="GA750" s="1522"/>
      <c r="GB750" s="1522"/>
      <c r="GC750" s="1517"/>
    </row>
    <row r="751" spans="1:185" s="3" customFormat="1" ht="12.95" customHeight="1">
      <c r="A751"/>
      <c r="B751" s="1364"/>
      <c r="C751" s="1365"/>
      <c r="D751" s="1365"/>
      <c r="E751" s="1365"/>
      <c r="F751" s="1366"/>
      <c r="G751" s="1348"/>
      <c r="H751" s="1349"/>
      <c r="I751" s="1349"/>
      <c r="J751" s="1350"/>
      <c r="K751" s="1418"/>
      <c r="L751" s="1419"/>
      <c r="M751" s="1419"/>
      <c r="N751" s="1420"/>
      <c r="O751" s="1358"/>
      <c r="P751" s="1359"/>
      <c r="Q751" s="1359"/>
      <c r="R751" s="1359"/>
      <c r="S751" s="1360"/>
      <c r="T751" s="1358"/>
      <c r="U751" s="1359"/>
      <c r="V751" s="1359"/>
      <c r="W751" s="1360"/>
      <c r="X751" s="1355">
        <f t="shared" si="39"/>
        <v>0</v>
      </c>
      <c r="Y751" s="1356"/>
      <c r="Z751" s="1356"/>
      <c r="AA751" s="1356"/>
      <c r="AB751" s="1357"/>
      <c r="AC751" s="1430"/>
      <c r="AD751" s="1431"/>
      <c r="AE751" s="1431"/>
      <c r="AF751" s="1431"/>
      <c r="AG751" s="1432"/>
      <c r="AH751" s="1361" t="str">
        <f t="shared" si="36"/>
        <v/>
      </c>
      <c r="AI751" s="1362"/>
      <c r="AJ751" s="1363"/>
      <c r="AK751" s="1364" t="s">
        <v>591</v>
      </c>
      <c r="AL751" s="1365"/>
      <c r="AM751" s="1365"/>
      <c r="AN751" s="1365"/>
      <c r="AO751" s="1366"/>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516">
        <f t="shared" si="37"/>
        <v>0</v>
      </c>
      <c r="CH751" s="1517"/>
      <c r="CI751" s="1518">
        <f t="shared" si="38"/>
        <v>0</v>
      </c>
      <c r="CJ751" s="1519"/>
      <c r="CK751" s="1516">
        <f t="shared" si="16"/>
        <v>0</v>
      </c>
      <c r="CL751" s="1517"/>
      <c r="CM751" s="1518">
        <f t="shared" si="17"/>
        <v>0</v>
      </c>
      <c r="CN751" s="1519"/>
      <c r="CP751" s="1513">
        <f t="shared" si="18"/>
        <v>0</v>
      </c>
      <c r="CQ751" s="1514"/>
      <c r="CR751" s="1514"/>
      <c r="CS751" s="1514"/>
      <c r="CT751" s="1515"/>
      <c r="CU751" s="1507">
        <f t="shared" si="19"/>
        <v>0</v>
      </c>
      <c r="CV751" s="1507"/>
      <c r="CW751" s="1507"/>
      <c r="CX751" s="1507"/>
      <c r="CY751" s="1507"/>
      <c r="CZ751" s="1507">
        <f t="shared" si="20"/>
        <v>0</v>
      </c>
      <c r="DA751" s="1507"/>
      <c r="DB751" s="1507"/>
      <c r="DC751" s="1507"/>
      <c r="DD751" s="1507"/>
      <c r="DE751" s="1507">
        <f t="shared" si="21"/>
        <v>0</v>
      </c>
      <c r="DF751" s="1507"/>
      <c r="DG751" s="1507"/>
      <c r="DH751" s="1507"/>
      <c r="DI751" s="1507"/>
      <c r="DJ751" s="1507">
        <f t="shared" si="22"/>
        <v>0</v>
      </c>
      <c r="DK751" s="1507"/>
      <c r="DL751" s="1507"/>
      <c r="DM751" s="1507"/>
      <c r="DN751" s="1507"/>
      <c r="DO751" s="1507">
        <f t="shared" si="23"/>
        <v>0</v>
      </c>
      <c r="DP751" s="1507"/>
      <c r="DQ751" s="1507"/>
      <c r="DR751" s="1507"/>
      <c r="DS751" s="1507"/>
      <c r="DT751" s="6"/>
      <c r="DU751" s="1502">
        <f t="shared" si="24"/>
        <v>0</v>
      </c>
      <c r="DV751" s="1502"/>
      <c r="DW751" s="1502"/>
      <c r="DX751" s="1502"/>
      <c r="DY751" s="1502"/>
      <c r="DZ751" s="1502">
        <f t="shared" si="25"/>
        <v>0</v>
      </c>
      <c r="EA751" s="1502"/>
      <c r="EB751" s="1502"/>
      <c r="EC751" s="1502"/>
      <c r="ED751" s="1502"/>
      <c r="EE751" s="1502">
        <f t="shared" si="26"/>
        <v>0</v>
      </c>
      <c r="EF751" s="1502"/>
      <c r="EG751" s="1502"/>
      <c r="EH751" s="1502"/>
      <c r="EI751" s="1502"/>
      <c r="EJ751" s="1502">
        <f t="shared" si="27"/>
        <v>0</v>
      </c>
      <c r="EK751" s="1502"/>
      <c r="EL751" s="1502"/>
      <c r="EM751" s="1502"/>
      <c r="EN751" s="1502"/>
      <c r="EO751" s="1502">
        <f t="shared" si="28"/>
        <v>0</v>
      </c>
      <c r="EP751" s="1502"/>
      <c r="EQ751" s="1502"/>
      <c r="ER751" s="1502"/>
      <c r="ES751" s="1502"/>
      <c r="ET751" s="1502">
        <f t="shared" si="29"/>
        <v>0</v>
      </c>
      <c r="EU751" s="1502"/>
      <c r="EV751" s="1502"/>
      <c r="EW751" s="1502"/>
      <c r="EX751" s="1502"/>
      <c r="EY751"/>
      <c r="EZ751" s="1516" t="str">
        <f t="shared" si="30"/>
        <v/>
      </c>
      <c r="FA751" s="1522"/>
      <c r="FB751" s="1522"/>
      <c r="FC751" s="1522"/>
      <c r="FD751" s="1517"/>
      <c r="FE751" s="1516" t="str">
        <f t="shared" si="31"/>
        <v/>
      </c>
      <c r="FF751" s="1522"/>
      <c r="FG751" s="1522"/>
      <c r="FH751" s="1522"/>
      <c r="FI751" s="1517"/>
      <c r="FJ751" s="1516" t="str">
        <f t="shared" si="32"/>
        <v/>
      </c>
      <c r="FK751" s="1522"/>
      <c r="FL751" s="1522"/>
      <c r="FM751" s="1522"/>
      <c r="FN751" s="1517"/>
      <c r="FO751" s="1516" t="str">
        <f t="shared" si="33"/>
        <v/>
      </c>
      <c r="FP751" s="1522"/>
      <c r="FQ751" s="1522"/>
      <c r="FR751" s="1522"/>
      <c r="FS751" s="1517"/>
      <c r="FT751" s="1516" t="str">
        <f t="shared" si="34"/>
        <v/>
      </c>
      <c r="FU751" s="1522"/>
      <c r="FV751" s="1522"/>
      <c r="FW751" s="1522"/>
      <c r="FX751" s="1517"/>
      <c r="FY751" s="1516" t="str">
        <f t="shared" si="35"/>
        <v/>
      </c>
      <c r="FZ751" s="1522"/>
      <c r="GA751" s="1522"/>
      <c r="GB751" s="1522"/>
      <c r="GC751" s="1517"/>
    </row>
    <row r="752" spans="1:185" s="3" customFormat="1" ht="12.95" customHeight="1">
      <c r="A752"/>
      <c r="B752" s="1364"/>
      <c r="C752" s="1365"/>
      <c r="D752" s="1365"/>
      <c r="E752" s="1365"/>
      <c r="F752" s="1366"/>
      <c r="G752" s="1348"/>
      <c r="H752" s="1349"/>
      <c r="I752" s="1349"/>
      <c r="J752" s="1350"/>
      <c r="K752" s="1418"/>
      <c r="L752" s="1419"/>
      <c r="M752" s="1419"/>
      <c r="N752" s="1420"/>
      <c r="O752" s="1358"/>
      <c r="P752" s="1359"/>
      <c r="Q752" s="1359"/>
      <c r="R752" s="1359"/>
      <c r="S752" s="1360"/>
      <c r="T752" s="1358"/>
      <c r="U752" s="1359"/>
      <c r="V752" s="1359"/>
      <c r="W752" s="1360"/>
      <c r="X752" s="1355">
        <f>O752+T752</f>
        <v>0</v>
      </c>
      <c r="Y752" s="1356"/>
      <c r="Z752" s="1356"/>
      <c r="AA752" s="1356"/>
      <c r="AB752" s="1357"/>
      <c r="AC752" s="1430"/>
      <c r="AD752" s="1431"/>
      <c r="AE752" s="1431"/>
      <c r="AF752" s="1431"/>
      <c r="AG752" s="1432"/>
      <c r="AH752" s="1361" t="str">
        <f t="shared" si="36"/>
        <v/>
      </c>
      <c r="AI752" s="1362"/>
      <c r="AJ752" s="1363"/>
      <c r="AK752" s="1364" t="s">
        <v>591</v>
      </c>
      <c r="AL752" s="1365"/>
      <c r="AM752" s="1365"/>
      <c r="AN752" s="1365"/>
      <c r="AO752" s="1366"/>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516">
        <f t="shared" si="37"/>
        <v>0</v>
      </c>
      <c r="CH752" s="1517"/>
      <c r="CI752" s="1518">
        <f t="shared" si="38"/>
        <v>0</v>
      </c>
      <c r="CJ752" s="1519"/>
      <c r="CK752" s="1516">
        <f t="shared" si="16"/>
        <v>0</v>
      </c>
      <c r="CL752" s="1517"/>
      <c r="CM752" s="1518">
        <f t="shared" si="17"/>
        <v>0</v>
      </c>
      <c r="CN752" s="1519"/>
      <c r="CP752" s="1513">
        <f t="shared" si="18"/>
        <v>0</v>
      </c>
      <c r="CQ752" s="1514"/>
      <c r="CR752" s="1514"/>
      <c r="CS752" s="1514"/>
      <c r="CT752" s="1515"/>
      <c r="CU752" s="1507">
        <f t="shared" si="19"/>
        <v>0</v>
      </c>
      <c r="CV752" s="1507"/>
      <c r="CW752" s="1507"/>
      <c r="CX752" s="1507"/>
      <c r="CY752" s="1507"/>
      <c r="CZ752" s="1507">
        <f t="shared" si="20"/>
        <v>0</v>
      </c>
      <c r="DA752" s="1507"/>
      <c r="DB752" s="1507"/>
      <c r="DC752" s="1507"/>
      <c r="DD752" s="1507"/>
      <c r="DE752" s="1507">
        <f t="shared" si="21"/>
        <v>0</v>
      </c>
      <c r="DF752" s="1507"/>
      <c r="DG752" s="1507"/>
      <c r="DH752" s="1507"/>
      <c r="DI752" s="1507"/>
      <c r="DJ752" s="1507">
        <f t="shared" si="22"/>
        <v>0</v>
      </c>
      <c r="DK752" s="1507"/>
      <c r="DL752" s="1507"/>
      <c r="DM752" s="1507"/>
      <c r="DN752" s="1507"/>
      <c r="DO752" s="1507">
        <f t="shared" si="23"/>
        <v>0</v>
      </c>
      <c r="DP752" s="1507"/>
      <c r="DQ752" s="1507"/>
      <c r="DR752" s="1507"/>
      <c r="DS752" s="1507"/>
      <c r="DT752" s="6"/>
      <c r="DU752" s="1502">
        <f t="shared" si="24"/>
        <v>0</v>
      </c>
      <c r="DV752" s="1502"/>
      <c r="DW752" s="1502"/>
      <c r="DX752" s="1502"/>
      <c r="DY752" s="1502"/>
      <c r="DZ752" s="1502">
        <f t="shared" si="25"/>
        <v>0</v>
      </c>
      <c r="EA752" s="1502"/>
      <c r="EB752" s="1502"/>
      <c r="EC752" s="1502"/>
      <c r="ED752" s="1502"/>
      <c r="EE752" s="1502">
        <f t="shared" si="26"/>
        <v>0</v>
      </c>
      <c r="EF752" s="1502"/>
      <c r="EG752" s="1502"/>
      <c r="EH752" s="1502"/>
      <c r="EI752" s="1502"/>
      <c r="EJ752" s="1502">
        <f t="shared" si="27"/>
        <v>0</v>
      </c>
      <c r="EK752" s="1502"/>
      <c r="EL752" s="1502"/>
      <c r="EM752" s="1502"/>
      <c r="EN752" s="1502"/>
      <c r="EO752" s="1502">
        <f t="shared" si="28"/>
        <v>0</v>
      </c>
      <c r="EP752" s="1502"/>
      <c r="EQ752" s="1502"/>
      <c r="ER752" s="1502"/>
      <c r="ES752" s="1502"/>
      <c r="ET752" s="1502">
        <f t="shared" si="29"/>
        <v>0</v>
      </c>
      <c r="EU752" s="1502"/>
      <c r="EV752" s="1502"/>
      <c r="EW752" s="1502"/>
      <c r="EX752" s="1502"/>
      <c r="EY752"/>
      <c r="EZ752" s="1516" t="str">
        <f t="shared" si="30"/>
        <v/>
      </c>
      <c r="FA752" s="1522"/>
      <c r="FB752" s="1522"/>
      <c r="FC752" s="1522"/>
      <c r="FD752" s="1517"/>
      <c r="FE752" s="1516" t="str">
        <f t="shared" si="31"/>
        <v/>
      </c>
      <c r="FF752" s="1522"/>
      <c r="FG752" s="1522"/>
      <c r="FH752" s="1522"/>
      <c r="FI752" s="1517"/>
      <c r="FJ752" s="1516" t="str">
        <f t="shared" si="32"/>
        <v/>
      </c>
      <c r="FK752" s="1522"/>
      <c r="FL752" s="1522"/>
      <c r="FM752" s="1522"/>
      <c r="FN752" s="1517"/>
      <c r="FO752" s="1516" t="str">
        <f t="shared" si="33"/>
        <v/>
      </c>
      <c r="FP752" s="1522"/>
      <c r="FQ752" s="1522"/>
      <c r="FR752" s="1522"/>
      <c r="FS752" s="1517"/>
      <c r="FT752" s="1516" t="str">
        <f t="shared" si="34"/>
        <v/>
      </c>
      <c r="FU752" s="1522"/>
      <c r="FV752" s="1522"/>
      <c r="FW752" s="1522"/>
      <c r="FX752" s="1517"/>
      <c r="FY752" s="1516" t="str">
        <f t="shared" si="35"/>
        <v/>
      </c>
      <c r="FZ752" s="1522"/>
      <c r="GA752" s="1522"/>
      <c r="GB752" s="1522"/>
      <c r="GC752" s="1517"/>
    </row>
    <row r="753" spans="1:185" s="3" customFormat="1" ht="12.95" customHeight="1">
      <c r="A753"/>
      <c r="B753" s="1508" t="s">
        <v>125</v>
      </c>
      <c r="C753" s="1509"/>
      <c r="D753" s="1509"/>
      <c r="E753" s="1509"/>
      <c r="F753" s="1510"/>
      <c r="G753" s="1691">
        <f>SUM(G718:G752)</f>
        <v>124</v>
      </c>
      <c r="H753" s="1692"/>
      <c r="I753" s="1692"/>
      <c r="J753" s="1693"/>
      <c r="K753" s="902" t="s">
        <v>124</v>
      </c>
      <c r="L753" s="5"/>
      <c r="M753" s="5"/>
      <c r="N753" s="46"/>
      <c r="O753" s="1355">
        <f>SUMPRODUCT(G718:G752,O718:O752)</f>
        <v>298716</v>
      </c>
      <c r="P753" s="1356"/>
      <c r="Q753" s="1356"/>
      <c r="R753" s="1356"/>
      <c r="S753" s="1357"/>
      <c r="T753"/>
      <c r="U753"/>
      <c r="V753"/>
      <c r="W753"/>
      <c r="X753" s="904" t="s">
        <v>900</v>
      </c>
      <c r="Y753" s="903"/>
      <c r="Z753" s="903"/>
      <c r="AA753" s="903"/>
      <c r="AB753" s="905"/>
      <c r="AC753" s="1621">
        <f>BH753</f>
        <v>0.57580645161290323</v>
      </c>
      <c r="AD753" s="1622"/>
      <c r="AE753" s="1622"/>
      <c r="AF753" s="1622"/>
      <c r="AG753" s="1623"/>
      <c r="AH753" s="1621">
        <f>IFERROR(BU753,"")</f>
        <v>0.57591977964268359</v>
      </c>
      <c r="AI753" s="1622"/>
      <c r="AJ753" s="1623"/>
      <c r="AK753"/>
      <c r="AL753"/>
      <c r="AM753"/>
      <c r="AN753"/>
      <c r="AO753"/>
      <c r="AP753" s="205"/>
      <c r="AQ753" s="205"/>
      <c r="AR753" s="205"/>
      <c r="AS753" s="205"/>
      <c r="AT753"/>
      <c r="AU753"/>
      <c r="AV753"/>
      <c r="AW753"/>
      <c r="AX753"/>
      <c r="AY753"/>
      <c r="AZ753" s="34"/>
      <c r="BA753" s="34"/>
      <c r="BB753" s="34"/>
      <c r="BC753" s="34"/>
      <c r="BE753" s="290" t="s">
        <v>899</v>
      </c>
      <c r="BF753" s="299">
        <f>SUM(BF718:BF752)</f>
        <v>124</v>
      </c>
      <c r="BG753" s="300">
        <f>SUM(BG718:BG752)</f>
        <v>0.99999999999999989</v>
      </c>
      <c r="BH753" s="300">
        <f>SUM(BH718:BH752)</f>
        <v>0.57580645161290323</v>
      </c>
      <c r="BI753"/>
      <c r="BJ753"/>
      <c r="BK753"/>
      <c r="BL753"/>
      <c r="BO753"/>
      <c r="BP753"/>
      <c r="BQ753"/>
      <c r="BR753"/>
      <c r="BS753" s="859">
        <f>SUM(BS718:BS752)</f>
        <v>124</v>
      </c>
      <c r="BT753" s="300">
        <f>SUM(BT718:BT752)</f>
        <v>0.99999999999999989</v>
      </c>
      <c r="BU753" s="300">
        <f>SUM(BU718:BU752)</f>
        <v>0.57591977964268359</v>
      </c>
      <c r="CI753" s="1516">
        <f>SUM(CI718:CJ752)</f>
        <v>49</v>
      </c>
      <c r="CJ753" s="1517"/>
      <c r="CM753" s="1516">
        <f>SUM(CM718:CN752)</f>
        <v>14</v>
      </c>
      <c r="CN753" s="1517"/>
      <c r="CP753" s="1516">
        <f>SUM(CP718:CT752)</f>
        <v>0</v>
      </c>
      <c r="CQ753" s="1522"/>
      <c r="CR753" s="1522"/>
      <c r="CS753" s="1522"/>
      <c r="CT753" s="1517"/>
      <c r="CU753" s="1520">
        <f>SUM(CU718:CY752)</f>
        <v>45</v>
      </c>
      <c r="CV753" s="1520"/>
      <c r="CW753" s="1520"/>
      <c r="CX753" s="1520"/>
      <c r="CY753" s="1520"/>
      <c r="CZ753" s="1520">
        <f>SUM(CZ718:DD752)</f>
        <v>47</v>
      </c>
      <c r="DA753" s="1520"/>
      <c r="DB753" s="1520"/>
      <c r="DC753" s="1520"/>
      <c r="DD753" s="1520"/>
      <c r="DE753" s="1520">
        <f>SUM(DE718:DI752)</f>
        <v>32</v>
      </c>
      <c r="DF753" s="1520"/>
      <c r="DG753" s="1520"/>
      <c r="DH753" s="1520"/>
      <c r="DI753" s="1520"/>
      <c r="DJ753" s="1520">
        <f>SUM(DJ718:DN752)</f>
        <v>0</v>
      </c>
      <c r="DK753" s="1520"/>
      <c r="DL753" s="1520"/>
      <c r="DM753" s="1520"/>
      <c r="DN753" s="1520"/>
      <c r="DO753" s="1520">
        <f>SUM(DO718:DS752)</f>
        <v>0</v>
      </c>
      <c r="DP753" s="1520"/>
      <c r="DQ753" s="1520"/>
      <c r="DR753" s="1520"/>
      <c r="DS753" s="1520"/>
      <c r="DT753" s="354"/>
      <c r="DU753" s="1520">
        <f>SUM(DU718:DY752)</f>
        <v>0</v>
      </c>
      <c r="DV753" s="1520"/>
      <c r="DW753" s="1520"/>
      <c r="DX753" s="1520"/>
      <c r="DY753" s="1520"/>
      <c r="DZ753" s="1520">
        <f>SUM(DZ718:ED752)</f>
        <v>5</v>
      </c>
      <c r="EA753" s="1520"/>
      <c r="EB753" s="1520"/>
      <c r="EC753" s="1520"/>
      <c r="ED753" s="1520"/>
      <c r="EE753" s="1520">
        <f>SUM(EE718:EI752)</f>
        <v>6</v>
      </c>
      <c r="EF753" s="1520"/>
      <c r="EG753" s="1520"/>
      <c r="EH753" s="1520"/>
      <c r="EI753" s="1520"/>
      <c r="EJ753" s="1520">
        <f>SUM(EJ718:EN752)</f>
        <v>3</v>
      </c>
      <c r="EK753" s="1520"/>
      <c r="EL753" s="1520"/>
      <c r="EM753" s="1520"/>
      <c r="EN753" s="1520"/>
      <c r="EO753" s="1520">
        <f>SUM(EO718:ES752)</f>
        <v>0</v>
      </c>
      <c r="EP753" s="1520"/>
      <c r="EQ753" s="1520"/>
      <c r="ER753" s="1520"/>
      <c r="ES753" s="1520"/>
      <c r="ET753" s="1520">
        <f>SUM(ET718:EX752)</f>
        <v>0</v>
      </c>
      <c r="EU753" s="1520"/>
      <c r="EV753" s="1520"/>
      <c r="EW753" s="1520"/>
      <c r="EX753" s="1520"/>
      <c r="EY753"/>
      <c r="EZ753" s="1520">
        <f>SUM(EZ718:FD752)</f>
        <v>0</v>
      </c>
      <c r="FA753" s="1520"/>
      <c r="FB753" s="1520"/>
      <c r="FC753" s="1520"/>
      <c r="FD753" s="1520"/>
      <c r="FE753" s="1520">
        <f>SUM(FE718:FI752)</f>
        <v>5365</v>
      </c>
      <c r="FF753" s="1520"/>
      <c r="FG753" s="1520"/>
      <c r="FH753" s="1520"/>
      <c r="FI753" s="1520"/>
      <c r="FJ753" s="1520">
        <f>SUM(FJ718:FN752)</f>
        <v>6290</v>
      </c>
      <c r="FK753" s="1520"/>
      <c r="FL753" s="1520"/>
      <c r="FM753" s="1520"/>
      <c r="FN753" s="1520"/>
      <c r="FO753" s="1520">
        <f>SUM(FO718:FS752)</f>
        <v>7413</v>
      </c>
      <c r="FP753" s="1520"/>
      <c r="FQ753" s="1520"/>
      <c r="FR753" s="1520"/>
      <c r="FS753" s="1520"/>
      <c r="FT753" s="1520">
        <f>SUM(FT718:FX752)</f>
        <v>0</v>
      </c>
      <c r="FU753" s="1520"/>
      <c r="FV753" s="1520"/>
      <c r="FW753" s="1520"/>
      <c r="FX753" s="1520"/>
      <c r="FY753" s="1520">
        <f>SUM(FY718:GC752)</f>
        <v>0</v>
      </c>
      <c r="FZ753" s="1520"/>
      <c r="GA753" s="1520"/>
      <c r="GB753" s="1520"/>
      <c r="GC753" s="1520"/>
    </row>
    <row r="754" spans="1:185" s="3" customFormat="1" ht="12.95" customHeight="1">
      <c r="A754"/>
      <c r="B754" s="1729" t="s">
        <v>1894</v>
      </c>
      <c r="C754" s="1729"/>
      <c r="D754" s="1729"/>
      <c r="E754" s="1729"/>
      <c r="F754" s="1729"/>
      <c r="G754" s="1729"/>
      <c r="H754" s="1729"/>
      <c r="I754" s="1729"/>
      <c r="J754" s="1729"/>
      <c r="K754" s="1729"/>
      <c r="L754" s="1729"/>
      <c r="M754" s="1729"/>
      <c r="N754" s="1729"/>
      <c r="O754" s="1729"/>
      <c r="P754" s="1729"/>
      <c r="Q754" s="1729"/>
      <c r="R754" s="1729"/>
      <c r="S754" s="1729"/>
      <c r="T754" s="1729"/>
      <c r="U754" s="1729"/>
      <c r="V754" s="1729"/>
      <c r="W754" s="1729"/>
      <c r="X754" s="1729"/>
      <c r="Y754" s="1729"/>
      <c r="Z754" s="1729"/>
      <c r="AA754" s="1729"/>
      <c r="AB754" s="1729"/>
      <c r="AC754" s="1729"/>
      <c r="AD754" s="1729"/>
      <c r="AE754" s="1729"/>
      <c r="AF754" s="1729"/>
      <c r="AG754" s="1729"/>
      <c r="AH754" s="1729"/>
      <c r="AI754"/>
      <c r="AJ754"/>
      <c r="AK754"/>
      <c r="AT754"/>
      <c r="AU754"/>
      <c r="AV754"/>
      <c r="AW754"/>
      <c r="AX754"/>
      <c r="AY754"/>
      <c r="CD754"/>
      <c r="DN754" s="56" t="s">
        <v>1861</v>
      </c>
      <c r="DO754" s="1516">
        <f>CP753+CU753+CZ753+DE753+DJ753+DO753</f>
        <v>124</v>
      </c>
      <c r="DP754" s="1522"/>
      <c r="DQ754" s="1522"/>
      <c r="DR754" s="1522"/>
      <c r="DS754" s="151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9"/>
      <c r="C755" s="1729"/>
      <c r="D755" s="1729"/>
      <c r="E755" s="1729"/>
      <c r="F755" s="1729"/>
      <c r="G755" s="1729"/>
      <c r="H755" s="1729"/>
      <c r="I755" s="1729"/>
      <c r="J755" s="1729"/>
      <c r="K755" s="1729"/>
      <c r="L755" s="1729"/>
      <c r="M755" s="1729"/>
      <c r="N755" s="1729"/>
      <c r="O755" s="1729"/>
      <c r="P755" s="1729"/>
      <c r="Q755" s="1729"/>
      <c r="R755" s="1729"/>
      <c r="S755" s="1729"/>
      <c r="T755" s="1729"/>
      <c r="U755" s="1729"/>
      <c r="V755" s="1729"/>
      <c r="W755" s="1729"/>
      <c r="X755" s="1729"/>
      <c r="Y755" s="1729"/>
      <c r="Z755" s="1729"/>
      <c r="AA755" s="1729"/>
      <c r="AB755" s="1729"/>
      <c r="AC755" s="1729"/>
      <c r="AD755" s="1729"/>
      <c r="AE755" s="1729"/>
      <c r="AF755" s="1729"/>
      <c r="AG755" s="1729"/>
      <c r="AH755" s="172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45</v>
      </c>
      <c r="CZ755" s="3"/>
      <c r="DA755" s="3"/>
      <c r="DB755" s="3"/>
      <c r="DC755" s="3"/>
      <c r="DD755" s="861">
        <f>CZ753*2</f>
        <v>94</v>
      </c>
      <c r="DE755" s="3"/>
      <c r="DF755" s="3"/>
      <c r="DG755" s="3"/>
      <c r="DH755" s="3"/>
      <c r="DI755" s="861">
        <f>DE753*3</f>
        <v>96</v>
      </c>
      <c r="DJ755" s="3"/>
      <c r="DK755" s="3"/>
      <c r="DL755" s="3"/>
      <c r="DM755" s="3"/>
      <c r="DN755" s="861">
        <f>DJ753*4</f>
        <v>0</v>
      </c>
      <c r="DO755" s="3"/>
      <c r="DP755" s="3"/>
      <c r="DQ755" s="3"/>
      <c r="DR755" s="3"/>
      <c r="DS755" s="861">
        <f>DO753*5</f>
        <v>0</v>
      </c>
      <c r="DU755" s="861">
        <f>CT755+CY755+DD755+DI755+DN755+DS755</f>
        <v>235</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520">
        <f>DU755</f>
        <v>235</v>
      </c>
      <c r="P756" s="1520"/>
      <c r="Q756" s="1520"/>
      <c r="R756" s="1520"/>
      <c r="S756" s="969"/>
      <c r="T756" s="969"/>
      <c r="U756" s="118" t="s">
        <v>1893</v>
      </c>
      <c r="V756" s="1032"/>
      <c r="W756" s="1032"/>
      <c r="X756" s="1032"/>
      <c r="Y756" s="1033"/>
      <c r="Z756" s="1033"/>
      <c r="AA756" s="1033"/>
      <c r="AB756" s="1033"/>
      <c r="AC756" s="1032"/>
      <c r="AD756" s="1032"/>
      <c r="AE756" s="1032"/>
      <c r="AF756" s="1032"/>
      <c r="AG756" s="1709"/>
      <c r="AH756" s="1709"/>
      <c r="AI756" s="1709"/>
      <c r="AJ756" s="1709"/>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429" t="str">
        <f>IF(G753&lt;&gt;AG440,"! Total Low-Income Units in the Unit Mix Table above does not match the number of Total Low-Income Units on row #"&amp;TEXT(ROW(D440),"#"),"")</f>
        <v/>
      </c>
      <c r="D757" s="1429"/>
      <c r="E757" s="1429"/>
      <c r="F757" s="1429"/>
      <c r="G757" s="1429"/>
      <c r="H757" s="1429"/>
      <c r="I757" s="1429"/>
      <c r="J757" s="1429"/>
      <c r="K757" s="1429"/>
      <c r="L757" s="1429"/>
      <c r="M757" s="1429"/>
      <c r="N757" s="1429"/>
      <c r="O757" s="1429"/>
      <c r="P757" s="1429"/>
      <c r="Q757" s="1429"/>
      <c r="R757" s="1429"/>
      <c r="S757" s="1429"/>
      <c r="T757" s="1429"/>
      <c r="U757" s="1429"/>
      <c r="V757" s="1429"/>
      <c r="W757" s="1429"/>
      <c r="X757" s="1429"/>
      <c r="Y757" s="1429"/>
      <c r="Z757" s="1429"/>
      <c r="AA757" s="1429"/>
      <c r="AB757" s="1429"/>
      <c r="AC757" s="1429"/>
      <c r="AD757" s="1429"/>
      <c r="AE757" s="1429"/>
      <c r="AF757" s="1429"/>
      <c r="AG757" s="1429"/>
      <c r="AH757" s="1429"/>
      <c r="AI757" s="1429"/>
      <c r="AJ757" s="1429"/>
      <c r="AK757" s="1429"/>
      <c r="AL757" s="1429"/>
      <c r="AM757" s="1429"/>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429"/>
      <c r="D758" s="1429"/>
      <c r="E758" s="1429"/>
      <c r="F758" s="1429"/>
      <c r="G758" s="1429"/>
      <c r="H758" s="1429"/>
      <c r="I758" s="1429"/>
      <c r="J758" s="1429"/>
      <c r="K758" s="1429"/>
      <c r="L758" s="1429"/>
      <c r="M758" s="1429"/>
      <c r="N758" s="1429"/>
      <c r="O758" s="1429"/>
      <c r="P758" s="1429"/>
      <c r="Q758" s="1429"/>
      <c r="R758" s="1429"/>
      <c r="S758" s="1429"/>
      <c r="T758" s="1429"/>
      <c r="U758" s="1429"/>
      <c r="V758" s="1429"/>
      <c r="W758" s="1429"/>
      <c r="X758" s="1429"/>
      <c r="Y758" s="1429"/>
      <c r="Z758" s="1429"/>
      <c r="AA758" s="1429"/>
      <c r="AB758" s="1429"/>
      <c r="AC758" s="1429"/>
      <c r="AD758" s="1429"/>
      <c r="AE758" s="1429"/>
      <c r="AF758" s="1429"/>
      <c r="AG758" s="1429"/>
      <c r="AH758" s="1429"/>
      <c r="AI758" s="1429"/>
      <c r="AJ758" s="1429"/>
      <c r="AK758" s="1429"/>
      <c r="AL758" s="1429"/>
      <c r="AM758" s="1429"/>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94" t="s">
        <v>591</v>
      </c>
      <c r="AE759" s="1694"/>
      <c r="AF759" s="169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9" t="s">
        <v>2090</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9" t="s">
        <v>2091</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47" t="s">
        <v>388</v>
      </c>
      <c r="K769" s="1448"/>
      <c r="L769" s="1448"/>
      <c r="M769" s="1448"/>
      <c r="N769" s="1449"/>
      <c r="O769" s="1690" t="s">
        <v>284</v>
      </c>
      <c r="P769" s="1690"/>
      <c r="Q769" s="1690"/>
      <c r="R769" s="1690"/>
      <c r="S769" s="1690"/>
      <c r="T769" s="1715" t="s">
        <v>1679</v>
      </c>
      <c r="U769" s="1716"/>
      <c r="V769" s="1716"/>
      <c r="W769" s="1717"/>
      <c r="X769" s="1447" t="s">
        <v>447</v>
      </c>
      <c r="Y769" s="1448"/>
      <c r="Z769" s="1448"/>
      <c r="AA769" s="1448"/>
      <c r="AB769" s="1449"/>
      <c r="AC769" s="1447" t="s">
        <v>285</v>
      </c>
      <c r="AD769" s="1448"/>
      <c r="AE769" s="1448"/>
      <c r="AF769" s="1448"/>
      <c r="AG769" s="144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50"/>
      <c r="K770" s="1451"/>
      <c r="L770" s="1451"/>
      <c r="M770" s="1451"/>
      <c r="N770" s="1452"/>
      <c r="O770" s="1690"/>
      <c r="P770" s="1690"/>
      <c r="Q770" s="1690"/>
      <c r="R770" s="1690"/>
      <c r="S770" s="1690"/>
      <c r="T770" s="1718"/>
      <c r="U770" s="1719"/>
      <c r="V770" s="1719"/>
      <c r="W770" s="1720"/>
      <c r="X770" s="1450"/>
      <c r="Y770" s="1451"/>
      <c r="Z770" s="1451"/>
      <c r="AA770" s="1451"/>
      <c r="AB770" s="1452"/>
      <c r="AC770" s="1450"/>
      <c r="AD770" s="1451"/>
      <c r="AE770" s="1451"/>
      <c r="AF770" s="1451"/>
      <c r="AG770" s="145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50"/>
      <c r="K771" s="1451"/>
      <c r="L771" s="1451"/>
      <c r="M771" s="1451"/>
      <c r="N771" s="1452"/>
      <c r="O771" s="1690"/>
      <c r="P771" s="1690"/>
      <c r="Q771" s="1690"/>
      <c r="R771" s="1690"/>
      <c r="S771" s="1690"/>
      <c r="T771" s="1718"/>
      <c r="U771" s="1719"/>
      <c r="V771" s="1719"/>
      <c r="W771" s="1720"/>
      <c r="X771" s="1450"/>
      <c r="Y771" s="1451"/>
      <c r="Z771" s="1451"/>
      <c r="AA771" s="1451"/>
      <c r="AB771" s="1452"/>
      <c r="AC771" s="1450"/>
      <c r="AD771" s="1451"/>
      <c r="AE771" s="1451"/>
      <c r="AF771" s="1451"/>
      <c r="AG771" s="145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453"/>
      <c r="K772" s="1454"/>
      <c r="L772" s="1454"/>
      <c r="M772" s="1454"/>
      <c r="N772" s="1455"/>
      <c r="O772" s="1690"/>
      <c r="P772" s="1690"/>
      <c r="Q772" s="1690"/>
      <c r="R772" s="1690"/>
      <c r="S772" s="1690"/>
      <c r="T772" s="1721"/>
      <c r="U772" s="1722"/>
      <c r="V772" s="1722"/>
      <c r="W772" s="1723"/>
      <c r="X772" s="1453"/>
      <c r="Y772" s="1454"/>
      <c r="Z772" s="1454"/>
      <c r="AA772" s="1454"/>
      <c r="AB772" s="1455"/>
      <c r="AC772" s="1453"/>
      <c r="AD772" s="1454"/>
      <c r="AE772" s="1454"/>
      <c r="AF772" s="1454"/>
      <c r="AG772" s="145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64" t="s">
        <v>163</v>
      </c>
      <c r="K773" s="1365"/>
      <c r="L773" s="1365"/>
      <c r="M773" s="1365"/>
      <c r="N773" s="1366"/>
      <c r="O773" s="1554">
        <v>1</v>
      </c>
      <c r="P773" s="1554"/>
      <c r="Q773" s="1554"/>
      <c r="R773" s="1554"/>
      <c r="S773" s="1554"/>
      <c r="T773" s="1418">
        <v>881</v>
      </c>
      <c r="U773" s="1419"/>
      <c r="V773" s="1419"/>
      <c r="W773" s="1420"/>
      <c r="X773" s="1358">
        <v>2975</v>
      </c>
      <c r="Y773" s="1359"/>
      <c r="Z773" s="1359"/>
      <c r="AA773" s="1359"/>
      <c r="AB773" s="1360"/>
      <c r="AC773" s="1355">
        <f>X773*O773</f>
        <v>2975</v>
      </c>
      <c r="AD773" s="1356"/>
      <c r="AE773" s="1356"/>
      <c r="AF773" s="1356"/>
      <c r="AG773" s="1357"/>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513">
        <f>IF(J773="SRO/Studio",O773,0)</f>
        <v>0</v>
      </c>
      <c r="CQ773" s="1514"/>
      <c r="CR773" s="1514"/>
      <c r="CS773" s="1514"/>
      <c r="CT773" s="1515"/>
      <c r="CU773" s="1507">
        <f>IF(J773="1 Bedroom",O773,0)</f>
        <v>0</v>
      </c>
      <c r="CV773" s="1507"/>
      <c r="CW773" s="1507"/>
      <c r="CX773" s="1507"/>
      <c r="CY773" s="1507"/>
      <c r="CZ773" s="1507">
        <f>IF(J773="2 Bedrooms",O773,0)</f>
        <v>1</v>
      </c>
      <c r="DA773" s="1507"/>
      <c r="DB773" s="1507"/>
      <c r="DC773" s="1507"/>
      <c r="DD773" s="1507"/>
      <c r="DE773" s="1507">
        <f>IF(J773="3 Bedrooms",O773,0)</f>
        <v>0</v>
      </c>
      <c r="DF773" s="1507"/>
      <c r="DG773" s="1507"/>
      <c r="DH773" s="1507"/>
      <c r="DI773" s="1507"/>
      <c r="DJ773" s="1507">
        <f>IF(J773="4 Bedrooms",O773,0)</f>
        <v>0</v>
      </c>
      <c r="DK773" s="1507"/>
      <c r="DL773" s="1507"/>
      <c r="DM773" s="1507"/>
      <c r="DN773" s="1507"/>
      <c r="DO773" s="1507">
        <f>IF(J773="5 Bedrooms",O773,0)</f>
        <v>0</v>
      </c>
      <c r="DP773" s="1507"/>
      <c r="DQ773" s="1507"/>
      <c r="DR773" s="1507"/>
      <c r="DS773" s="1507"/>
      <c r="DT773" s="6"/>
      <c r="DU773" s="3"/>
      <c r="DV773" s="3"/>
    </row>
    <row r="774" spans="1:126" ht="12.95" customHeight="1">
      <c r="J774" s="1364"/>
      <c r="K774" s="1365"/>
      <c r="L774" s="1365"/>
      <c r="M774" s="1365"/>
      <c r="N774" s="1366"/>
      <c r="O774" s="1554"/>
      <c r="P774" s="1554"/>
      <c r="Q774" s="1554"/>
      <c r="R774" s="1554"/>
      <c r="S774" s="1554"/>
      <c r="T774" s="1418"/>
      <c r="U774" s="1419"/>
      <c r="V774" s="1419"/>
      <c r="W774" s="1420"/>
      <c r="X774" s="1358"/>
      <c r="Y774" s="1359"/>
      <c r="Z774" s="1359"/>
      <c r="AA774" s="1359"/>
      <c r="AB774" s="1360"/>
      <c r="AC774" s="1355">
        <f>X774*O774</f>
        <v>0</v>
      </c>
      <c r="AD774" s="1356"/>
      <c r="AE774" s="1356"/>
      <c r="AF774" s="1356"/>
      <c r="AG774" s="1357"/>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513">
        <f>IF(J774="SRO/Studio",O774,0)</f>
        <v>0</v>
      </c>
      <c r="CQ774" s="1514"/>
      <c r="CR774" s="1514"/>
      <c r="CS774" s="1514"/>
      <c r="CT774" s="1515"/>
      <c r="CU774" s="1507">
        <f>IF(J774="1 Bedroom",O774,0)</f>
        <v>0</v>
      </c>
      <c r="CV774" s="1507"/>
      <c r="CW774" s="1507"/>
      <c r="CX774" s="1507"/>
      <c r="CY774" s="1507"/>
      <c r="CZ774" s="1507">
        <f>IF(J774="2 Bedrooms",O774,0)</f>
        <v>0</v>
      </c>
      <c r="DA774" s="1507"/>
      <c r="DB774" s="1507"/>
      <c r="DC774" s="1507"/>
      <c r="DD774" s="1507"/>
      <c r="DE774" s="1507">
        <f>IF(J774="3 Bedrooms",O774,0)</f>
        <v>0</v>
      </c>
      <c r="DF774" s="1507"/>
      <c r="DG774" s="1507"/>
      <c r="DH774" s="1507"/>
      <c r="DI774" s="1507"/>
      <c r="DJ774" s="1507">
        <f>IF(J774="4 Bedrooms",O774,0)</f>
        <v>0</v>
      </c>
      <c r="DK774" s="1507"/>
      <c r="DL774" s="1507"/>
      <c r="DM774" s="1507"/>
      <c r="DN774" s="1507"/>
      <c r="DO774" s="1507">
        <f>IF(J774="5 Bedrooms",O774,0)</f>
        <v>0</v>
      </c>
      <c r="DP774" s="1507"/>
      <c r="DQ774" s="1507"/>
      <c r="DR774" s="1507"/>
      <c r="DS774" s="1507"/>
      <c r="DT774" s="6"/>
      <c r="DU774" s="3"/>
      <c r="DV774" s="3"/>
    </row>
    <row r="775" spans="1:126" ht="12.95" customHeight="1">
      <c r="J775" s="1364"/>
      <c r="K775" s="1365"/>
      <c r="L775" s="1365"/>
      <c r="M775" s="1365"/>
      <c r="N775" s="1366"/>
      <c r="O775" s="1554"/>
      <c r="P775" s="1554"/>
      <c r="Q775" s="1554"/>
      <c r="R775" s="1554"/>
      <c r="S775" s="1554"/>
      <c r="T775" s="1418"/>
      <c r="U775" s="1419"/>
      <c r="V775" s="1419"/>
      <c r="W775" s="1420"/>
      <c r="X775" s="1358"/>
      <c r="Y775" s="1359"/>
      <c r="Z775" s="1359"/>
      <c r="AA775" s="1359"/>
      <c r="AB775" s="1360"/>
      <c r="AC775" s="1355">
        <f>X775*O775</f>
        <v>0</v>
      </c>
      <c r="AD775" s="1356"/>
      <c r="AE775" s="1356"/>
      <c r="AF775" s="1356"/>
      <c r="AG775" s="1357"/>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513">
        <f>IF(J775="SRO/Studio",O775,0)</f>
        <v>0</v>
      </c>
      <c r="CQ775" s="1514"/>
      <c r="CR775" s="1514"/>
      <c r="CS775" s="1514"/>
      <c r="CT775" s="1515"/>
      <c r="CU775" s="1507">
        <f>IF(J775="1 Bedroom",O775,0)</f>
        <v>0</v>
      </c>
      <c r="CV775" s="1507"/>
      <c r="CW775" s="1507"/>
      <c r="CX775" s="1507"/>
      <c r="CY775" s="1507"/>
      <c r="CZ775" s="1507">
        <f>IF(J775="2 Bedrooms",O775,0)</f>
        <v>0</v>
      </c>
      <c r="DA775" s="1507"/>
      <c r="DB775" s="1507"/>
      <c r="DC775" s="1507"/>
      <c r="DD775" s="1507"/>
      <c r="DE775" s="1507">
        <f>IF(J775="3 Bedrooms",O775,0)</f>
        <v>0</v>
      </c>
      <c r="DF775" s="1507"/>
      <c r="DG775" s="1507"/>
      <c r="DH775" s="1507"/>
      <c r="DI775" s="1507"/>
      <c r="DJ775" s="1507">
        <f>IF(J775="4 Bedrooms",O775,0)</f>
        <v>0</v>
      </c>
      <c r="DK775" s="1507"/>
      <c r="DL775" s="1507"/>
      <c r="DM775" s="1507"/>
      <c r="DN775" s="1507"/>
      <c r="DO775" s="1507">
        <f>IF(J775="5 Bedrooms",O775,0)</f>
        <v>0</v>
      </c>
      <c r="DP775" s="1507"/>
      <c r="DQ775" s="1507"/>
      <c r="DR775" s="1507"/>
      <c r="DS775" s="1507"/>
      <c r="DT775" s="1012"/>
    </row>
    <row r="776" spans="1:126" ht="12.95" customHeight="1">
      <c r="J776" s="1364"/>
      <c r="K776" s="1365"/>
      <c r="L776" s="1365"/>
      <c r="M776" s="1365"/>
      <c r="N776" s="1366"/>
      <c r="O776" s="1554"/>
      <c r="P776" s="1554"/>
      <c r="Q776" s="1554"/>
      <c r="R776" s="1554"/>
      <c r="S776" s="1554"/>
      <c r="T776" s="1418"/>
      <c r="U776" s="1419"/>
      <c r="V776" s="1419"/>
      <c r="W776" s="1420"/>
      <c r="X776" s="1358"/>
      <c r="Y776" s="1359"/>
      <c r="Z776" s="1359"/>
      <c r="AA776" s="1359"/>
      <c r="AB776" s="1360"/>
      <c r="AC776" s="1355">
        <f>X776*O776</f>
        <v>0</v>
      </c>
      <c r="AD776" s="1356"/>
      <c r="AE776" s="1356"/>
      <c r="AF776" s="1356"/>
      <c r="AG776" s="1357"/>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513">
        <f>IF(J776="SRO/Studio",O776,0)</f>
        <v>0</v>
      </c>
      <c r="CQ776" s="1514"/>
      <c r="CR776" s="1514"/>
      <c r="CS776" s="1514"/>
      <c r="CT776" s="1515"/>
      <c r="CU776" s="1507">
        <f>IF(J776="1 Bedroom",O776,0)</f>
        <v>0</v>
      </c>
      <c r="CV776" s="1507"/>
      <c r="CW776" s="1507"/>
      <c r="CX776" s="1507"/>
      <c r="CY776" s="1507"/>
      <c r="CZ776" s="1507">
        <f>IF(J776="2 Bedrooms",O776,0)</f>
        <v>0</v>
      </c>
      <c r="DA776" s="1507"/>
      <c r="DB776" s="1507"/>
      <c r="DC776" s="1507"/>
      <c r="DD776" s="1507"/>
      <c r="DE776" s="1507">
        <f>IF(J776="3 Bedrooms",O776,0)</f>
        <v>0</v>
      </c>
      <c r="DF776" s="1507"/>
      <c r="DG776" s="1507"/>
      <c r="DH776" s="1507"/>
      <c r="DI776" s="1507"/>
      <c r="DJ776" s="1507">
        <f>IF(J776="4 Bedrooms",O776,0)</f>
        <v>0</v>
      </c>
      <c r="DK776" s="1507"/>
      <c r="DL776" s="1507"/>
      <c r="DM776" s="1507"/>
      <c r="DN776" s="1507"/>
      <c r="DO776" s="1507">
        <f>IF(J776="5 Bedrooms",O776,0)</f>
        <v>0</v>
      </c>
      <c r="DP776" s="1507"/>
      <c r="DQ776" s="1507"/>
      <c r="DR776" s="1507"/>
      <c r="DS776" s="1507"/>
    </row>
    <row r="777" spans="1:126" ht="12.95" customHeight="1">
      <c r="J777" s="1508" t="s">
        <v>125</v>
      </c>
      <c r="K777" s="1509"/>
      <c r="L777" s="1509"/>
      <c r="M777" s="1509"/>
      <c r="N777" s="1510"/>
      <c r="O777" s="1518">
        <f>SUM(O773:S776)</f>
        <v>1</v>
      </c>
      <c r="P777" s="1523"/>
      <c r="Q777" s="1523"/>
      <c r="R777" s="1523"/>
      <c r="S777" s="1519"/>
      <c r="X777" s="1508" t="s">
        <v>124</v>
      </c>
      <c r="Y777" s="1509"/>
      <c r="Z777" s="1509"/>
      <c r="AA777" s="1509"/>
      <c r="AB777" s="1510"/>
      <c r="AC777" s="1355">
        <f>SUM(AC773:AG776)</f>
        <v>2975</v>
      </c>
      <c r="AD777" s="1356"/>
      <c r="AE777" s="1356"/>
      <c r="AF777" s="1356"/>
      <c r="AG777" s="1357"/>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518">
        <f>SUM(CP773:CT776)</f>
        <v>0</v>
      </c>
      <c r="CQ777" s="1523"/>
      <c r="CR777" s="1523"/>
      <c r="CS777" s="1523"/>
      <c r="CT777" s="1519"/>
      <c r="CU777" s="1524">
        <f>SUM(CU773:CY776)</f>
        <v>0</v>
      </c>
      <c r="CV777" s="1525"/>
      <c r="CW777" s="1525"/>
      <c r="CX777" s="1525"/>
      <c r="CY777" s="1526"/>
      <c r="CZ777" s="1524">
        <f>SUM(CZ773:DD776)</f>
        <v>1</v>
      </c>
      <c r="DA777" s="1525"/>
      <c r="DB777" s="1525"/>
      <c r="DC777" s="1525"/>
      <c r="DD777" s="1526"/>
      <c r="DE777" s="1524">
        <f>SUM(DE773:DI776)</f>
        <v>0</v>
      </c>
      <c r="DF777" s="1525"/>
      <c r="DG777" s="1525"/>
      <c r="DH777" s="1525"/>
      <c r="DI777" s="1526"/>
      <c r="DJ777" s="1524">
        <f>SUM(DJ773:DN776)</f>
        <v>0</v>
      </c>
      <c r="DK777" s="1525"/>
      <c r="DL777" s="1525"/>
      <c r="DM777" s="1525"/>
      <c r="DN777" s="1526"/>
      <c r="DO777" s="1524">
        <f>SUM(DO773:DS776)</f>
        <v>0</v>
      </c>
      <c r="DP777" s="1525"/>
      <c r="DQ777" s="1525"/>
      <c r="DR777" s="1525"/>
      <c r="DS777" s="1526"/>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727" t="s">
        <v>669</v>
      </c>
      <c r="K779" s="1727"/>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47" t="s">
        <v>388</v>
      </c>
      <c r="K783" s="1448"/>
      <c r="L783" s="1448"/>
      <c r="M783" s="1448"/>
      <c r="N783" s="1449"/>
      <c r="O783" s="1690" t="s">
        <v>284</v>
      </c>
      <c r="P783" s="1690"/>
      <c r="Q783" s="1690"/>
      <c r="R783" s="1690"/>
      <c r="S783" s="1690"/>
      <c r="T783" s="1715" t="s">
        <v>1679</v>
      </c>
      <c r="U783" s="1716"/>
      <c r="V783" s="1716"/>
      <c r="W783" s="1717"/>
      <c r="X783" s="1447" t="s">
        <v>447</v>
      </c>
      <c r="Y783" s="1448"/>
      <c r="Z783" s="1448"/>
      <c r="AA783" s="1448"/>
      <c r="AB783" s="1449"/>
      <c r="AC783" s="1447" t="s">
        <v>285</v>
      </c>
      <c r="AD783" s="1448"/>
      <c r="AE783" s="1448"/>
      <c r="AF783" s="1448"/>
      <c r="AG783" s="144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50"/>
      <c r="K784" s="1451"/>
      <c r="L784" s="1451"/>
      <c r="M784" s="1451"/>
      <c r="N784" s="1452"/>
      <c r="O784" s="1690"/>
      <c r="P784" s="1690"/>
      <c r="Q784" s="1690"/>
      <c r="R784" s="1690"/>
      <c r="S784" s="1690"/>
      <c r="T784" s="1718"/>
      <c r="U784" s="1719"/>
      <c r="V784" s="1719"/>
      <c r="W784" s="1720"/>
      <c r="X784" s="1450"/>
      <c r="Y784" s="1451"/>
      <c r="Z784" s="1451"/>
      <c r="AA784" s="1451"/>
      <c r="AB784" s="1452"/>
      <c r="AC784" s="1450"/>
      <c r="AD784" s="1451"/>
      <c r="AE784" s="1451"/>
      <c r="AF784" s="1451"/>
      <c r="AG784" s="145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50"/>
      <c r="K785" s="1451"/>
      <c r="L785" s="1451"/>
      <c r="M785" s="1451"/>
      <c r="N785" s="1452"/>
      <c r="O785" s="1690"/>
      <c r="P785" s="1690"/>
      <c r="Q785" s="1690"/>
      <c r="R785" s="1690"/>
      <c r="S785" s="1690"/>
      <c r="T785" s="1718"/>
      <c r="U785" s="1719"/>
      <c r="V785" s="1719"/>
      <c r="W785" s="1720"/>
      <c r="X785" s="1450"/>
      <c r="Y785" s="1451"/>
      <c r="Z785" s="1451"/>
      <c r="AA785" s="1451"/>
      <c r="AB785" s="1452"/>
      <c r="AC785" s="1450"/>
      <c r="AD785" s="1451"/>
      <c r="AE785" s="1451"/>
      <c r="AF785" s="1451"/>
      <c r="AG785" s="145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453"/>
      <c r="K786" s="1454"/>
      <c r="L786" s="1454"/>
      <c r="M786" s="1454"/>
      <c r="N786" s="1455"/>
      <c r="O786" s="1690"/>
      <c r="P786" s="1690"/>
      <c r="Q786" s="1690"/>
      <c r="R786" s="1690"/>
      <c r="S786" s="1690"/>
      <c r="T786" s="1721"/>
      <c r="U786" s="1722"/>
      <c r="V786" s="1722"/>
      <c r="W786" s="1723"/>
      <c r="X786" s="1453"/>
      <c r="Y786" s="1454"/>
      <c r="Z786" s="1454"/>
      <c r="AA786" s="1454"/>
      <c r="AB786" s="1455"/>
      <c r="AC786" s="1453"/>
      <c r="AD786" s="1454"/>
      <c r="AE786" s="1454"/>
      <c r="AF786" s="1454"/>
      <c r="AG786" s="145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64"/>
      <c r="K787" s="1365"/>
      <c r="L787" s="1365"/>
      <c r="M787" s="1365"/>
      <c r="N787" s="1366"/>
      <c r="O787" s="1554"/>
      <c r="P787" s="1554"/>
      <c r="Q787" s="1554"/>
      <c r="R787" s="1554"/>
      <c r="S787" s="1554"/>
      <c r="T787" s="1418"/>
      <c r="U787" s="1419"/>
      <c r="V787" s="1419"/>
      <c r="W787" s="1420"/>
      <c r="X787" s="1358"/>
      <c r="Y787" s="1359"/>
      <c r="Z787" s="1359"/>
      <c r="AA787" s="1359"/>
      <c r="AB787" s="1360"/>
      <c r="AC787" s="1355">
        <f t="shared" ref="AC787:AC796" si="40">X787*O787</f>
        <v>0</v>
      </c>
      <c r="AD787" s="1356"/>
      <c r="AE787" s="1356"/>
      <c r="AF787" s="1356"/>
      <c r="AG787" s="135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513">
        <f t="shared" ref="CP787:CP796" si="41">IF(J787="SRO/Studio",O787,0)</f>
        <v>0</v>
      </c>
      <c r="CQ787" s="1514"/>
      <c r="CR787" s="1514"/>
      <c r="CS787" s="1514"/>
      <c r="CT787" s="1515"/>
      <c r="CU787" s="1513">
        <f t="shared" ref="CU787:CU796" si="42">IF(J787="1 Bedroom",O787,0)</f>
        <v>0</v>
      </c>
      <c r="CV787" s="1514"/>
      <c r="CW787" s="1514"/>
      <c r="CX787" s="1514"/>
      <c r="CY787" s="1515"/>
      <c r="CZ787" s="1513">
        <f t="shared" ref="CZ787:CZ796" si="43">IF(J787="2 Bedrooms",O787,0)</f>
        <v>0</v>
      </c>
      <c r="DA787" s="1514"/>
      <c r="DB787" s="1514"/>
      <c r="DC787" s="1514"/>
      <c r="DD787" s="1515"/>
      <c r="DE787" s="1513">
        <f t="shared" ref="DE787:DE796" si="44">IF(J787="3 Bedrooms",O787,0)</f>
        <v>0</v>
      </c>
      <c r="DF787" s="1514"/>
      <c r="DG787" s="1514"/>
      <c r="DH787" s="1514"/>
      <c r="DI787" s="1515"/>
      <c r="DJ787" s="1513">
        <f t="shared" ref="DJ787:DJ796" si="45">IF(J787="4 Bedrooms",O787,0)</f>
        <v>0</v>
      </c>
      <c r="DK787" s="1514"/>
      <c r="DL787" s="1514"/>
      <c r="DM787" s="1514"/>
      <c r="DN787" s="1515"/>
      <c r="DO787" s="1513">
        <f t="shared" ref="DO787:DO796" si="46">IF(J787="5 Bedrooms",O787,0)</f>
        <v>0</v>
      </c>
      <c r="DP787" s="1514"/>
      <c r="DQ787" s="1514"/>
      <c r="DR787" s="1514"/>
      <c r="DS787" s="1515"/>
      <c r="DT787" s="6"/>
      <c r="DU787" s="1513">
        <f t="shared" ref="DU787:DU796" si="47">IF(AND(CP787&gt;=1,AH787&gt;=0.1,AH787&lt;=1),O787,0)</f>
        <v>0</v>
      </c>
      <c r="DV787" s="1514"/>
      <c r="DW787" s="1514"/>
      <c r="DX787" s="1514"/>
      <c r="DY787" s="1515"/>
      <c r="DZ787" s="1513">
        <f t="shared" ref="DZ787:DZ796" si="48">IF(AND(CU787&gt;=1,AH787&gt;=0.1,AH787&lt;=1),O787,0)</f>
        <v>0</v>
      </c>
      <c r="EA787" s="1514"/>
      <c r="EB787" s="1514"/>
      <c r="EC787" s="1514"/>
      <c r="ED787" s="1515"/>
      <c r="EE787" s="1513">
        <f t="shared" ref="EE787:EE796" si="49">IF(AND(CZ787&gt;=1,AH787&gt;=0.1,AH787&lt;=1),O787,0)</f>
        <v>0</v>
      </c>
      <c r="EF787" s="1514"/>
      <c r="EG787" s="1514"/>
      <c r="EH787" s="1514"/>
      <c r="EI787" s="1515"/>
      <c r="EJ787" s="1513">
        <f t="shared" ref="EJ787:EJ796" si="50">IF(AND(DE787&gt;=1,AH787&gt;=0.1,AH787&lt;=1),O787,0)</f>
        <v>0</v>
      </c>
      <c r="EK787" s="1514"/>
      <c r="EL787" s="1514"/>
      <c r="EM787" s="1514"/>
      <c r="EN787" s="1515"/>
      <c r="EO787" s="1513">
        <f t="shared" ref="EO787:EO796" si="51">IF(AND(DJ787&gt;=1,AH787&gt;=0.1,AH787&lt;=1),O787,0)</f>
        <v>0</v>
      </c>
      <c r="EP787" s="1514"/>
      <c r="EQ787" s="1514"/>
      <c r="ER787" s="1514"/>
      <c r="ES787" s="1515"/>
      <c r="ET787" s="1513">
        <f t="shared" ref="ET787:ET796" si="52">IF(AND(DO787&gt;=1,AH787&gt;=0.1,AH787&lt;=1),O787,0)</f>
        <v>0</v>
      </c>
      <c r="EU787" s="1514"/>
      <c r="EV787" s="1514"/>
      <c r="EW787" s="1514"/>
      <c r="EX787" s="1515"/>
    </row>
    <row r="788" spans="1:154" s="14" customFormat="1" ht="12.95" customHeight="1">
      <c r="A788"/>
      <c r="B788"/>
      <c r="C788"/>
      <c r="D788"/>
      <c r="E788"/>
      <c r="F788"/>
      <c r="G788"/>
      <c r="H788"/>
      <c r="I788"/>
      <c r="J788" s="1364"/>
      <c r="K788" s="1365"/>
      <c r="L788" s="1365"/>
      <c r="M788" s="1365"/>
      <c r="N788" s="1366"/>
      <c r="O788" s="1554"/>
      <c r="P788" s="1554"/>
      <c r="Q788" s="1554"/>
      <c r="R788" s="1554"/>
      <c r="S788" s="1554"/>
      <c r="T788" s="1418"/>
      <c r="U788" s="1419"/>
      <c r="V788" s="1419"/>
      <c r="W788" s="1420"/>
      <c r="X788" s="1358"/>
      <c r="Y788" s="1359"/>
      <c r="Z788" s="1359"/>
      <c r="AA788" s="1359"/>
      <c r="AB788" s="1360"/>
      <c r="AC788" s="1355">
        <f t="shared" si="40"/>
        <v>0</v>
      </c>
      <c r="AD788" s="1356"/>
      <c r="AE788" s="1356"/>
      <c r="AF788" s="1356"/>
      <c r="AG788" s="135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513">
        <f t="shared" si="41"/>
        <v>0</v>
      </c>
      <c r="CQ788" s="1514"/>
      <c r="CR788" s="1514"/>
      <c r="CS788" s="1514"/>
      <c r="CT788" s="1515"/>
      <c r="CU788" s="1513">
        <f t="shared" si="42"/>
        <v>0</v>
      </c>
      <c r="CV788" s="1514"/>
      <c r="CW788" s="1514"/>
      <c r="CX788" s="1514"/>
      <c r="CY788" s="1515"/>
      <c r="CZ788" s="1513">
        <f t="shared" si="43"/>
        <v>0</v>
      </c>
      <c r="DA788" s="1514"/>
      <c r="DB788" s="1514"/>
      <c r="DC788" s="1514"/>
      <c r="DD788" s="1515"/>
      <c r="DE788" s="1513">
        <f t="shared" si="44"/>
        <v>0</v>
      </c>
      <c r="DF788" s="1514"/>
      <c r="DG788" s="1514"/>
      <c r="DH788" s="1514"/>
      <c r="DI788" s="1515"/>
      <c r="DJ788" s="1513">
        <f t="shared" si="45"/>
        <v>0</v>
      </c>
      <c r="DK788" s="1514"/>
      <c r="DL788" s="1514"/>
      <c r="DM788" s="1514"/>
      <c r="DN788" s="1515"/>
      <c r="DO788" s="1513">
        <f t="shared" si="46"/>
        <v>0</v>
      </c>
      <c r="DP788" s="1514"/>
      <c r="DQ788" s="1514"/>
      <c r="DR788" s="1514"/>
      <c r="DS788" s="1515"/>
      <c r="DT788" s="6"/>
      <c r="DU788" s="1513">
        <f t="shared" si="47"/>
        <v>0</v>
      </c>
      <c r="DV788" s="1514"/>
      <c r="DW788" s="1514"/>
      <c r="DX788" s="1514"/>
      <c r="DY788" s="1515"/>
      <c r="DZ788" s="1513">
        <f t="shared" si="48"/>
        <v>0</v>
      </c>
      <c r="EA788" s="1514"/>
      <c r="EB788" s="1514"/>
      <c r="EC788" s="1514"/>
      <c r="ED788" s="1515"/>
      <c r="EE788" s="1513">
        <f t="shared" si="49"/>
        <v>0</v>
      </c>
      <c r="EF788" s="1514"/>
      <c r="EG788" s="1514"/>
      <c r="EH788" s="1514"/>
      <c r="EI788" s="1515"/>
      <c r="EJ788" s="1513">
        <f t="shared" si="50"/>
        <v>0</v>
      </c>
      <c r="EK788" s="1514"/>
      <c r="EL788" s="1514"/>
      <c r="EM788" s="1514"/>
      <c r="EN788" s="1515"/>
      <c r="EO788" s="1513">
        <f t="shared" si="51"/>
        <v>0</v>
      </c>
      <c r="EP788" s="1514"/>
      <c r="EQ788" s="1514"/>
      <c r="ER788" s="1514"/>
      <c r="ES788" s="1515"/>
      <c r="ET788" s="1513">
        <f t="shared" si="52"/>
        <v>0</v>
      </c>
      <c r="EU788" s="1514"/>
      <c r="EV788" s="1514"/>
      <c r="EW788" s="1514"/>
      <c r="EX788" s="1515"/>
    </row>
    <row r="789" spans="1:154" s="14" customFormat="1" ht="12.95" customHeight="1">
      <c r="A789"/>
      <c r="B789"/>
      <c r="C789"/>
      <c r="D789"/>
      <c r="E789"/>
      <c r="F789"/>
      <c r="G789"/>
      <c r="H789"/>
      <c r="I789"/>
      <c r="J789" s="1364"/>
      <c r="K789" s="1365"/>
      <c r="L789" s="1365"/>
      <c r="M789" s="1365"/>
      <c r="N789" s="1366"/>
      <c r="O789" s="1554"/>
      <c r="P789" s="1554"/>
      <c r="Q789" s="1554"/>
      <c r="R789" s="1554"/>
      <c r="S789" s="1554"/>
      <c r="T789" s="1418"/>
      <c r="U789" s="1419"/>
      <c r="V789" s="1419"/>
      <c r="W789" s="1420"/>
      <c r="X789" s="1358"/>
      <c r="Y789" s="1359"/>
      <c r="Z789" s="1359"/>
      <c r="AA789" s="1359"/>
      <c r="AB789" s="1360"/>
      <c r="AC789" s="1355">
        <f t="shared" si="40"/>
        <v>0</v>
      </c>
      <c r="AD789" s="1356"/>
      <c r="AE789" s="1356"/>
      <c r="AF789" s="1356"/>
      <c r="AG789" s="135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513">
        <f t="shared" si="41"/>
        <v>0</v>
      </c>
      <c r="CQ789" s="1514"/>
      <c r="CR789" s="1514"/>
      <c r="CS789" s="1514"/>
      <c r="CT789" s="1515"/>
      <c r="CU789" s="1513">
        <f t="shared" si="42"/>
        <v>0</v>
      </c>
      <c r="CV789" s="1514"/>
      <c r="CW789" s="1514"/>
      <c r="CX789" s="1514"/>
      <c r="CY789" s="1515"/>
      <c r="CZ789" s="1513">
        <f t="shared" si="43"/>
        <v>0</v>
      </c>
      <c r="DA789" s="1514"/>
      <c r="DB789" s="1514"/>
      <c r="DC789" s="1514"/>
      <c r="DD789" s="1515"/>
      <c r="DE789" s="1513">
        <f t="shared" si="44"/>
        <v>0</v>
      </c>
      <c r="DF789" s="1514"/>
      <c r="DG789" s="1514"/>
      <c r="DH789" s="1514"/>
      <c r="DI789" s="1515"/>
      <c r="DJ789" s="1513">
        <f t="shared" si="45"/>
        <v>0</v>
      </c>
      <c r="DK789" s="1514"/>
      <c r="DL789" s="1514"/>
      <c r="DM789" s="1514"/>
      <c r="DN789" s="1515"/>
      <c r="DO789" s="1513">
        <f t="shared" si="46"/>
        <v>0</v>
      </c>
      <c r="DP789" s="1514"/>
      <c r="DQ789" s="1514"/>
      <c r="DR789" s="1514"/>
      <c r="DS789" s="1515"/>
      <c r="DT789" s="6"/>
      <c r="DU789" s="1513">
        <f t="shared" si="47"/>
        <v>0</v>
      </c>
      <c r="DV789" s="1514"/>
      <c r="DW789" s="1514"/>
      <c r="DX789" s="1514"/>
      <c r="DY789" s="1515"/>
      <c r="DZ789" s="1513">
        <f t="shared" si="48"/>
        <v>0</v>
      </c>
      <c r="EA789" s="1514"/>
      <c r="EB789" s="1514"/>
      <c r="EC789" s="1514"/>
      <c r="ED789" s="1515"/>
      <c r="EE789" s="1513">
        <f t="shared" si="49"/>
        <v>0</v>
      </c>
      <c r="EF789" s="1514"/>
      <c r="EG789" s="1514"/>
      <c r="EH789" s="1514"/>
      <c r="EI789" s="1515"/>
      <c r="EJ789" s="1513">
        <f t="shared" si="50"/>
        <v>0</v>
      </c>
      <c r="EK789" s="1514"/>
      <c r="EL789" s="1514"/>
      <c r="EM789" s="1514"/>
      <c r="EN789" s="1515"/>
      <c r="EO789" s="1513">
        <f t="shared" si="51"/>
        <v>0</v>
      </c>
      <c r="EP789" s="1514"/>
      <c r="EQ789" s="1514"/>
      <c r="ER789" s="1514"/>
      <c r="ES789" s="1515"/>
      <c r="ET789" s="1513">
        <f t="shared" si="52"/>
        <v>0</v>
      </c>
      <c r="EU789" s="1514"/>
      <c r="EV789" s="1514"/>
      <c r="EW789" s="1514"/>
      <c r="EX789" s="1515"/>
    </row>
    <row r="790" spans="1:154" s="14" customFormat="1" ht="12.95" customHeight="1">
      <c r="A790"/>
      <c r="B790"/>
      <c r="C790"/>
      <c r="D790"/>
      <c r="E790"/>
      <c r="F790"/>
      <c r="G790"/>
      <c r="H790"/>
      <c r="I790"/>
      <c r="J790" s="1364"/>
      <c r="K790" s="1365"/>
      <c r="L790" s="1365"/>
      <c r="M790" s="1365"/>
      <c r="N790" s="1366"/>
      <c r="O790" s="1554"/>
      <c r="P790" s="1554"/>
      <c r="Q790" s="1554"/>
      <c r="R790" s="1554"/>
      <c r="S790" s="1554"/>
      <c r="T790" s="1418"/>
      <c r="U790" s="1419"/>
      <c r="V790" s="1419"/>
      <c r="W790" s="1420"/>
      <c r="X790" s="1358"/>
      <c r="Y790" s="1359"/>
      <c r="Z790" s="1359"/>
      <c r="AA790" s="1359"/>
      <c r="AB790" s="1360"/>
      <c r="AC790" s="1355">
        <f t="shared" si="40"/>
        <v>0</v>
      </c>
      <c r="AD790" s="1356"/>
      <c r="AE790" s="1356"/>
      <c r="AF790" s="1356"/>
      <c r="AG790" s="135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513">
        <f t="shared" si="41"/>
        <v>0</v>
      </c>
      <c r="CQ790" s="1514"/>
      <c r="CR790" s="1514"/>
      <c r="CS790" s="1514"/>
      <c r="CT790" s="1515"/>
      <c r="CU790" s="1513">
        <f t="shared" si="42"/>
        <v>0</v>
      </c>
      <c r="CV790" s="1514"/>
      <c r="CW790" s="1514"/>
      <c r="CX790" s="1514"/>
      <c r="CY790" s="1515"/>
      <c r="CZ790" s="1513">
        <f t="shared" si="43"/>
        <v>0</v>
      </c>
      <c r="DA790" s="1514"/>
      <c r="DB790" s="1514"/>
      <c r="DC790" s="1514"/>
      <c r="DD790" s="1515"/>
      <c r="DE790" s="1513">
        <f t="shared" si="44"/>
        <v>0</v>
      </c>
      <c r="DF790" s="1514"/>
      <c r="DG790" s="1514"/>
      <c r="DH790" s="1514"/>
      <c r="DI790" s="1515"/>
      <c r="DJ790" s="1513">
        <f t="shared" si="45"/>
        <v>0</v>
      </c>
      <c r="DK790" s="1514"/>
      <c r="DL790" s="1514"/>
      <c r="DM790" s="1514"/>
      <c r="DN790" s="1515"/>
      <c r="DO790" s="1513">
        <f t="shared" si="46"/>
        <v>0</v>
      </c>
      <c r="DP790" s="1514"/>
      <c r="DQ790" s="1514"/>
      <c r="DR790" s="1514"/>
      <c r="DS790" s="1515"/>
      <c r="DT790" s="6"/>
      <c r="DU790" s="1513">
        <f t="shared" si="47"/>
        <v>0</v>
      </c>
      <c r="DV790" s="1514"/>
      <c r="DW790" s="1514"/>
      <c r="DX790" s="1514"/>
      <c r="DY790" s="1515"/>
      <c r="DZ790" s="1513">
        <f t="shared" si="48"/>
        <v>0</v>
      </c>
      <c r="EA790" s="1514"/>
      <c r="EB790" s="1514"/>
      <c r="EC790" s="1514"/>
      <c r="ED790" s="1515"/>
      <c r="EE790" s="1513">
        <f t="shared" si="49"/>
        <v>0</v>
      </c>
      <c r="EF790" s="1514"/>
      <c r="EG790" s="1514"/>
      <c r="EH790" s="1514"/>
      <c r="EI790" s="1515"/>
      <c r="EJ790" s="1513">
        <f t="shared" si="50"/>
        <v>0</v>
      </c>
      <c r="EK790" s="1514"/>
      <c r="EL790" s="1514"/>
      <c r="EM790" s="1514"/>
      <c r="EN790" s="1515"/>
      <c r="EO790" s="1513">
        <f t="shared" si="51"/>
        <v>0</v>
      </c>
      <c r="EP790" s="1514"/>
      <c r="EQ790" s="1514"/>
      <c r="ER790" s="1514"/>
      <c r="ES790" s="1515"/>
      <c r="ET790" s="1513">
        <f t="shared" si="52"/>
        <v>0</v>
      </c>
      <c r="EU790" s="1514"/>
      <c r="EV790" s="1514"/>
      <c r="EW790" s="1514"/>
      <c r="EX790" s="1515"/>
    </row>
    <row r="791" spans="1:154" s="14" customFormat="1" ht="12.95" customHeight="1">
      <c r="A791"/>
      <c r="B791"/>
      <c r="C791"/>
      <c r="D791"/>
      <c r="E791"/>
      <c r="F791"/>
      <c r="G791"/>
      <c r="H791"/>
      <c r="I791"/>
      <c r="J791" s="1364"/>
      <c r="K791" s="1365"/>
      <c r="L791" s="1365"/>
      <c r="M791" s="1365"/>
      <c r="N791" s="1366"/>
      <c r="O791" s="1554"/>
      <c r="P791" s="1554"/>
      <c r="Q791" s="1554"/>
      <c r="R791" s="1554"/>
      <c r="S791" s="1554"/>
      <c r="T791" s="1418"/>
      <c r="U791" s="1419"/>
      <c r="V791" s="1419"/>
      <c r="W791" s="1420"/>
      <c r="X791" s="1358"/>
      <c r="Y791" s="1359"/>
      <c r="Z791" s="1359"/>
      <c r="AA791" s="1359"/>
      <c r="AB791" s="1360"/>
      <c r="AC791" s="1355">
        <f t="shared" si="40"/>
        <v>0</v>
      </c>
      <c r="AD791" s="1356"/>
      <c r="AE791" s="1356"/>
      <c r="AF791" s="1356"/>
      <c r="AG791" s="135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513">
        <f t="shared" si="41"/>
        <v>0</v>
      </c>
      <c r="CQ791" s="1514"/>
      <c r="CR791" s="1514"/>
      <c r="CS791" s="1514"/>
      <c r="CT791" s="1515"/>
      <c r="CU791" s="1513">
        <f t="shared" si="42"/>
        <v>0</v>
      </c>
      <c r="CV791" s="1514"/>
      <c r="CW791" s="1514"/>
      <c r="CX791" s="1514"/>
      <c r="CY791" s="1515"/>
      <c r="CZ791" s="1513">
        <f t="shared" si="43"/>
        <v>0</v>
      </c>
      <c r="DA791" s="1514"/>
      <c r="DB791" s="1514"/>
      <c r="DC791" s="1514"/>
      <c r="DD791" s="1515"/>
      <c r="DE791" s="1513">
        <f t="shared" si="44"/>
        <v>0</v>
      </c>
      <c r="DF791" s="1514"/>
      <c r="DG791" s="1514"/>
      <c r="DH791" s="1514"/>
      <c r="DI791" s="1515"/>
      <c r="DJ791" s="1513">
        <f t="shared" si="45"/>
        <v>0</v>
      </c>
      <c r="DK791" s="1514"/>
      <c r="DL791" s="1514"/>
      <c r="DM791" s="1514"/>
      <c r="DN791" s="1515"/>
      <c r="DO791" s="1513">
        <f t="shared" si="46"/>
        <v>0</v>
      </c>
      <c r="DP791" s="1514"/>
      <c r="DQ791" s="1514"/>
      <c r="DR791" s="1514"/>
      <c r="DS791" s="1515"/>
      <c r="DT791" s="6"/>
      <c r="DU791" s="1513">
        <f t="shared" si="47"/>
        <v>0</v>
      </c>
      <c r="DV791" s="1514"/>
      <c r="DW791" s="1514"/>
      <c r="DX791" s="1514"/>
      <c r="DY791" s="1515"/>
      <c r="DZ791" s="1513">
        <f t="shared" si="48"/>
        <v>0</v>
      </c>
      <c r="EA791" s="1514"/>
      <c r="EB791" s="1514"/>
      <c r="EC791" s="1514"/>
      <c r="ED791" s="1515"/>
      <c r="EE791" s="1513">
        <f t="shared" si="49"/>
        <v>0</v>
      </c>
      <c r="EF791" s="1514"/>
      <c r="EG791" s="1514"/>
      <c r="EH791" s="1514"/>
      <c r="EI791" s="1515"/>
      <c r="EJ791" s="1513">
        <f t="shared" si="50"/>
        <v>0</v>
      </c>
      <c r="EK791" s="1514"/>
      <c r="EL791" s="1514"/>
      <c r="EM791" s="1514"/>
      <c r="EN791" s="1515"/>
      <c r="EO791" s="1513">
        <f t="shared" si="51"/>
        <v>0</v>
      </c>
      <c r="EP791" s="1514"/>
      <c r="EQ791" s="1514"/>
      <c r="ER791" s="1514"/>
      <c r="ES791" s="1515"/>
      <c r="ET791" s="1513">
        <f t="shared" si="52"/>
        <v>0</v>
      </c>
      <c r="EU791" s="1514"/>
      <c r="EV791" s="1514"/>
      <c r="EW791" s="1514"/>
      <c r="EX791" s="1515"/>
    </row>
    <row r="792" spans="1:154" s="14" customFormat="1" ht="12.95" customHeight="1">
      <c r="A792"/>
      <c r="B792"/>
      <c r="C792"/>
      <c r="D792"/>
      <c r="E792"/>
      <c r="F792"/>
      <c r="G792"/>
      <c r="H792"/>
      <c r="I792"/>
      <c r="J792" s="1364"/>
      <c r="K792" s="1365"/>
      <c r="L792" s="1365"/>
      <c r="M792" s="1365"/>
      <c r="N792" s="1366"/>
      <c r="O792" s="1554"/>
      <c r="P792" s="1554"/>
      <c r="Q792" s="1554"/>
      <c r="R792" s="1554"/>
      <c r="S792" s="1554"/>
      <c r="T792" s="1418"/>
      <c r="U792" s="1419"/>
      <c r="V792" s="1419"/>
      <c r="W792" s="1420"/>
      <c r="X792" s="1358"/>
      <c r="Y792" s="1359"/>
      <c r="Z792" s="1359"/>
      <c r="AA792" s="1359"/>
      <c r="AB792" s="1360"/>
      <c r="AC792" s="1355">
        <f t="shared" si="40"/>
        <v>0</v>
      </c>
      <c r="AD792" s="1356"/>
      <c r="AE792" s="1356"/>
      <c r="AF792" s="1356"/>
      <c r="AG792" s="135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513">
        <f t="shared" si="41"/>
        <v>0</v>
      </c>
      <c r="CQ792" s="1514"/>
      <c r="CR792" s="1514"/>
      <c r="CS792" s="1514"/>
      <c r="CT792" s="1515"/>
      <c r="CU792" s="1513">
        <f t="shared" si="42"/>
        <v>0</v>
      </c>
      <c r="CV792" s="1514"/>
      <c r="CW792" s="1514"/>
      <c r="CX792" s="1514"/>
      <c r="CY792" s="1515"/>
      <c r="CZ792" s="1513">
        <f t="shared" si="43"/>
        <v>0</v>
      </c>
      <c r="DA792" s="1514"/>
      <c r="DB792" s="1514"/>
      <c r="DC792" s="1514"/>
      <c r="DD792" s="1515"/>
      <c r="DE792" s="1513">
        <f t="shared" si="44"/>
        <v>0</v>
      </c>
      <c r="DF792" s="1514"/>
      <c r="DG792" s="1514"/>
      <c r="DH792" s="1514"/>
      <c r="DI792" s="1515"/>
      <c r="DJ792" s="1513">
        <f t="shared" si="45"/>
        <v>0</v>
      </c>
      <c r="DK792" s="1514"/>
      <c r="DL792" s="1514"/>
      <c r="DM792" s="1514"/>
      <c r="DN792" s="1515"/>
      <c r="DO792" s="1513">
        <f t="shared" si="46"/>
        <v>0</v>
      </c>
      <c r="DP792" s="1514"/>
      <c r="DQ792" s="1514"/>
      <c r="DR792" s="1514"/>
      <c r="DS792" s="1515"/>
      <c r="DT792" s="6"/>
      <c r="DU792" s="1513">
        <f t="shared" si="47"/>
        <v>0</v>
      </c>
      <c r="DV792" s="1514"/>
      <c r="DW792" s="1514"/>
      <c r="DX792" s="1514"/>
      <c r="DY792" s="1515"/>
      <c r="DZ792" s="1513">
        <f t="shared" si="48"/>
        <v>0</v>
      </c>
      <c r="EA792" s="1514"/>
      <c r="EB792" s="1514"/>
      <c r="EC792" s="1514"/>
      <c r="ED792" s="1515"/>
      <c r="EE792" s="1513">
        <f t="shared" si="49"/>
        <v>0</v>
      </c>
      <c r="EF792" s="1514"/>
      <c r="EG792" s="1514"/>
      <c r="EH792" s="1514"/>
      <c r="EI792" s="1515"/>
      <c r="EJ792" s="1513">
        <f t="shared" si="50"/>
        <v>0</v>
      </c>
      <c r="EK792" s="1514"/>
      <c r="EL792" s="1514"/>
      <c r="EM792" s="1514"/>
      <c r="EN792" s="1515"/>
      <c r="EO792" s="1513">
        <f t="shared" si="51"/>
        <v>0</v>
      </c>
      <c r="EP792" s="1514"/>
      <c r="EQ792" s="1514"/>
      <c r="ER792" s="1514"/>
      <c r="ES792" s="1515"/>
      <c r="ET792" s="1513">
        <f t="shared" si="52"/>
        <v>0</v>
      </c>
      <c r="EU792" s="1514"/>
      <c r="EV792" s="1514"/>
      <c r="EW792" s="1514"/>
      <c r="EX792" s="1515"/>
    </row>
    <row r="793" spans="1:154" s="14" customFormat="1" ht="12.95" customHeight="1">
      <c r="A793"/>
      <c r="B793"/>
      <c r="C793"/>
      <c r="D793"/>
      <c r="E793"/>
      <c r="F793"/>
      <c r="G793"/>
      <c r="H793"/>
      <c r="I793"/>
      <c r="J793" s="1364"/>
      <c r="K793" s="1365"/>
      <c r="L793" s="1365"/>
      <c r="M793" s="1365"/>
      <c r="N793" s="1366"/>
      <c r="O793" s="1554"/>
      <c r="P793" s="1554"/>
      <c r="Q793" s="1554"/>
      <c r="R793" s="1554"/>
      <c r="S793" s="1554"/>
      <c r="T793" s="1418"/>
      <c r="U793" s="1419"/>
      <c r="V793" s="1419"/>
      <c r="W793" s="1420"/>
      <c r="X793" s="1358"/>
      <c r="Y793" s="1359"/>
      <c r="Z793" s="1359"/>
      <c r="AA793" s="1359"/>
      <c r="AB793" s="1360"/>
      <c r="AC793" s="1355">
        <f t="shared" si="40"/>
        <v>0</v>
      </c>
      <c r="AD793" s="1356"/>
      <c r="AE793" s="1356"/>
      <c r="AF793" s="1356"/>
      <c r="AG793" s="135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513">
        <f t="shared" si="41"/>
        <v>0</v>
      </c>
      <c r="CQ793" s="1514"/>
      <c r="CR793" s="1514"/>
      <c r="CS793" s="1514"/>
      <c r="CT793" s="1515"/>
      <c r="CU793" s="1513">
        <f t="shared" si="42"/>
        <v>0</v>
      </c>
      <c r="CV793" s="1514"/>
      <c r="CW793" s="1514"/>
      <c r="CX793" s="1514"/>
      <c r="CY793" s="1515"/>
      <c r="CZ793" s="1513">
        <f t="shared" si="43"/>
        <v>0</v>
      </c>
      <c r="DA793" s="1514"/>
      <c r="DB793" s="1514"/>
      <c r="DC793" s="1514"/>
      <c r="DD793" s="1515"/>
      <c r="DE793" s="1513">
        <f t="shared" si="44"/>
        <v>0</v>
      </c>
      <c r="DF793" s="1514"/>
      <c r="DG793" s="1514"/>
      <c r="DH793" s="1514"/>
      <c r="DI793" s="1515"/>
      <c r="DJ793" s="1513">
        <f t="shared" si="45"/>
        <v>0</v>
      </c>
      <c r="DK793" s="1514"/>
      <c r="DL793" s="1514"/>
      <c r="DM793" s="1514"/>
      <c r="DN793" s="1515"/>
      <c r="DO793" s="1513">
        <f t="shared" si="46"/>
        <v>0</v>
      </c>
      <c r="DP793" s="1514"/>
      <c r="DQ793" s="1514"/>
      <c r="DR793" s="1514"/>
      <c r="DS793" s="1515"/>
      <c r="DT793" s="6"/>
      <c r="DU793" s="1513">
        <f t="shared" si="47"/>
        <v>0</v>
      </c>
      <c r="DV793" s="1514"/>
      <c r="DW793" s="1514"/>
      <c r="DX793" s="1514"/>
      <c r="DY793" s="1515"/>
      <c r="DZ793" s="1513">
        <f t="shared" si="48"/>
        <v>0</v>
      </c>
      <c r="EA793" s="1514"/>
      <c r="EB793" s="1514"/>
      <c r="EC793" s="1514"/>
      <c r="ED793" s="1515"/>
      <c r="EE793" s="1513">
        <f t="shared" si="49"/>
        <v>0</v>
      </c>
      <c r="EF793" s="1514"/>
      <c r="EG793" s="1514"/>
      <c r="EH793" s="1514"/>
      <c r="EI793" s="1515"/>
      <c r="EJ793" s="1513">
        <f t="shared" si="50"/>
        <v>0</v>
      </c>
      <c r="EK793" s="1514"/>
      <c r="EL793" s="1514"/>
      <c r="EM793" s="1514"/>
      <c r="EN793" s="1515"/>
      <c r="EO793" s="1513">
        <f t="shared" si="51"/>
        <v>0</v>
      </c>
      <c r="EP793" s="1514"/>
      <c r="EQ793" s="1514"/>
      <c r="ER793" s="1514"/>
      <c r="ES793" s="1515"/>
      <c r="ET793" s="1513">
        <f t="shared" si="52"/>
        <v>0</v>
      </c>
      <c r="EU793" s="1514"/>
      <c r="EV793" s="1514"/>
      <c r="EW793" s="1514"/>
      <c r="EX793" s="1515"/>
    </row>
    <row r="794" spans="1:154" s="14" customFormat="1" ht="12.95" customHeight="1">
      <c r="A794"/>
      <c r="B794"/>
      <c r="C794"/>
      <c r="D794"/>
      <c r="E794"/>
      <c r="F794"/>
      <c r="G794"/>
      <c r="H794"/>
      <c r="I794"/>
      <c r="J794" s="1364"/>
      <c r="K794" s="1365"/>
      <c r="L794" s="1365"/>
      <c r="M794" s="1365"/>
      <c r="N794" s="1366"/>
      <c r="O794" s="1554"/>
      <c r="P794" s="1554"/>
      <c r="Q794" s="1554"/>
      <c r="R794" s="1554"/>
      <c r="S794" s="1554"/>
      <c r="T794" s="1418"/>
      <c r="U794" s="1419"/>
      <c r="V794" s="1419"/>
      <c r="W794" s="1420"/>
      <c r="X794" s="1358"/>
      <c r="Y794" s="1359"/>
      <c r="Z794" s="1359"/>
      <c r="AA794" s="1359"/>
      <c r="AB794" s="1360"/>
      <c r="AC794" s="1355">
        <f t="shared" si="40"/>
        <v>0</v>
      </c>
      <c r="AD794" s="1356"/>
      <c r="AE794" s="1356"/>
      <c r="AF794" s="1356"/>
      <c r="AG794" s="135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513">
        <f t="shared" si="41"/>
        <v>0</v>
      </c>
      <c r="CQ794" s="1514"/>
      <c r="CR794" s="1514"/>
      <c r="CS794" s="1514"/>
      <c r="CT794" s="1515"/>
      <c r="CU794" s="1513">
        <f t="shared" si="42"/>
        <v>0</v>
      </c>
      <c r="CV794" s="1514"/>
      <c r="CW794" s="1514"/>
      <c r="CX794" s="1514"/>
      <c r="CY794" s="1515"/>
      <c r="CZ794" s="1513">
        <f t="shared" si="43"/>
        <v>0</v>
      </c>
      <c r="DA794" s="1514"/>
      <c r="DB794" s="1514"/>
      <c r="DC794" s="1514"/>
      <c r="DD794" s="1515"/>
      <c r="DE794" s="1513">
        <f t="shared" si="44"/>
        <v>0</v>
      </c>
      <c r="DF794" s="1514"/>
      <c r="DG794" s="1514"/>
      <c r="DH794" s="1514"/>
      <c r="DI794" s="1515"/>
      <c r="DJ794" s="1513">
        <f t="shared" si="45"/>
        <v>0</v>
      </c>
      <c r="DK794" s="1514"/>
      <c r="DL794" s="1514"/>
      <c r="DM794" s="1514"/>
      <c r="DN794" s="1515"/>
      <c r="DO794" s="1513">
        <f t="shared" si="46"/>
        <v>0</v>
      </c>
      <c r="DP794" s="1514"/>
      <c r="DQ794" s="1514"/>
      <c r="DR794" s="1514"/>
      <c r="DS794" s="1515"/>
      <c r="DT794" s="6"/>
      <c r="DU794" s="1513">
        <f t="shared" si="47"/>
        <v>0</v>
      </c>
      <c r="DV794" s="1514"/>
      <c r="DW794" s="1514"/>
      <c r="DX794" s="1514"/>
      <c r="DY794" s="1515"/>
      <c r="DZ794" s="1513">
        <f t="shared" si="48"/>
        <v>0</v>
      </c>
      <c r="EA794" s="1514"/>
      <c r="EB794" s="1514"/>
      <c r="EC794" s="1514"/>
      <c r="ED794" s="1515"/>
      <c r="EE794" s="1513">
        <f t="shared" si="49"/>
        <v>0</v>
      </c>
      <c r="EF794" s="1514"/>
      <c r="EG794" s="1514"/>
      <c r="EH794" s="1514"/>
      <c r="EI794" s="1515"/>
      <c r="EJ794" s="1513">
        <f t="shared" si="50"/>
        <v>0</v>
      </c>
      <c r="EK794" s="1514"/>
      <c r="EL794" s="1514"/>
      <c r="EM794" s="1514"/>
      <c r="EN794" s="1515"/>
      <c r="EO794" s="1513">
        <f t="shared" si="51"/>
        <v>0</v>
      </c>
      <c r="EP794" s="1514"/>
      <c r="EQ794" s="1514"/>
      <c r="ER794" s="1514"/>
      <c r="ES794" s="1515"/>
      <c r="ET794" s="1513">
        <f t="shared" si="52"/>
        <v>0</v>
      </c>
      <c r="EU794" s="1514"/>
      <c r="EV794" s="1514"/>
      <c r="EW794" s="1514"/>
      <c r="EX794" s="1515"/>
    </row>
    <row r="795" spans="1:154" s="14" customFormat="1" ht="12.95" customHeight="1">
      <c r="A795"/>
      <c r="B795"/>
      <c r="C795"/>
      <c r="D795"/>
      <c r="E795"/>
      <c r="F795"/>
      <c r="G795"/>
      <c r="H795"/>
      <c r="I795"/>
      <c r="J795" s="1364"/>
      <c r="K795" s="1365"/>
      <c r="L795" s="1365"/>
      <c r="M795" s="1365"/>
      <c r="N795" s="1366"/>
      <c r="O795" s="1554"/>
      <c r="P795" s="1554"/>
      <c r="Q795" s="1554"/>
      <c r="R795" s="1554"/>
      <c r="S795" s="1554"/>
      <c r="T795" s="1418"/>
      <c r="U795" s="1419"/>
      <c r="V795" s="1419"/>
      <c r="W795" s="1420"/>
      <c r="X795" s="1358"/>
      <c r="Y795" s="1359"/>
      <c r="Z795" s="1359"/>
      <c r="AA795" s="1359"/>
      <c r="AB795" s="1360"/>
      <c r="AC795" s="1355">
        <f t="shared" si="40"/>
        <v>0</v>
      </c>
      <c r="AD795" s="1356"/>
      <c r="AE795" s="1356"/>
      <c r="AF795" s="1356"/>
      <c r="AG795" s="135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513">
        <f t="shared" si="41"/>
        <v>0</v>
      </c>
      <c r="CQ795" s="1514"/>
      <c r="CR795" s="1514"/>
      <c r="CS795" s="1514"/>
      <c r="CT795" s="1515"/>
      <c r="CU795" s="1513">
        <f t="shared" si="42"/>
        <v>0</v>
      </c>
      <c r="CV795" s="1514"/>
      <c r="CW795" s="1514"/>
      <c r="CX795" s="1514"/>
      <c r="CY795" s="1515"/>
      <c r="CZ795" s="1513">
        <f t="shared" si="43"/>
        <v>0</v>
      </c>
      <c r="DA795" s="1514"/>
      <c r="DB795" s="1514"/>
      <c r="DC795" s="1514"/>
      <c r="DD795" s="1515"/>
      <c r="DE795" s="1513">
        <f t="shared" si="44"/>
        <v>0</v>
      </c>
      <c r="DF795" s="1514"/>
      <c r="DG795" s="1514"/>
      <c r="DH795" s="1514"/>
      <c r="DI795" s="1515"/>
      <c r="DJ795" s="1513">
        <f t="shared" si="45"/>
        <v>0</v>
      </c>
      <c r="DK795" s="1514"/>
      <c r="DL795" s="1514"/>
      <c r="DM795" s="1514"/>
      <c r="DN795" s="1515"/>
      <c r="DO795" s="1513">
        <f t="shared" si="46"/>
        <v>0</v>
      </c>
      <c r="DP795" s="1514"/>
      <c r="DQ795" s="1514"/>
      <c r="DR795" s="1514"/>
      <c r="DS795" s="1515"/>
      <c r="DT795" s="6"/>
      <c r="DU795" s="1513">
        <f t="shared" si="47"/>
        <v>0</v>
      </c>
      <c r="DV795" s="1514"/>
      <c r="DW795" s="1514"/>
      <c r="DX795" s="1514"/>
      <c r="DY795" s="1515"/>
      <c r="DZ795" s="1513">
        <f t="shared" si="48"/>
        <v>0</v>
      </c>
      <c r="EA795" s="1514"/>
      <c r="EB795" s="1514"/>
      <c r="EC795" s="1514"/>
      <c r="ED795" s="1515"/>
      <c r="EE795" s="1513">
        <f t="shared" si="49"/>
        <v>0</v>
      </c>
      <c r="EF795" s="1514"/>
      <c r="EG795" s="1514"/>
      <c r="EH795" s="1514"/>
      <c r="EI795" s="1515"/>
      <c r="EJ795" s="1513">
        <f t="shared" si="50"/>
        <v>0</v>
      </c>
      <c r="EK795" s="1514"/>
      <c r="EL795" s="1514"/>
      <c r="EM795" s="1514"/>
      <c r="EN795" s="1515"/>
      <c r="EO795" s="1513">
        <f t="shared" si="51"/>
        <v>0</v>
      </c>
      <c r="EP795" s="1514"/>
      <c r="EQ795" s="1514"/>
      <c r="ER795" s="1514"/>
      <c r="ES795" s="1515"/>
      <c r="ET795" s="1513">
        <f t="shared" si="52"/>
        <v>0</v>
      </c>
      <c r="EU795" s="1514"/>
      <c r="EV795" s="1514"/>
      <c r="EW795" s="1514"/>
      <c r="EX795" s="1515"/>
    </row>
    <row r="796" spans="1:154" s="4" customFormat="1" ht="12.95" customHeight="1">
      <c r="A796"/>
      <c r="B796"/>
      <c r="C796"/>
      <c r="D796"/>
      <c r="E796"/>
      <c r="F796"/>
      <c r="G796"/>
      <c r="H796"/>
      <c r="I796"/>
      <c r="J796" s="1364"/>
      <c r="K796" s="1365"/>
      <c r="L796" s="1365"/>
      <c r="M796" s="1365"/>
      <c r="N796" s="1366"/>
      <c r="O796" s="1554"/>
      <c r="P796" s="1554"/>
      <c r="Q796" s="1554"/>
      <c r="R796" s="1554"/>
      <c r="S796" s="1554"/>
      <c r="T796" s="1418"/>
      <c r="U796" s="1419"/>
      <c r="V796" s="1419"/>
      <c r="W796" s="1420"/>
      <c r="X796" s="1358"/>
      <c r="Y796" s="1359"/>
      <c r="Z796" s="1359"/>
      <c r="AA796" s="1359"/>
      <c r="AB796" s="1360"/>
      <c r="AC796" s="1355">
        <f t="shared" si="40"/>
        <v>0</v>
      </c>
      <c r="AD796" s="1356"/>
      <c r="AE796" s="1356"/>
      <c r="AF796" s="1356"/>
      <c r="AG796" s="1357"/>
      <c r="AH796"/>
      <c r="AI796"/>
      <c r="AJ796"/>
      <c r="AK796"/>
      <c r="AL796"/>
      <c r="AM796"/>
      <c r="AN796"/>
      <c r="AO796"/>
      <c r="AP796"/>
      <c r="AQ796"/>
      <c r="AR796"/>
      <c r="AS796"/>
      <c r="AT796"/>
      <c r="AU796"/>
      <c r="AV796"/>
      <c r="AW796"/>
      <c r="AX796"/>
      <c r="AY796"/>
      <c r="AZ796" s="3"/>
      <c r="CP796" s="1513">
        <f t="shared" si="41"/>
        <v>0</v>
      </c>
      <c r="CQ796" s="1514"/>
      <c r="CR796" s="1514"/>
      <c r="CS796" s="1514"/>
      <c r="CT796" s="1515"/>
      <c r="CU796" s="1513">
        <f t="shared" si="42"/>
        <v>0</v>
      </c>
      <c r="CV796" s="1514"/>
      <c r="CW796" s="1514"/>
      <c r="CX796" s="1514"/>
      <c r="CY796" s="1515"/>
      <c r="CZ796" s="1513">
        <f t="shared" si="43"/>
        <v>0</v>
      </c>
      <c r="DA796" s="1514"/>
      <c r="DB796" s="1514"/>
      <c r="DC796" s="1514"/>
      <c r="DD796" s="1515"/>
      <c r="DE796" s="1513">
        <f t="shared" si="44"/>
        <v>0</v>
      </c>
      <c r="DF796" s="1514"/>
      <c r="DG796" s="1514"/>
      <c r="DH796" s="1514"/>
      <c r="DI796" s="1515"/>
      <c r="DJ796" s="1513">
        <f t="shared" si="45"/>
        <v>0</v>
      </c>
      <c r="DK796" s="1514"/>
      <c r="DL796" s="1514"/>
      <c r="DM796" s="1514"/>
      <c r="DN796" s="1515"/>
      <c r="DO796" s="1513">
        <f t="shared" si="46"/>
        <v>0</v>
      </c>
      <c r="DP796" s="1514"/>
      <c r="DQ796" s="1514"/>
      <c r="DR796" s="1514"/>
      <c r="DS796" s="1515"/>
      <c r="DT796" s="6"/>
      <c r="DU796" s="1513">
        <f t="shared" si="47"/>
        <v>0</v>
      </c>
      <c r="DV796" s="1514"/>
      <c r="DW796" s="1514"/>
      <c r="DX796" s="1514"/>
      <c r="DY796" s="1515"/>
      <c r="DZ796" s="1513">
        <f t="shared" si="48"/>
        <v>0</v>
      </c>
      <c r="EA796" s="1514"/>
      <c r="EB796" s="1514"/>
      <c r="EC796" s="1514"/>
      <c r="ED796" s="1515"/>
      <c r="EE796" s="1513">
        <f t="shared" si="49"/>
        <v>0</v>
      </c>
      <c r="EF796" s="1514"/>
      <c r="EG796" s="1514"/>
      <c r="EH796" s="1514"/>
      <c r="EI796" s="1515"/>
      <c r="EJ796" s="1513">
        <f t="shared" si="50"/>
        <v>0</v>
      </c>
      <c r="EK796" s="1514"/>
      <c r="EL796" s="1514"/>
      <c r="EM796" s="1514"/>
      <c r="EN796" s="1515"/>
      <c r="EO796" s="1513">
        <f t="shared" si="51"/>
        <v>0</v>
      </c>
      <c r="EP796" s="1514"/>
      <c r="EQ796" s="1514"/>
      <c r="ER796" s="1514"/>
      <c r="ES796" s="1515"/>
      <c r="ET796" s="1513">
        <f t="shared" si="52"/>
        <v>0</v>
      </c>
      <c r="EU796" s="1514"/>
      <c r="EV796" s="1514"/>
      <c r="EW796" s="1514"/>
      <c r="EX796" s="1515"/>
    </row>
    <row r="797" spans="1:154" s="4" customFormat="1" ht="12.95" customHeight="1">
      <c r="A797"/>
      <c r="B797"/>
      <c r="C797"/>
      <c r="D797"/>
      <c r="E797"/>
      <c r="F797"/>
      <c r="G797"/>
      <c r="H797"/>
      <c r="I797"/>
      <c r="J797" s="1508" t="s">
        <v>125</v>
      </c>
      <c r="K797" s="1509"/>
      <c r="L797" s="1509"/>
      <c r="M797" s="1509"/>
      <c r="N797" s="1510"/>
      <c r="O797" s="1726">
        <f>SUM(O787:S796)</f>
        <v>0</v>
      </c>
      <c r="P797" s="1726"/>
      <c r="Q797" s="1726"/>
      <c r="R797" s="1726"/>
      <c r="S797" s="1726"/>
      <c r="T797"/>
      <c r="U797"/>
      <c r="V797"/>
      <c r="W797"/>
      <c r="X797" s="902" t="s">
        <v>124</v>
      </c>
      <c r="Y797" s="11"/>
      <c r="Z797" s="11"/>
      <c r="AA797" s="11"/>
      <c r="AB797" s="909"/>
      <c r="AC797" s="1355">
        <f>SUM(AC787:AG796)</f>
        <v>0</v>
      </c>
      <c r="AD797" s="1356"/>
      <c r="AE797" s="1356"/>
      <c r="AF797" s="1356"/>
      <c r="AG797" s="1357"/>
      <c r="AH797"/>
      <c r="AI797"/>
      <c r="AJ797"/>
      <c r="AK797"/>
      <c r="AL797"/>
      <c r="AM797"/>
      <c r="AN797"/>
      <c r="AO797"/>
      <c r="AP797"/>
      <c r="AQ797"/>
      <c r="AR797"/>
      <c r="AS797"/>
      <c r="AT797"/>
      <c r="AU797"/>
      <c r="AV797"/>
      <c r="AW797"/>
      <c r="AX797"/>
      <c r="AY797"/>
      <c r="AZ797" s="3"/>
      <c r="BA797"/>
      <c r="CP797" s="1518">
        <f>SUM(CP787:CT796)</f>
        <v>0</v>
      </c>
      <c r="CQ797" s="1523"/>
      <c r="CR797" s="1523"/>
      <c r="CS797" s="1523"/>
      <c r="CT797" s="1519"/>
      <c r="CU797" s="1524">
        <f>SUM(CU787:CY796)</f>
        <v>0</v>
      </c>
      <c r="CV797" s="1525"/>
      <c r="CW797" s="1525"/>
      <c r="CX797" s="1525"/>
      <c r="CY797" s="1526"/>
      <c r="CZ797" s="1524">
        <f>SUM(CZ787:DD796)</f>
        <v>0</v>
      </c>
      <c r="DA797" s="1525"/>
      <c r="DB797" s="1525"/>
      <c r="DC797" s="1525"/>
      <c r="DD797" s="1526"/>
      <c r="DE797" s="1524">
        <f>SUM(DE787:DI796)</f>
        <v>0</v>
      </c>
      <c r="DF797" s="1525"/>
      <c r="DG797" s="1525"/>
      <c r="DH797" s="1525"/>
      <c r="DI797" s="1526"/>
      <c r="DJ797" s="1524">
        <f>SUM(DJ787:DN796)</f>
        <v>0</v>
      </c>
      <c r="DK797" s="1525"/>
      <c r="DL797" s="1525"/>
      <c r="DM797" s="1525"/>
      <c r="DN797" s="1526"/>
      <c r="DO797" s="1524">
        <f>SUM(DO787:DS796)</f>
        <v>0</v>
      </c>
      <c r="DP797" s="1525"/>
      <c r="DQ797" s="1525"/>
      <c r="DR797" s="1525"/>
      <c r="DS797" s="1526"/>
      <c r="DT797" s="1012"/>
      <c r="DU797" s="1518">
        <f>SUM(DU787:DY796)</f>
        <v>0</v>
      </c>
      <c r="DV797" s="1523"/>
      <c r="DW797" s="1523"/>
      <c r="DX797" s="1523"/>
      <c r="DY797" s="1519"/>
      <c r="DZ797" s="1518">
        <f>SUM(DZ787:ED796)</f>
        <v>0</v>
      </c>
      <c r="EA797" s="1523"/>
      <c r="EB797" s="1523"/>
      <c r="EC797" s="1523"/>
      <c r="ED797" s="1519"/>
      <c r="EE797" s="1518">
        <f>SUM(EE787:EI796)</f>
        <v>0</v>
      </c>
      <c r="EF797" s="1523"/>
      <c r="EG797" s="1523"/>
      <c r="EH797" s="1523"/>
      <c r="EI797" s="1519"/>
      <c r="EJ797" s="1518">
        <f>SUM(EJ787:EN796)</f>
        <v>0</v>
      </c>
      <c r="EK797" s="1523"/>
      <c r="EL797" s="1523"/>
      <c r="EM797" s="1523"/>
      <c r="EN797" s="1519"/>
      <c r="EO797" s="1518">
        <f>SUM(EO787:ES796)</f>
        <v>0</v>
      </c>
      <c r="EP797" s="1523"/>
      <c r="EQ797" s="1523"/>
      <c r="ER797" s="1523"/>
      <c r="ES797" s="1519"/>
      <c r="ET797" s="1518">
        <f>SUM(ET787:EX796)</f>
        <v>0</v>
      </c>
      <c r="EU797" s="1523"/>
      <c r="EV797" s="1523"/>
      <c r="EW797" s="1523"/>
      <c r="EX797" s="1519"/>
    </row>
    <row r="798" spans="1:154" s="4" customFormat="1" ht="12.95" customHeight="1">
      <c r="A798"/>
      <c r="B798"/>
      <c r="C798" s="1728" t="str">
        <f>IF(O797&lt;&gt;AG438,"! Total market rate units in the Unit Mix Table above does not match the number of  market rate units on row #"&amp;TEXT(ROW(D438),"#"),"")</f>
        <v/>
      </c>
      <c r="D798" s="1728"/>
      <c r="E798" s="1728"/>
      <c r="F798" s="1728"/>
      <c r="G798" s="1728"/>
      <c r="H798" s="1728"/>
      <c r="I798" s="1728"/>
      <c r="J798" s="1728"/>
      <c r="K798" s="1728"/>
      <c r="L798" s="1728"/>
      <c r="M798" s="1728"/>
      <c r="N798" s="1728"/>
      <c r="O798" s="1728"/>
      <c r="P798" s="1728"/>
      <c r="Q798" s="1728"/>
      <c r="R798" s="1728"/>
      <c r="S798" s="1728"/>
      <c r="T798" s="1728"/>
      <c r="U798" s="1728"/>
      <c r="V798" s="1728"/>
      <c r="W798" s="1728"/>
      <c r="X798" s="1728"/>
      <c r="Y798" s="1728"/>
      <c r="Z798" s="1728"/>
      <c r="AA798" s="1728"/>
      <c r="AB798" s="1728"/>
      <c r="AC798" s="1728"/>
      <c r="AD798" s="1728"/>
      <c r="AE798" s="1728"/>
      <c r="AF798" s="1728"/>
      <c r="AG798" s="1728"/>
      <c r="AH798" s="1728"/>
      <c r="AI798" s="1728"/>
      <c r="AJ798" s="1728"/>
      <c r="AK798" s="1728"/>
      <c r="AL798" s="1728"/>
      <c r="AM798" s="1728"/>
      <c r="AN798" s="1728"/>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28"/>
      <c r="D799" s="1728"/>
      <c r="E799" s="1728"/>
      <c r="F799" s="1728"/>
      <c r="G799" s="1728"/>
      <c r="H799" s="1728"/>
      <c r="I799" s="1728"/>
      <c r="J799" s="1728"/>
      <c r="K799" s="1728"/>
      <c r="L799" s="1728"/>
      <c r="M799" s="1728"/>
      <c r="N799" s="1728"/>
      <c r="O799" s="1728"/>
      <c r="P799" s="1728"/>
      <c r="Q799" s="1728"/>
      <c r="R799" s="1728"/>
      <c r="S799" s="1728"/>
      <c r="T799" s="1728"/>
      <c r="U799" s="1728"/>
      <c r="V799" s="1728"/>
      <c r="W799" s="1728"/>
      <c r="X799" s="1728"/>
      <c r="Y799" s="1728"/>
      <c r="Z799" s="1728"/>
      <c r="AA799" s="1728"/>
      <c r="AB799" s="1728"/>
      <c r="AC799" s="1728"/>
      <c r="AD799" s="1728"/>
      <c r="AE799" s="1728"/>
      <c r="AF799" s="1728"/>
      <c r="AG799" s="1728"/>
      <c r="AH799" s="1728"/>
      <c r="AI799" s="1728"/>
      <c r="AJ799" s="1728"/>
      <c r="AK799" s="1728"/>
      <c r="AL799" s="1728"/>
      <c r="AM799" s="1728"/>
      <c r="AN799" s="1728"/>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8">
        <f>SUM(DU797:EX797)</f>
        <v>0</v>
      </c>
      <c r="EU799" s="1859"/>
      <c r="EV799" s="1859"/>
      <c r="EW799" s="1859"/>
      <c r="EX799" s="1860"/>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95">
        <f>O753+AC777+AC797</f>
        <v>301691</v>
      </c>
      <c r="Z800" s="1695"/>
      <c r="AA800" s="1695"/>
      <c r="AB800" s="1695"/>
      <c r="AC800" s="169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95">
        <f>(O753+AC777+AC797)*12</f>
        <v>3620292</v>
      </c>
      <c r="Z801" s="1695"/>
      <c r="AA801" s="1695"/>
      <c r="AB801" s="1695"/>
      <c r="AC801" s="169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524">
        <f>CP753+CP777+CP797</f>
        <v>0</v>
      </c>
      <c r="CQ802" s="1525"/>
      <c r="CR802" s="1525"/>
      <c r="CS802" s="1525"/>
      <c r="CT802" s="1526"/>
      <c r="CU802" s="1524">
        <f>CU753+CU777+CU797</f>
        <v>45</v>
      </c>
      <c r="CV802" s="1525"/>
      <c r="CW802" s="1525"/>
      <c r="CX802" s="1525"/>
      <c r="CY802" s="1526"/>
      <c r="CZ802" s="1524">
        <f>CZ753+CZ777+CZ797</f>
        <v>48</v>
      </c>
      <c r="DA802" s="1525"/>
      <c r="DB802" s="1525"/>
      <c r="DC802" s="1525"/>
      <c r="DD802" s="1526"/>
      <c r="DE802" s="1524">
        <f>DE753+DE777+DE797</f>
        <v>32</v>
      </c>
      <c r="DF802" s="1525"/>
      <c r="DG802" s="1525"/>
      <c r="DH802" s="1525"/>
      <c r="DI802" s="1526"/>
      <c r="DJ802" s="1524">
        <f>DJ753+DJ777+DJ797</f>
        <v>0</v>
      </c>
      <c r="DK802" s="1525"/>
      <c r="DL802" s="1525"/>
      <c r="DM802" s="1525"/>
      <c r="DN802" s="1526"/>
      <c r="DO802" s="1516">
        <f>DO797+DO777+DO753</f>
        <v>0</v>
      </c>
      <c r="DP802" s="1522"/>
      <c r="DQ802" s="1522"/>
      <c r="DR802" s="1522"/>
      <c r="DS802" s="1517"/>
      <c r="DT802" s="3"/>
      <c r="DU802" s="861">
        <f>DU755+DU800</f>
        <v>235</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51">
        <v>0</v>
      </c>
      <c r="AA806" s="1552"/>
      <c r="AB806" s="1552"/>
      <c r="AC806" s="1552"/>
      <c r="AD806" s="1552"/>
      <c r="AE806" s="155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861"/>
      <c r="AA807" s="1552"/>
      <c r="AB807" s="1552"/>
      <c r="AC807" s="1552"/>
      <c r="AD807" s="1552"/>
      <c r="AE807" s="155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4">
        <v>0</v>
      </c>
      <c r="AA808" s="1404"/>
      <c r="AB808" s="1404"/>
      <c r="AC808" s="1404"/>
      <c r="AD808" s="1404"/>
      <c r="AE808" s="140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95">
        <f>'Subsidy Contract Calculation'!J40</f>
        <v>0</v>
      </c>
      <c r="AA809" s="1496"/>
      <c r="AB809" s="1496"/>
      <c r="AC809" s="1496"/>
      <c r="AD809" s="1496"/>
      <c r="AE809" s="149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12000</v>
      </c>
      <c r="AA813" s="1476"/>
      <c r="AB813" s="1476"/>
      <c r="AC813" s="1476"/>
      <c r="AD813" s="1476"/>
      <c r="AE813" s="147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v>120</v>
      </c>
      <c r="AA814" s="1476"/>
      <c r="AB814" s="1476"/>
      <c r="AC814" s="1476"/>
      <c r="AD814" s="1476"/>
      <c r="AE814" s="147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v>120</v>
      </c>
      <c r="AA815" s="1476"/>
      <c r="AB815" s="1476"/>
      <c r="AC815" s="1476"/>
      <c r="AD815" s="1476"/>
      <c r="AE815" s="147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07" t="s">
        <v>2763</v>
      </c>
      <c r="Q816" s="1608"/>
      <c r="R816" s="1608"/>
      <c r="S816" s="1608"/>
      <c r="T816" s="1608"/>
      <c r="U816" s="1608"/>
      <c r="V816" s="1608"/>
      <c r="W816" s="1608"/>
      <c r="X816" s="1608"/>
      <c r="Y816" s="1609"/>
      <c r="Z816" s="1475">
        <v>11760</v>
      </c>
      <c r="AA816" s="1476"/>
      <c r="AB816" s="1476"/>
      <c r="AC816" s="1476"/>
      <c r="AD816" s="1476"/>
      <c r="AE816" s="147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95">
        <f>SUM(Z813:AE816)</f>
        <v>24000</v>
      </c>
      <c r="AA817" s="1496"/>
      <c r="AB817" s="1496"/>
      <c r="AC817" s="1496"/>
      <c r="AD817" s="1496"/>
      <c r="AE817" s="149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95">
        <f>Z817+Y801+Z809</f>
        <v>3644292</v>
      </c>
      <c r="AA818" s="1496"/>
      <c r="AB818" s="1496"/>
      <c r="AC818" s="1496"/>
      <c r="AD818" s="1496"/>
      <c r="AE818" s="149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00" t="s">
        <v>126</v>
      </c>
      <c r="N823" s="1600"/>
      <c r="O823" s="1600"/>
      <c r="P823" s="1697"/>
      <c r="Q823" s="1628" t="s">
        <v>289</v>
      </c>
      <c r="R823" s="1628"/>
      <c r="S823" s="1628"/>
      <c r="T823" s="1628"/>
      <c r="U823" s="1628" t="s">
        <v>290</v>
      </c>
      <c r="V823" s="1628"/>
      <c r="W823" s="1628"/>
      <c r="X823" s="1628"/>
      <c r="Y823" s="1628" t="s">
        <v>291</v>
      </c>
      <c r="Z823" s="1628"/>
      <c r="AA823" s="1628"/>
      <c r="AB823" s="1628"/>
      <c r="AC823" s="1628" t="s">
        <v>360</v>
      </c>
      <c r="AD823" s="1628"/>
      <c r="AE823" s="1628"/>
      <c r="AF823" s="1628"/>
      <c r="AG823" s="1725" t="s">
        <v>334</v>
      </c>
      <c r="AH823" s="1725"/>
      <c r="AI823" s="1725"/>
      <c r="AJ823" s="1725"/>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386"/>
      <c r="N824" s="1386"/>
      <c r="O824" s="1386"/>
      <c r="P824" s="1387"/>
      <c r="Q824" s="1628"/>
      <c r="R824" s="1628"/>
      <c r="S824" s="1628"/>
      <c r="T824" s="1628"/>
      <c r="U824" s="1628"/>
      <c r="V824" s="1628"/>
      <c r="W824" s="1628"/>
      <c r="X824" s="1628"/>
      <c r="Y824" s="1628"/>
      <c r="Z824" s="1628"/>
      <c r="AA824" s="1628"/>
      <c r="AB824" s="1628"/>
      <c r="AC824" s="1628"/>
      <c r="AD824" s="1628"/>
      <c r="AE824" s="1628"/>
      <c r="AF824" s="1628"/>
      <c r="AG824" s="1725"/>
      <c r="AH824" s="1725"/>
      <c r="AI824" s="1725"/>
      <c r="AJ824" s="1725"/>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69" t="s">
        <v>40</v>
      </c>
      <c r="D825" s="1474"/>
      <c r="E825" s="1474"/>
      <c r="F825" s="1474"/>
      <c r="G825" s="1474"/>
      <c r="H825" s="1474"/>
      <c r="I825" s="48"/>
      <c r="J825" s="48"/>
      <c r="K825" s="48"/>
      <c r="L825" s="49"/>
      <c r="M825" s="1629"/>
      <c r="N825" s="1629"/>
      <c r="O825" s="1629"/>
      <c r="P825" s="1629"/>
      <c r="Q825" s="1629"/>
      <c r="R825" s="1629"/>
      <c r="S825" s="1629"/>
      <c r="T825" s="1629"/>
      <c r="U825" s="1629"/>
      <c r="V825" s="1629"/>
      <c r="W825" s="1629"/>
      <c r="X825" s="1629"/>
      <c r="Y825" s="1629"/>
      <c r="Z825" s="1629"/>
      <c r="AA825" s="1629"/>
      <c r="AB825" s="1629"/>
      <c r="AC825" s="1651"/>
      <c r="AD825" s="1652"/>
      <c r="AE825" s="1652"/>
      <c r="AF825" s="1653"/>
      <c r="AG825" s="1651"/>
      <c r="AH825" s="1652"/>
      <c r="AI825" s="1652"/>
      <c r="AJ825" s="1653"/>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33" t="s">
        <v>41</v>
      </c>
      <c r="D826" s="1634"/>
      <c r="E826" s="1634"/>
      <c r="F826" s="1634"/>
      <c r="G826" s="1634"/>
      <c r="H826" s="1634"/>
      <c r="I826" s="5"/>
      <c r="J826" s="5"/>
      <c r="K826" s="5"/>
      <c r="L826" s="46"/>
      <c r="M826" s="1629"/>
      <c r="N826" s="1629"/>
      <c r="O826" s="1629"/>
      <c r="P826" s="1629"/>
      <c r="Q826" s="1629"/>
      <c r="R826" s="1629"/>
      <c r="S826" s="1629"/>
      <c r="T826" s="1629"/>
      <c r="U826" s="1629"/>
      <c r="V826" s="1629"/>
      <c r="W826" s="1629"/>
      <c r="X826" s="1629"/>
      <c r="Y826" s="1629"/>
      <c r="Z826" s="1629"/>
      <c r="AA826" s="1629"/>
      <c r="AB826" s="1629"/>
      <c r="AC826" s="1651"/>
      <c r="AD826" s="1652"/>
      <c r="AE826" s="1652"/>
      <c r="AF826" s="1653"/>
      <c r="AG826" s="1651"/>
      <c r="AH826" s="1652"/>
      <c r="AI826" s="1652"/>
      <c r="AJ826" s="1653"/>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33" t="s">
        <v>42</v>
      </c>
      <c r="D827" s="1634"/>
      <c r="E827" s="1634"/>
      <c r="F827" s="1634"/>
      <c r="G827" s="1634"/>
      <c r="H827" s="1634"/>
      <c r="I827" s="60"/>
      <c r="J827" s="60"/>
      <c r="K827" s="60"/>
      <c r="L827" s="61"/>
      <c r="M827" s="1629"/>
      <c r="N827" s="1629"/>
      <c r="O827" s="1629"/>
      <c r="P827" s="1629"/>
      <c r="Q827" s="1629"/>
      <c r="R827" s="1629"/>
      <c r="S827" s="1629"/>
      <c r="T827" s="1629"/>
      <c r="U827" s="1629"/>
      <c r="V827" s="1629"/>
      <c r="W827" s="1629"/>
      <c r="X827" s="1629"/>
      <c r="Y827" s="1629"/>
      <c r="Z827" s="1629"/>
      <c r="AA827" s="1629"/>
      <c r="AB827" s="1629"/>
      <c r="AC827" s="1651"/>
      <c r="AD827" s="1652"/>
      <c r="AE827" s="1652"/>
      <c r="AF827" s="1653"/>
      <c r="AG827" s="1651"/>
      <c r="AH827" s="1652"/>
      <c r="AI827" s="1652"/>
      <c r="AJ827" s="1653"/>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33" t="s">
        <v>762</v>
      </c>
      <c r="D828" s="1634"/>
      <c r="E828" s="1634"/>
      <c r="F828" s="1634"/>
      <c r="G828" s="1634"/>
      <c r="H828" s="1634"/>
      <c r="I828" s="60"/>
      <c r="J828" s="60"/>
      <c r="K828" s="60"/>
      <c r="L828" s="61"/>
      <c r="M828" s="1629"/>
      <c r="N828" s="1629"/>
      <c r="O828" s="1629"/>
      <c r="P828" s="1629"/>
      <c r="Q828" s="1629"/>
      <c r="R828" s="1629"/>
      <c r="S828" s="1629"/>
      <c r="T828" s="1629"/>
      <c r="U828" s="1629"/>
      <c r="V828" s="1629"/>
      <c r="W828" s="1629"/>
      <c r="X828" s="1629"/>
      <c r="Y828" s="1629"/>
      <c r="Z828" s="1629"/>
      <c r="AA828" s="1629"/>
      <c r="AB828" s="1629"/>
      <c r="AC828" s="1651"/>
      <c r="AD828" s="1652"/>
      <c r="AE828" s="1652"/>
      <c r="AF828" s="1653"/>
      <c r="AG828" s="1651"/>
      <c r="AH828" s="1652"/>
      <c r="AI828" s="1652"/>
      <c r="AJ828" s="1653"/>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33" t="s">
        <v>459</v>
      </c>
      <c r="D829" s="1634"/>
      <c r="E829" s="1634"/>
      <c r="F829" s="1634"/>
      <c r="G829" s="1634"/>
      <c r="H829" s="1634"/>
      <c r="I829" s="60"/>
      <c r="J829" s="60"/>
      <c r="K829" s="60"/>
      <c r="L829" s="61"/>
      <c r="M829" s="1629"/>
      <c r="N829" s="1629"/>
      <c r="O829" s="1629"/>
      <c r="P829" s="1629"/>
      <c r="Q829" s="1629">
        <v>25</v>
      </c>
      <c r="R829" s="1629"/>
      <c r="S829" s="1629"/>
      <c r="T829" s="1629"/>
      <c r="U829" s="1629">
        <v>80</v>
      </c>
      <c r="V829" s="1629"/>
      <c r="W829" s="1629"/>
      <c r="X829" s="1629"/>
      <c r="Y829" s="1629">
        <v>43</v>
      </c>
      <c r="Z829" s="1629"/>
      <c r="AA829" s="1629"/>
      <c r="AB829" s="1629"/>
      <c r="AC829" s="1651"/>
      <c r="AD829" s="1652"/>
      <c r="AE829" s="1652"/>
      <c r="AF829" s="1653"/>
      <c r="AG829" s="1651"/>
      <c r="AH829" s="1652"/>
      <c r="AI829" s="1652"/>
      <c r="AJ829" s="1653"/>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4" t="s">
        <v>783</v>
      </c>
      <c r="D830" s="1634"/>
      <c r="E830" s="1634"/>
      <c r="F830" s="1634"/>
      <c r="G830" s="1634"/>
      <c r="H830" s="1634"/>
      <c r="I830" s="60"/>
      <c r="J830" s="60"/>
      <c r="K830" s="60"/>
      <c r="L830" s="61"/>
      <c r="M830" s="1629"/>
      <c r="N830" s="1629"/>
      <c r="O830" s="1629"/>
      <c r="P830" s="1629"/>
      <c r="Q830" s="1629"/>
      <c r="R830" s="1629"/>
      <c r="S830" s="1629"/>
      <c r="T830" s="1629"/>
      <c r="U830" s="1629"/>
      <c r="V830" s="1629"/>
      <c r="W830" s="1629"/>
      <c r="X830" s="1629"/>
      <c r="Y830" s="1629"/>
      <c r="Z830" s="1629"/>
      <c r="AA830" s="1629"/>
      <c r="AB830" s="1629"/>
      <c r="AC830" s="1651"/>
      <c r="AD830" s="1652"/>
      <c r="AE830" s="1652"/>
      <c r="AF830" s="1653"/>
      <c r="AG830" s="1651"/>
      <c r="AH830" s="1652"/>
      <c r="AI830" s="1652"/>
      <c r="AJ830" s="1653"/>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607" t="s">
        <v>2764</v>
      </c>
      <c r="G831" s="1608"/>
      <c r="H831" s="1608"/>
      <c r="I831" s="1608"/>
      <c r="J831" s="1608"/>
      <c r="K831" s="1608"/>
      <c r="L831" s="1608"/>
      <c r="M831" s="1629"/>
      <c r="N831" s="1629"/>
      <c r="O831" s="1629"/>
      <c r="P831" s="1629"/>
      <c r="Q831" s="1629"/>
      <c r="R831" s="1629"/>
      <c r="S831" s="1629"/>
      <c r="T831" s="1629"/>
      <c r="U831" s="1629"/>
      <c r="V831" s="1629"/>
      <c r="W831" s="1629"/>
      <c r="X831" s="1629"/>
      <c r="Y831" s="1629"/>
      <c r="Z831" s="1629"/>
      <c r="AA831" s="1629"/>
      <c r="AB831" s="1629"/>
      <c r="AC831" s="1651"/>
      <c r="AD831" s="1652"/>
      <c r="AE831" s="1652"/>
      <c r="AF831" s="1653"/>
      <c r="AG831" s="1651"/>
      <c r="AH831" s="1652"/>
      <c r="AI831" s="1652"/>
      <c r="AJ831" s="1653"/>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508" t="s">
        <v>124</v>
      </c>
      <c r="D832" s="1509"/>
      <c r="E832" s="1509"/>
      <c r="F832" s="1509"/>
      <c r="G832" s="1509"/>
      <c r="H832" s="1509"/>
      <c r="I832" s="1509"/>
      <c r="J832" s="1509"/>
      <c r="K832" s="1509"/>
      <c r="L832" s="1510"/>
      <c r="M832" s="1644">
        <f>SUM(M825:P831)</f>
        <v>0</v>
      </c>
      <c r="N832" s="1644"/>
      <c r="O832" s="1644"/>
      <c r="P832" s="1644"/>
      <c r="Q832" s="1644">
        <f>SUM(Q825:T831)</f>
        <v>25</v>
      </c>
      <c r="R832" s="1644"/>
      <c r="S832" s="1644"/>
      <c r="T832" s="1644"/>
      <c r="U832" s="1644">
        <f>SUM(U825:X831)</f>
        <v>80</v>
      </c>
      <c r="V832" s="1644"/>
      <c r="W832" s="1644"/>
      <c r="X832" s="1644"/>
      <c r="Y832" s="1644">
        <f>SUM(Y825:AB831)</f>
        <v>43</v>
      </c>
      <c r="Z832" s="1644"/>
      <c r="AA832" s="1644"/>
      <c r="AB832" s="1644"/>
      <c r="AC832" s="1644">
        <f>SUM(AC825:AF831)</f>
        <v>0</v>
      </c>
      <c r="AD832" s="1644"/>
      <c r="AE832" s="1644"/>
      <c r="AF832" s="1644"/>
      <c r="AG832" s="1644">
        <f>SUM(AG825:AJ831)</f>
        <v>0</v>
      </c>
      <c r="AH832" s="1644"/>
      <c r="AI832" s="1644"/>
      <c r="AJ832" s="1644"/>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99" t="s">
        <v>2803</v>
      </c>
      <c r="D837" s="1700"/>
      <c r="E837" s="1700"/>
      <c r="F837" s="1700"/>
      <c r="G837" s="1700"/>
      <c r="H837" s="1700"/>
      <c r="I837" s="1700"/>
      <c r="J837" s="1700"/>
      <c r="K837" s="1700"/>
      <c r="L837" s="1700"/>
      <c r="M837" s="1700"/>
      <c r="N837" s="1700"/>
      <c r="O837" s="1700"/>
      <c r="P837" s="1700"/>
      <c r="Q837" s="1700"/>
      <c r="R837" s="1700"/>
      <c r="S837" s="1700"/>
      <c r="T837" s="1700"/>
      <c r="U837" s="1700"/>
      <c r="V837" s="1700"/>
      <c r="W837" s="1700"/>
      <c r="X837" s="1700"/>
      <c r="Y837" s="1700"/>
      <c r="Z837" s="1700"/>
      <c r="AA837" s="1700"/>
      <c r="AB837" s="1700"/>
      <c r="AC837" s="1700"/>
      <c r="AD837" s="1700"/>
      <c r="AE837" s="1700"/>
      <c r="AF837" s="1700"/>
      <c r="AG837" s="1700"/>
      <c r="AH837" s="1700"/>
      <c r="AI837" s="1700"/>
      <c r="AJ837" s="1701"/>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645">
        <v>6750</v>
      </c>
      <c r="X842" s="1645"/>
      <c r="Y842" s="1645"/>
      <c r="Z842" s="1645"/>
      <c r="AA842" s="1645"/>
      <c r="AB842" s="1645"/>
      <c r="AC842" s="1645"/>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645">
        <v>2625</v>
      </c>
      <c r="X843" s="1645"/>
      <c r="Y843" s="1645"/>
      <c r="Z843" s="1645"/>
      <c r="AA843" s="1645"/>
      <c r="AB843" s="1645"/>
      <c r="AC843" s="1645"/>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645">
        <v>2500</v>
      </c>
      <c r="X844" s="1645"/>
      <c r="Y844" s="1645"/>
      <c r="Z844" s="1645"/>
      <c r="AA844" s="1645"/>
      <c r="AB844" s="1645"/>
      <c r="AC844" s="1645"/>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645">
        <v>2500</v>
      </c>
      <c r="X845" s="1645"/>
      <c r="Y845" s="1645"/>
      <c r="Z845" s="1645"/>
      <c r="AA845" s="1645"/>
      <c r="AB845" s="1645"/>
      <c r="AC845" s="1645"/>
      <c r="AZ845" s="30"/>
      <c r="BA845" s="30"/>
      <c r="BB845" s="14"/>
      <c r="BC845" s="14"/>
      <c r="BD845" s="14"/>
      <c r="BE845" s="14"/>
      <c r="BF845" s="14"/>
      <c r="BG845" s="14"/>
      <c r="BH845" s="14"/>
      <c r="BI845" s="14"/>
      <c r="BJ845" s="14"/>
      <c r="BK845" s="14"/>
      <c r="BL845" s="14"/>
    </row>
    <row r="846" spans="1:64" ht="12.95" customHeight="1">
      <c r="J846" s="45" t="s">
        <v>169</v>
      </c>
      <c r="K846" s="5"/>
      <c r="L846" s="5"/>
      <c r="M846" s="1607" t="s">
        <v>2798</v>
      </c>
      <c r="N846" s="1608"/>
      <c r="O846" s="1608"/>
      <c r="P846" s="1608"/>
      <c r="Q846" s="1608"/>
      <c r="R846" s="1608"/>
      <c r="S846" s="1608"/>
      <c r="T846" s="1608"/>
      <c r="U846" s="1608"/>
      <c r="V846" s="1609"/>
      <c r="W846" s="1645">
        <f>6625+1250+8750+43375+7250</f>
        <v>67250</v>
      </c>
      <c r="X846" s="1645"/>
      <c r="Y846" s="1645"/>
      <c r="Z846" s="1645"/>
      <c r="AA846" s="1645"/>
      <c r="AB846" s="1645"/>
      <c r="AC846" s="1645"/>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495">
        <f>SUM(W842:W846)</f>
        <v>81625</v>
      </c>
      <c r="X847" s="1496"/>
      <c r="Y847" s="1496"/>
      <c r="Z847" s="1496"/>
      <c r="AA847" s="1496"/>
      <c r="AB847" s="1496"/>
      <c r="AC847" s="149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6"/>
      <c r="BH848" s="1636"/>
      <c r="BI848" s="1636"/>
      <c r="BJ848" s="1636"/>
      <c r="BK848" s="1636"/>
      <c r="BL848" s="1636"/>
    </row>
    <row r="849" spans="3:55" ht="12.95" customHeight="1">
      <c r="C849" s="2" t="s">
        <v>343</v>
      </c>
      <c r="J849" s="1508" t="s">
        <v>344</v>
      </c>
      <c r="K849" s="1509"/>
      <c r="L849" s="1509"/>
      <c r="M849" s="1509"/>
      <c r="N849" s="1509"/>
      <c r="O849" s="1509"/>
      <c r="P849" s="1509"/>
      <c r="Q849" s="1509"/>
      <c r="R849" s="1509"/>
      <c r="S849" s="1509"/>
      <c r="T849" s="1509"/>
      <c r="U849" s="1509"/>
      <c r="V849" s="1510"/>
      <c r="W849" s="1475">
        <v>111398</v>
      </c>
      <c r="X849" s="1476"/>
      <c r="Y849" s="1476"/>
      <c r="Z849" s="1476"/>
      <c r="AA849" s="1476"/>
      <c r="AB849" s="1476"/>
      <c r="AC849" s="1477"/>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0"/>
      <c r="X851" s="1650"/>
      <c r="Y851" s="1650"/>
      <c r="Z851" s="1650"/>
      <c r="AA851" s="1650"/>
      <c r="AB851" s="1650"/>
      <c r="AC851" s="1650"/>
      <c r="AZ851" s="1714"/>
      <c r="BA851" s="1714"/>
      <c r="BB851" s="14"/>
      <c r="BC851" s="14"/>
    </row>
    <row r="852" spans="3:55" ht="12.95" customHeight="1">
      <c r="J852" s="45" t="s">
        <v>350</v>
      </c>
      <c r="K852" s="5"/>
      <c r="L852" s="5"/>
      <c r="M852" s="5"/>
      <c r="N852" s="5"/>
      <c r="O852" s="5"/>
      <c r="P852" s="5"/>
      <c r="Q852" s="5"/>
      <c r="R852" s="5"/>
      <c r="S852" s="5"/>
      <c r="T852" s="5"/>
      <c r="U852" s="5"/>
      <c r="V852" s="46"/>
      <c r="W852" s="1650"/>
      <c r="X852" s="1650"/>
      <c r="Y852" s="1650"/>
      <c r="Z852" s="1650"/>
      <c r="AA852" s="1650"/>
      <c r="AB852" s="1650"/>
      <c r="AC852" s="1650"/>
      <c r="AZ852" s="30"/>
      <c r="BA852" s="30"/>
      <c r="BB852" s="14"/>
      <c r="BC852" s="14"/>
    </row>
    <row r="853" spans="3:55" ht="12.95" customHeight="1">
      <c r="J853" s="45" t="s">
        <v>459</v>
      </c>
      <c r="K853" s="5"/>
      <c r="L853" s="5"/>
      <c r="M853" s="5"/>
      <c r="N853" s="5"/>
      <c r="O853" s="5"/>
      <c r="P853" s="5"/>
      <c r="Q853" s="5"/>
      <c r="R853" s="5"/>
      <c r="S853" s="5"/>
      <c r="T853" s="5"/>
      <c r="U853" s="5"/>
      <c r="V853" s="46"/>
      <c r="W853" s="1650">
        <v>20750</v>
      </c>
      <c r="X853" s="1650"/>
      <c r="Y853" s="1650"/>
      <c r="Z853" s="1650"/>
      <c r="AA853" s="1650"/>
      <c r="AB853" s="1650"/>
      <c r="AC853" s="1650"/>
      <c r="AZ853" s="30"/>
      <c r="BA853" s="30"/>
      <c r="BB853" s="14"/>
      <c r="BC853" s="14"/>
    </row>
    <row r="854" spans="3:55" ht="12.95" customHeight="1">
      <c r="J854" s="62" t="s">
        <v>620</v>
      </c>
      <c r="K854" s="5"/>
      <c r="L854" s="5"/>
      <c r="M854" s="5"/>
      <c r="N854" s="5"/>
      <c r="O854" s="5"/>
      <c r="P854" s="5"/>
      <c r="Q854" s="5"/>
      <c r="R854" s="5"/>
      <c r="S854" s="5"/>
      <c r="T854" s="5"/>
      <c r="U854" s="5"/>
      <c r="V854" s="46"/>
      <c r="W854" s="1650">
        <v>63750</v>
      </c>
      <c r="X854" s="1650"/>
      <c r="Y854" s="1650"/>
      <c r="Z854" s="1650"/>
      <c r="AA854" s="1650"/>
      <c r="AB854" s="1650"/>
      <c r="AC854" s="1650"/>
      <c r="AZ854" s="34"/>
      <c r="BA854" s="34"/>
      <c r="BB854" s="34"/>
      <c r="BC854" s="34"/>
    </row>
    <row r="855" spans="3:55" ht="12.95" customHeight="1">
      <c r="J855" s="63"/>
      <c r="K855" s="48"/>
      <c r="L855" s="48"/>
      <c r="M855" s="48"/>
      <c r="N855" s="48"/>
      <c r="O855" s="48"/>
      <c r="P855" s="48"/>
      <c r="Q855" s="48"/>
      <c r="R855" s="48"/>
      <c r="S855" s="48"/>
      <c r="T855" s="48"/>
      <c r="U855" s="48"/>
      <c r="V855" s="54" t="s">
        <v>271</v>
      </c>
      <c r="W855" s="1698">
        <f>SUM(W851:W854)</f>
        <v>84500</v>
      </c>
      <c r="X855" s="1698"/>
      <c r="Y855" s="1698"/>
      <c r="Z855" s="1698"/>
      <c r="AA855" s="1698"/>
      <c r="AB855" s="1698"/>
      <c r="AC855" s="1698"/>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38">
        <v>90000</v>
      </c>
      <c r="X857" s="1639"/>
      <c r="Y857" s="1639"/>
      <c r="Z857" s="1639"/>
      <c r="AA857" s="1639"/>
      <c r="AB857" s="1639"/>
      <c r="AC857" s="1640"/>
      <c r="AD857" s="528"/>
      <c r="AZ857" s="34"/>
      <c r="BA857" s="34"/>
      <c r="BB857" s="34"/>
      <c r="BC857" s="34"/>
    </row>
    <row r="858" spans="3:55" ht="12.95" customHeight="1">
      <c r="C858" s="2" t="s">
        <v>346</v>
      </c>
      <c r="J858" s="121" t="s">
        <v>1655</v>
      </c>
      <c r="K858" s="5"/>
      <c r="L858" s="5"/>
      <c r="M858" s="5"/>
      <c r="N858" s="5"/>
      <c r="O858" s="5"/>
      <c r="P858" s="5"/>
      <c r="Q858" s="5"/>
      <c r="R858" s="5"/>
      <c r="S858" s="5"/>
      <c r="T858" s="1702"/>
      <c r="U858" s="1675"/>
      <c r="V858" s="1703"/>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8">
        <v>70000</v>
      </c>
      <c r="X859" s="1639"/>
      <c r="Y859" s="1639"/>
      <c r="Z859" s="1639"/>
      <c r="AA859" s="1639"/>
      <c r="AB859" s="1639"/>
      <c r="AC859" s="1640"/>
      <c r="AD859" s="533"/>
      <c r="AZ859" s="34"/>
      <c r="BA859" s="34"/>
      <c r="BB859" s="34"/>
      <c r="BC859" s="34"/>
    </row>
    <row r="860" spans="3:55" ht="12.95" customHeight="1">
      <c r="C860" s="2"/>
      <c r="J860" s="121" t="s">
        <v>1656</v>
      </c>
      <c r="K860" s="5"/>
      <c r="L860" s="5"/>
      <c r="M860" s="5"/>
      <c r="N860" s="5"/>
      <c r="O860" s="5"/>
      <c r="P860" s="5"/>
      <c r="Q860" s="5"/>
      <c r="R860" s="5"/>
      <c r="S860" s="5"/>
      <c r="T860" s="1702">
        <v>1</v>
      </c>
      <c r="U860" s="1675"/>
      <c r="V860" s="1703"/>
      <c r="W860" s="874"/>
      <c r="X860" s="875"/>
      <c r="Y860" s="875"/>
      <c r="Z860" s="875"/>
      <c r="AA860" s="875"/>
      <c r="AB860" s="875"/>
      <c r="AC860" s="876"/>
      <c r="AD860" s="533"/>
      <c r="AZ860" s="34"/>
      <c r="BA860" s="34"/>
      <c r="BB860" s="34"/>
      <c r="BC860" s="34"/>
    </row>
    <row r="861" spans="3:55" ht="12.95" customHeight="1">
      <c r="J861" s="45" t="s">
        <v>169</v>
      </c>
      <c r="K861" s="5"/>
      <c r="L861" s="5"/>
      <c r="M861" s="1607" t="s">
        <v>2799</v>
      </c>
      <c r="N861" s="1608"/>
      <c r="O861" s="1608"/>
      <c r="P861" s="1608"/>
      <c r="Q861" s="1608"/>
      <c r="R861" s="1608"/>
      <c r="S861" s="1608"/>
      <c r="T861" s="1608"/>
      <c r="U861" s="1608"/>
      <c r="V861" s="1609"/>
      <c r="W861" s="1638">
        <f>23625+13500+27900</f>
        <v>65025</v>
      </c>
      <c r="X861" s="1639"/>
      <c r="Y861" s="1639"/>
      <c r="Z861" s="1639"/>
      <c r="AA861" s="1639"/>
      <c r="AB861" s="1639"/>
      <c r="AC861" s="1640"/>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04">
        <f>SUM(W857:W861)</f>
        <v>225025</v>
      </c>
      <c r="X862" s="1705"/>
      <c r="Y862" s="1705"/>
      <c r="Z862" s="1705"/>
      <c r="AA862" s="1705"/>
      <c r="AB862" s="1705"/>
      <c r="AC862" s="1706"/>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38">
        <v>107500</v>
      </c>
      <c r="X863" s="1639"/>
      <c r="Y863" s="1639"/>
      <c r="Z863" s="1639"/>
      <c r="AA863" s="1639"/>
      <c r="AB863" s="1639"/>
      <c r="AC863" s="1640"/>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645"/>
      <c r="X865" s="1645"/>
      <c r="Y865" s="1645"/>
      <c r="Z865" s="1645"/>
      <c r="AA865" s="1645"/>
      <c r="AB865" s="1645"/>
      <c r="AC865" s="1645"/>
      <c r="AU865" s="14"/>
      <c r="AZ865" s="34"/>
      <c r="BA865" s="34"/>
      <c r="BB865" s="34"/>
      <c r="BC865" s="34"/>
    </row>
    <row r="866" spans="3:55" ht="12.95" customHeight="1">
      <c r="J866" s="45" t="s">
        <v>522</v>
      </c>
      <c r="K866" s="5"/>
      <c r="L866" s="5"/>
      <c r="M866" s="5"/>
      <c r="N866" s="5"/>
      <c r="O866" s="5"/>
      <c r="P866" s="5"/>
      <c r="Q866" s="5"/>
      <c r="R866" s="5"/>
      <c r="S866" s="5"/>
      <c r="T866" s="5"/>
      <c r="U866" s="5"/>
      <c r="V866" s="46"/>
      <c r="W866" s="1645">
        <f>45500+17750</f>
        <v>63250</v>
      </c>
      <c r="X866" s="1645"/>
      <c r="Y866" s="1645"/>
      <c r="Z866" s="1645"/>
      <c r="AA866" s="1645"/>
      <c r="AB866" s="1645"/>
      <c r="AC866" s="1645"/>
      <c r="AU866" s="4"/>
      <c r="AZ866" s="34"/>
      <c r="BA866" s="34"/>
      <c r="BB866" s="34"/>
      <c r="BC866" s="34"/>
    </row>
    <row r="867" spans="3:55" ht="12.95" customHeight="1">
      <c r="J867" s="45" t="s">
        <v>521</v>
      </c>
      <c r="K867" s="5"/>
      <c r="L867" s="5"/>
      <c r="M867" s="5"/>
      <c r="N867" s="5"/>
      <c r="O867" s="5"/>
      <c r="P867" s="5"/>
      <c r="Q867" s="5"/>
      <c r="R867" s="5"/>
      <c r="S867" s="5"/>
      <c r="T867" s="5"/>
      <c r="U867" s="5"/>
      <c r="V867" s="46"/>
      <c r="W867" s="1645">
        <v>82750</v>
      </c>
      <c r="X867" s="1645"/>
      <c r="Y867" s="1645"/>
      <c r="Z867" s="1645"/>
      <c r="AA867" s="1645"/>
      <c r="AB867" s="1645"/>
      <c r="AC867" s="1645"/>
      <c r="AU867" s="4"/>
      <c r="AZ867" s="34"/>
      <c r="BA867" s="34"/>
      <c r="BB867" s="34"/>
      <c r="BC867" s="34"/>
    </row>
    <row r="868" spans="3:55" ht="12.95" customHeight="1">
      <c r="J868" s="45" t="s">
        <v>520</v>
      </c>
      <c r="K868" s="5"/>
      <c r="L868" s="5"/>
      <c r="M868" s="5"/>
      <c r="N868" s="5"/>
      <c r="O868" s="5"/>
      <c r="P868" s="5"/>
      <c r="Q868" s="5"/>
      <c r="R868" s="5"/>
      <c r="S868" s="5"/>
      <c r="T868" s="5"/>
      <c r="U868" s="5"/>
      <c r="V868" s="46"/>
      <c r="W868" s="1645">
        <v>10000</v>
      </c>
      <c r="X868" s="1645"/>
      <c r="Y868" s="1645"/>
      <c r="Z868" s="1645"/>
      <c r="AA868" s="1645"/>
      <c r="AB868" s="1645"/>
      <c r="AC868" s="1645"/>
      <c r="AU868" s="4"/>
      <c r="AZ868" s="34"/>
      <c r="BA868" s="34"/>
      <c r="BB868" s="34"/>
      <c r="BC868" s="34"/>
    </row>
    <row r="869" spans="3:55" ht="12.95" customHeight="1">
      <c r="J869" s="45" t="s">
        <v>519</v>
      </c>
      <c r="K869" s="5"/>
      <c r="L869" s="5"/>
      <c r="M869" s="5"/>
      <c r="N869" s="5"/>
      <c r="O869" s="5"/>
      <c r="P869" s="5"/>
      <c r="Q869" s="5"/>
      <c r="R869" s="5"/>
      <c r="S869" s="5"/>
      <c r="T869" s="5"/>
      <c r="U869" s="5"/>
      <c r="V869" s="46"/>
      <c r="W869" s="1645">
        <v>37125</v>
      </c>
      <c r="X869" s="1645"/>
      <c r="Y869" s="1645"/>
      <c r="Z869" s="1645"/>
      <c r="AA869" s="1645"/>
      <c r="AB869" s="1645"/>
      <c r="AC869" s="1645"/>
      <c r="AU869" s="4"/>
      <c r="AZ869" s="34"/>
      <c r="BA869" s="34"/>
      <c r="BB869" s="34"/>
      <c r="BC869" s="34"/>
    </row>
    <row r="870" spans="3:55" ht="12.95" customHeight="1">
      <c r="J870" s="45" t="s">
        <v>518</v>
      </c>
      <c r="K870" s="5"/>
      <c r="L870" s="5"/>
      <c r="M870" s="5"/>
      <c r="N870" s="5"/>
      <c r="O870" s="5"/>
      <c r="P870" s="5"/>
      <c r="Q870" s="5"/>
      <c r="R870" s="5"/>
      <c r="S870" s="5"/>
      <c r="T870" s="5"/>
      <c r="U870" s="5"/>
      <c r="V870" s="46"/>
      <c r="W870" s="1645"/>
      <c r="X870" s="1645"/>
      <c r="Y870" s="1645"/>
      <c r="Z870" s="1645"/>
      <c r="AA870" s="1645"/>
      <c r="AB870" s="1645"/>
      <c r="AC870" s="1645"/>
      <c r="AU870" s="4"/>
      <c r="AZ870" s="34"/>
      <c r="BA870" s="34"/>
      <c r="BB870" s="34"/>
      <c r="BC870" s="34"/>
    </row>
    <row r="871" spans="3:55" ht="12.95" customHeight="1">
      <c r="J871" s="45" t="s">
        <v>169</v>
      </c>
      <c r="K871" s="5"/>
      <c r="L871" s="5"/>
      <c r="M871" s="1607" t="s">
        <v>2800</v>
      </c>
      <c r="N871" s="1608"/>
      <c r="O871" s="1608"/>
      <c r="P871" s="1608"/>
      <c r="Q871" s="1608"/>
      <c r="R871" s="1608"/>
      <c r="S871" s="1608"/>
      <c r="T871" s="1608"/>
      <c r="U871" s="1608"/>
      <c r="V871" s="1609"/>
      <c r="W871" s="1645">
        <f>45000+5500</f>
        <v>50500</v>
      </c>
      <c r="X871" s="1645"/>
      <c r="Y871" s="1645"/>
      <c r="Z871" s="1645"/>
      <c r="AA871" s="1645"/>
      <c r="AB871" s="1645"/>
      <c r="AC871" s="1645"/>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695">
        <f>SUM(W865:W871)</f>
        <v>243625</v>
      </c>
      <c r="X872" s="1695"/>
      <c r="Y872" s="1695"/>
      <c r="Z872" s="1695"/>
      <c r="AA872" s="1695"/>
      <c r="AB872" s="1695"/>
      <c r="AC872" s="1695"/>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607" t="s">
        <v>2801</v>
      </c>
      <c r="N874" s="1608"/>
      <c r="O874" s="1608"/>
      <c r="P874" s="1608"/>
      <c r="Q874" s="1608"/>
      <c r="R874" s="1608"/>
      <c r="S874" s="1608"/>
      <c r="T874" s="1608"/>
      <c r="U874" s="1608"/>
      <c r="V874" s="1609"/>
      <c r="W874" s="1475">
        <v>7500</v>
      </c>
      <c r="X874" s="1476"/>
      <c r="Y874" s="1476"/>
      <c r="Z874" s="1476"/>
      <c r="AA874" s="1476"/>
      <c r="AB874" s="1476"/>
      <c r="AC874" s="1477"/>
      <c r="AD874" s="533"/>
      <c r="AV874" s="14"/>
      <c r="AW874" s="14"/>
      <c r="AX874" s="14"/>
      <c r="AY874" s="14"/>
      <c r="AZ874" s="34"/>
      <c r="BA874" s="34"/>
      <c r="BB874" s="34"/>
      <c r="BC874" s="34"/>
    </row>
    <row r="875" spans="3:55" ht="12.95" customHeight="1">
      <c r="C875" s="2" t="s">
        <v>1244</v>
      </c>
      <c r="J875" s="45" t="s">
        <v>169</v>
      </c>
      <c r="K875" s="5"/>
      <c r="L875" s="5"/>
      <c r="M875" s="1607" t="s">
        <v>333</v>
      </c>
      <c r="N875" s="1608"/>
      <c r="O875" s="1608"/>
      <c r="P875" s="1608"/>
      <c r="Q875" s="1608"/>
      <c r="R875" s="1608"/>
      <c r="S875" s="1608"/>
      <c r="T875" s="1608"/>
      <c r="U875" s="1608"/>
      <c r="V875" s="1609"/>
      <c r="W875" s="1475"/>
      <c r="X875" s="1476"/>
      <c r="Y875" s="1476"/>
      <c r="Z875" s="1476"/>
      <c r="AA875" s="1476"/>
      <c r="AB875" s="1476"/>
      <c r="AC875" s="1477"/>
      <c r="AD875" s="533"/>
      <c r="AV875" s="14"/>
      <c r="AW875" s="14"/>
      <c r="AX875" s="14"/>
      <c r="AY875" s="14"/>
      <c r="AZ875" s="34"/>
      <c r="BA875" s="34"/>
      <c r="BB875" s="34"/>
      <c r="BC875" s="34"/>
    </row>
    <row r="876" spans="3:55" ht="12.95" customHeight="1">
      <c r="J876" s="45" t="s">
        <v>169</v>
      </c>
      <c r="K876" s="5"/>
      <c r="L876" s="5"/>
      <c r="M876" s="1607" t="s">
        <v>333</v>
      </c>
      <c r="N876" s="1608"/>
      <c r="O876" s="1608"/>
      <c r="P876" s="1608"/>
      <c r="Q876" s="1608"/>
      <c r="R876" s="1608"/>
      <c r="S876" s="1608"/>
      <c r="T876" s="1608"/>
      <c r="U876" s="1608"/>
      <c r="V876" s="1609"/>
      <c r="W876" s="1475"/>
      <c r="X876" s="1476"/>
      <c r="Y876" s="1476"/>
      <c r="Z876" s="1476"/>
      <c r="AA876" s="1476"/>
      <c r="AB876" s="1476"/>
      <c r="AC876" s="1477"/>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607" t="s">
        <v>333</v>
      </c>
      <c r="N877" s="1608"/>
      <c r="O877" s="1608"/>
      <c r="P877" s="1608"/>
      <c r="Q877" s="1608"/>
      <c r="R877" s="1608"/>
      <c r="S877" s="1608"/>
      <c r="T877" s="1608"/>
      <c r="U877" s="1608"/>
      <c r="V877" s="1609"/>
      <c r="W877" s="1475"/>
      <c r="X877" s="1476"/>
      <c r="Y877" s="1476"/>
      <c r="Z877" s="1476"/>
      <c r="AA877" s="1476"/>
      <c r="AB877" s="1476"/>
      <c r="AC877" s="1477"/>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607" t="s">
        <v>333</v>
      </c>
      <c r="N878" s="1608"/>
      <c r="O878" s="1608"/>
      <c r="P878" s="1608"/>
      <c r="Q878" s="1608"/>
      <c r="R878" s="1608"/>
      <c r="S878" s="1608"/>
      <c r="T878" s="1608"/>
      <c r="U878" s="1608"/>
      <c r="V878" s="1609"/>
      <c r="W878" s="1475"/>
      <c r="X878" s="1476"/>
      <c r="Y878" s="1476"/>
      <c r="Z878" s="1476"/>
      <c r="AA878" s="1476"/>
      <c r="AB878" s="1476"/>
      <c r="AC878" s="147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495">
        <f>SUM(W874:W878)</f>
        <v>7500</v>
      </c>
      <c r="X879" s="1496"/>
      <c r="Y879" s="1496"/>
      <c r="Z879" s="1496"/>
      <c r="AA879" s="1496"/>
      <c r="AB879" s="1496"/>
      <c r="AC879" s="149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96">
        <f>W847+W855+W862+W863+W872+W879+W849</f>
        <v>861173</v>
      </c>
      <c r="AD883" s="1496"/>
      <c r="AE883" s="1496"/>
      <c r="AF883" s="1496"/>
      <c r="AG883" s="1496"/>
      <c r="AH883" s="149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07">
        <f>O797+O777+G753</f>
        <v>125</v>
      </c>
      <c r="AD884" s="1707"/>
      <c r="AE884" s="1707"/>
      <c r="AF884" s="1707"/>
      <c r="AG884" s="1707"/>
      <c r="AH884" s="1708"/>
      <c r="AL884" s="4"/>
      <c r="AM884" s="4"/>
      <c r="AN884" s="4"/>
      <c r="AO884" s="4"/>
      <c r="AP884" s="4"/>
      <c r="AQ884" s="4"/>
      <c r="AR884" s="4"/>
      <c r="AS884" s="4"/>
      <c r="AT884" s="4"/>
      <c r="AZ884" s="34"/>
      <c r="BA884" s="34"/>
      <c r="BB884" s="34"/>
      <c r="BC884" s="34"/>
    </row>
    <row r="885" spans="3:55" ht="12.95" customHeight="1">
      <c r="C885" s="41"/>
      <c r="D885" s="42"/>
      <c r="E885" s="1712" t="s">
        <v>32</v>
      </c>
      <c r="F885" s="1712"/>
      <c r="G885" s="1712"/>
      <c r="H885" s="1712"/>
      <c r="I885" s="1712"/>
      <c r="J885" s="1712"/>
      <c r="K885" s="1712"/>
      <c r="L885" s="1712"/>
      <c r="M885" s="1712"/>
      <c r="N885" s="1712"/>
      <c r="O885" s="1712"/>
      <c r="P885" s="1712"/>
      <c r="Q885" s="1712"/>
      <c r="R885" s="1712"/>
      <c r="S885" s="1712"/>
      <c r="T885" s="1712"/>
      <c r="U885" s="1712"/>
      <c r="V885" s="1712"/>
      <c r="W885" s="1712"/>
      <c r="X885" s="1712"/>
      <c r="Y885" s="1712"/>
      <c r="Z885" s="1712"/>
      <c r="AA885" s="1712"/>
      <c r="AB885" s="1713"/>
      <c r="AC885" s="1695">
        <f>IF(ISERROR((ROUNDDOWN(AC883/AC884,0))),0,(ROUNDDOWN(AC883/AC884,0)))</f>
        <v>6889</v>
      </c>
      <c r="AD885" s="1695"/>
      <c r="AE885" s="1695"/>
      <c r="AF885" s="1695"/>
      <c r="AG885" s="1695"/>
      <c r="AH885" s="1695"/>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0">
        <f>'Sources and Uses Budget'!C75</f>
        <v>1552026</v>
      </c>
      <c r="AD886" s="1711"/>
      <c r="AE886" s="1711"/>
      <c r="AF886" s="1711"/>
      <c r="AG886" s="1711"/>
      <c r="AH886" s="1711"/>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7"/>
      <c r="AD887" s="1645"/>
      <c r="AE887" s="1645"/>
      <c r="AF887" s="1645"/>
      <c r="AG887" s="1645"/>
      <c r="AH887" s="1645"/>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76">
        <v>30000</v>
      </c>
      <c r="AD888" s="1476"/>
      <c r="AE888" s="1476"/>
      <c r="AF888" s="1476"/>
      <c r="AG888" s="1476"/>
      <c r="AH888" s="147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6">
        <v>31250</v>
      </c>
      <c r="AD889" s="1476"/>
      <c r="AE889" s="1476"/>
      <c r="AF889" s="1476"/>
      <c r="AG889" s="1476"/>
      <c r="AH889" s="147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651"/>
      <c r="AD890" s="1652"/>
      <c r="AE890" s="1652"/>
      <c r="AF890" s="1652"/>
      <c r="AG890" s="1652"/>
      <c r="AH890" s="1653"/>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6">
        <v>24276</v>
      </c>
      <c r="AD891" s="1476"/>
      <c r="AE891" s="1476"/>
      <c r="AF891" s="1476"/>
      <c r="AG891" s="1476"/>
      <c r="AH891" s="1477"/>
      <c r="AZ891" s="34"/>
      <c r="BA891" s="34"/>
      <c r="BB891" s="34"/>
      <c r="BC891" s="34"/>
    </row>
    <row r="892" spans="3:55" ht="12.95" hidden="1" customHeight="1">
      <c r="C892" s="1508" t="s">
        <v>2234</v>
      </c>
      <c r="D892" s="1509"/>
      <c r="E892" s="1509"/>
      <c r="F892" s="1509"/>
      <c r="G892" s="1509"/>
      <c r="H892" s="1509"/>
      <c r="I892" s="1509"/>
      <c r="J892" s="1509"/>
      <c r="K892" s="1509"/>
      <c r="L892" s="1509"/>
      <c r="M892" s="1509"/>
      <c r="N892" s="1509"/>
      <c r="O892" s="1509"/>
      <c r="P892" s="1509"/>
      <c r="Q892" s="1509"/>
      <c r="R892" s="1509"/>
      <c r="S892" s="1509"/>
      <c r="T892" s="1509"/>
      <c r="U892" s="1509"/>
      <c r="V892" s="1509"/>
      <c r="W892" s="1509"/>
      <c r="X892" s="1509"/>
      <c r="Y892" s="1509"/>
      <c r="Z892" s="1509"/>
      <c r="AA892" s="1509"/>
      <c r="AB892" s="1510"/>
      <c r="AC892" s="1476"/>
      <c r="AD892" s="1476"/>
      <c r="AE892" s="1476"/>
      <c r="AF892" s="1476"/>
      <c r="AG892" s="1476"/>
      <c r="AH892" s="147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76"/>
      <c r="AD893" s="1476"/>
      <c r="AE893" s="1476"/>
      <c r="AF893" s="1476"/>
      <c r="AG893" s="1476"/>
      <c r="AH893" s="1477"/>
      <c r="AZ893" s="34"/>
      <c r="BA893" s="34"/>
      <c r="BB893" s="34"/>
      <c r="BC893" s="34"/>
    </row>
    <row r="894" spans="3:55" ht="12.95" customHeight="1">
      <c r="C894" s="1641" t="s">
        <v>956</v>
      </c>
      <c r="D894" s="1642"/>
      <c r="E894" s="1642"/>
      <c r="F894" s="1642"/>
      <c r="G894" s="1642"/>
      <c r="H894" s="1642"/>
      <c r="I894" s="1642"/>
      <c r="J894" s="1642"/>
      <c r="K894" s="1642"/>
      <c r="L894" s="1642"/>
      <c r="M894" s="1642"/>
      <c r="N894" s="1642"/>
      <c r="O894" s="1642"/>
      <c r="P894" s="1642"/>
      <c r="Q894" s="1642"/>
      <c r="R894" s="1642"/>
      <c r="S894" s="1642"/>
      <c r="T894" s="1642"/>
      <c r="U894" s="1642"/>
      <c r="V894" s="1642"/>
      <c r="W894" s="1642"/>
      <c r="X894" s="1642"/>
      <c r="Y894" s="1642"/>
      <c r="Z894" s="1642"/>
      <c r="AA894" s="1642"/>
      <c r="AB894" s="1643"/>
      <c r="AC894" s="1645"/>
      <c r="AD894" s="1645"/>
      <c r="AE894" s="1645"/>
      <c r="AF894" s="1645"/>
      <c r="AG894" s="1645"/>
      <c r="AH894" s="1645"/>
      <c r="AZ894" s="34"/>
      <c r="BA894" s="34"/>
      <c r="BB894" s="34"/>
      <c r="BC894" s="34"/>
    </row>
    <row r="895" spans="3:55" ht="12.95" customHeight="1">
      <c r="C895" s="1641" t="s">
        <v>956</v>
      </c>
      <c r="D895" s="1642"/>
      <c r="E895" s="1642"/>
      <c r="F895" s="1642"/>
      <c r="G895" s="1642"/>
      <c r="H895" s="1642"/>
      <c r="I895" s="1642"/>
      <c r="J895" s="1642"/>
      <c r="K895" s="1642"/>
      <c r="L895" s="1642"/>
      <c r="M895" s="1642"/>
      <c r="N895" s="1642"/>
      <c r="O895" s="1642"/>
      <c r="P895" s="1642"/>
      <c r="Q895" s="1642"/>
      <c r="R895" s="1642"/>
      <c r="S895" s="1642"/>
      <c r="T895" s="1642"/>
      <c r="U895" s="1642"/>
      <c r="V895" s="1642"/>
      <c r="W895" s="1642"/>
      <c r="X895" s="1642"/>
      <c r="Y895" s="1642"/>
      <c r="Z895" s="1642"/>
      <c r="AA895" s="1642"/>
      <c r="AB895" s="1643"/>
      <c r="AC895" s="1645"/>
      <c r="AD895" s="1645"/>
      <c r="AE895" s="1645"/>
      <c r="AF895" s="1645"/>
      <c r="AG895" s="1645"/>
      <c r="AH895" s="1645"/>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75"/>
      <c r="AA899" s="1476"/>
      <c r="AB899" s="1476"/>
      <c r="AC899" s="1476"/>
      <c r="AD899" s="1476"/>
      <c r="AE899" s="1477"/>
      <c r="AF899" s="533"/>
      <c r="AZ899" s="34"/>
      <c r="BB899" s="30"/>
      <c r="BC899" s="816"/>
      <c r="BD899" s="1637"/>
      <c r="BE899" s="1637"/>
      <c r="BF899" s="14"/>
    </row>
    <row r="900" spans="1:58" ht="12.95" customHeight="1">
      <c r="H900" s="121" t="s">
        <v>238</v>
      </c>
      <c r="I900" s="5"/>
      <c r="J900" s="5"/>
      <c r="K900" s="5"/>
      <c r="L900" s="5"/>
      <c r="M900" s="5"/>
      <c r="N900" s="5"/>
      <c r="O900" s="5"/>
      <c r="P900" s="5"/>
      <c r="Q900" s="5"/>
      <c r="R900" s="5"/>
      <c r="S900" s="5"/>
      <c r="T900" s="5"/>
      <c r="U900" s="5"/>
      <c r="V900" s="5"/>
      <c r="W900" s="5"/>
      <c r="X900" s="5"/>
      <c r="Y900" s="5"/>
      <c r="Z900" s="1475"/>
      <c r="AA900" s="1476"/>
      <c r="AB900" s="1476"/>
      <c r="AC900" s="1476"/>
      <c r="AD900" s="1476"/>
      <c r="AE900" s="1477"/>
      <c r="AZ900" s="34"/>
      <c r="BB900" s="30"/>
      <c r="BC900" s="816"/>
      <c r="BD900" s="1637"/>
      <c r="BE900" s="1637"/>
      <c r="BF900" s="14"/>
    </row>
    <row r="901" spans="1:58" ht="12.95" customHeight="1">
      <c r="H901" s="121" t="s">
        <v>239</v>
      </c>
      <c r="I901" s="5"/>
      <c r="J901" s="5"/>
      <c r="K901" s="5"/>
      <c r="L901" s="5"/>
      <c r="M901" s="5"/>
      <c r="N901" s="5"/>
      <c r="O901" s="5"/>
      <c r="P901" s="5"/>
      <c r="Q901" s="5"/>
      <c r="R901" s="5"/>
      <c r="S901" s="5"/>
      <c r="T901" s="5"/>
      <c r="U901" s="5"/>
      <c r="V901" s="5"/>
      <c r="W901" s="5"/>
      <c r="X901" s="5"/>
      <c r="Y901" s="5"/>
      <c r="Z901" s="1475"/>
      <c r="AA901" s="1476"/>
      <c r="AB901" s="1476"/>
      <c r="AC901" s="1476"/>
      <c r="AD901" s="1476"/>
      <c r="AE901" s="1477"/>
      <c r="AZ901" s="34"/>
      <c r="BB901" s="30"/>
      <c r="BC901" s="816"/>
      <c r="BD901" s="1636"/>
      <c r="BE901" s="1636"/>
      <c r="BF901" s="14"/>
    </row>
    <row r="902" spans="1:58" ht="12.95" customHeight="1">
      <c r="H902" s="45"/>
      <c r="I902" s="5"/>
      <c r="J902" s="5"/>
      <c r="K902" s="5"/>
      <c r="L902" s="5"/>
      <c r="M902" s="5"/>
      <c r="N902" s="5"/>
      <c r="O902" s="5"/>
      <c r="P902" s="5"/>
      <c r="Q902" s="5"/>
      <c r="R902" s="5"/>
      <c r="S902" s="5"/>
      <c r="T902" s="5"/>
      <c r="U902" s="5"/>
      <c r="V902" s="5"/>
      <c r="W902" s="5"/>
      <c r="X902" s="5"/>
      <c r="Y902" s="181" t="s">
        <v>240</v>
      </c>
      <c r="Z902" s="1495">
        <f>Z899-(Z900+Z901)</f>
        <v>0</v>
      </c>
      <c r="AA902" s="1496"/>
      <c r="AB902" s="1496"/>
      <c r="AC902" s="1496"/>
      <c r="AD902" s="1496"/>
      <c r="AE902" s="1497"/>
      <c r="AZ902" s="34"/>
      <c r="BB902" s="30"/>
      <c r="BC902" s="816"/>
      <c r="BD902" s="1636"/>
      <c r="BE902" s="1636"/>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6"/>
      <c r="BE903" s="1636"/>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7"/>
      <c r="BE904" s="1636"/>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96"/>
      <c r="BE905" s="1696"/>
      <c r="BF905" s="1696"/>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6"/>
      <c r="BE907" s="1636"/>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7"/>
      <c r="BE908" s="1636"/>
      <c r="BF908" s="14"/>
    </row>
    <row r="909" spans="1:58" ht="12.95" customHeight="1">
      <c r="AZ909" s="34"/>
      <c r="BB909" s="30"/>
      <c r="BC909" s="816"/>
    </row>
    <row r="910" spans="1:58" ht="12.95" customHeight="1">
      <c r="A910" s="1498" t="s">
        <v>96</v>
      </c>
      <c r="B910" s="1498"/>
      <c r="C910" s="1498"/>
      <c r="D910" s="1498"/>
      <c r="E910" s="1498"/>
      <c r="F910" s="1498"/>
      <c r="G910" s="1498"/>
      <c r="H910" s="1498"/>
      <c r="I910" s="1498"/>
      <c r="J910" s="1498"/>
      <c r="K910" s="1498"/>
      <c r="L910" s="1498"/>
      <c r="M910" s="1498"/>
      <c r="N910" s="1498"/>
      <c r="O910" s="1498"/>
      <c r="P910" s="1498"/>
      <c r="Q910" s="1498"/>
      <c r="R910" s="1498"/>
      <c r="S910" s="1498"/>
      <c r="T910" s="1498"/>
      <c r="U910" s="1498"/>
      <c r="V910" s="1498"/>
      <c r="W910" s="1498"/>
      <c r="X910" s="1498"/>
      <c r="Y910" s="1498"/>
      <c r="Z910" s="1498"/>
      <c r="AA910" s="1498"/>
      <c r="AB910" s="1498"/>
      <c r="AC910" s="1498"/>
      <c r="AD910" s="1498"/>
      <c r="AE910" s="1498"/>
      <c r="AF910" s="1498"/>
      <c r="AG910" s="1498"/>
      <c r="AH910" s="1498"/>
      <c r="AI910" s="1498"/>
      <c r="AJ910" s="1498"/>
      <c r="AK910" s="1498"/>
      <c r="AL910" s="1498"/>
      <c r="AM910" s="1498"/>
      <c r="AN910" s="1498"/>
      <c r="AO910" s="1498"/>
      <c r="AP910" s="1498"/>
      <c r="AQ910" s="1498"/>
      <c r="AR910" s="1498"/>
      <c r="AS910" s="1498"/>
      <c r="AT910" s="1498"/>
      <c r="AZ910" s="34"/>
      <c r="BA910" s="34"/>
      <c r="BB910" s="30"/>
      <c r="BC910" s="30"/>
      <c r="BD910" s="1637"/>
      <c r="BE910" s="1636"/>
      <c r="BF910" s="911"/>
    </row>
    <row r="911" spans="1:58" ht="12.95" customHeight="1">
      <c r="A911" s="1498"/>
      <c r="B911" s="1498"/>
      <c r="C911" s="1498"/>
      <c r="D911" s="1498"/>
      <c r="E911" s="1498"/>
      <c r="F911" s="1498"/>
      <c r="G911" s="1498"/>
      <c r="H911" s="1498"/>
      <c r="I911" s="1498"/>
      <c r="J911" s="1498"/>
      <c r="K911" s="1498"/>
      <c r="L911" s="1498"/>
      <c r="M911" s="1498"/>
      <c r="N911" s="1498"/>
      <c r="O911" s="1498"/>
      <c r="P911" s="1498"/>
      <c r="Q911" s="1498"/>
      <c r="R911" s="1498"/>
      <c r="S911" s="1498"/>
      <c r="T911" s="1498"/>
      <c r="U911" s="1498"/>
      <c r="V911" s="1498"/>
      <c r="W911" s="1498"/>
      <c r="X911" s="1498"/>
      <c r="Y911" s="1498"/>
      <c r="Z911" s="1498"/>
      <c r="AA911" s="1498"/>
      <c r="AB911" s="1498"/>
      <c r="AC911" s="1498"/>
      <c r="AD911" s="1498"/>
      <c r="AE911" s="1498"/>
      <c r="AF911" s="1498"/>
      <c r="AG911" s="1498"/>
      <c r="AH911" s="1498"/>
      <c r="AI911" s="1498"/>
      <c r="AJ911" s="1498"/>
      <c r="AK911" s="1498"/>
      <c r="AL911" s="1498"/>
      <c r="AM911" s="1498"/>
      <c r="AN911" s="1498"/>
      <c r="AO911" s="1498"/>
      <c r="AP911" s="1498"/>
      <c r="AQ911" s="1498"/>
      <c r="AR911" s="1498"/>
      <c r="AS911" s="1498"/>
      <c r="AT911" s="1498"/>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55" t="s">
        <v>792</v>
      </c>
      <c r="G915" s="1656"/>
      <c r="H915" s="1656"/>
      <c r="I915" s="1656"/>
      <c r="J915" s="1656"/>
      <c r="K915" s="1656"/>
      <c r="L915" s="1656"/>
      <c r="M915" s="1656"/>
      <c r="N915" s="1656"/>
      <c r="O915" s="1656"/>
      <c r="P915" s="1656"/>
      <c r="Q915" s="1656"/>
      <c r="R915" s="1656"/>
      <c r="S915" s="1656"/>
      <c r="T915" s="1657"/>
      <c r="U915" s="1599" t="s">
        <v>31</v>
      </c>
      <c r="V915" s="1600"/>
      <c r="W915" s="1600"/>
      <c r="X915" s="1600"/>
      <c r="Y915" s="1600"/>
      <c r="Z915" s="1600"/>
      <c r="AA915" s="43"/>
      <c r="AB915" s="105"/>
      <c r="AC915" s="105"/>
      <c r="AD915" s="105"/>
      <c r="AE915" s="105"/>
      <c r="AF915" s="106"/>
      <c r="AZ915" s="34"/>
      <c r="BA915" s="34"/>
      <c r="BB915" s="34"/>
      <c r="BC915" s="34"/>
    </row>
    <row r="916" spans="1:58" ht="12.95" customHeight="1">
      <c r="B916" s="2"/>
      <c r="F916" s="1382" t="s">
        <v>818</v>
      </c>
      <c r="G916" s="1383"/>
      <c r="H916" s="1383"/>
      <c r="I916" s="1383"/>
      <c r="J916" s="1383"/>
      <c r="K916" s="1383"/>
      <c r="L916" s="1383"/>
      <c r="M916" s="1383"/>
      <c r="N916" s="1383"/>
      <c r="O916" s="1383"/>
      <c r="P916" s="1383"/>
      <c r="Q916" s="1383"/>
      <c r="R916" s="1383"/>
      <c r="S916" s="1383"/>
      <c r="T916" s="1384"/>
      <c r="U916" s="1382"/>
      <c r="V916" s="1383"/>
      <c r="W916" s="1383"/>
      <c r="X916" s="1383"/>
      <c r="Y916" s="1383"/>
      <c r="Z916" s="1383"/>
      <c r="AA916" s="44"/>
      <c r="AB916" s="4"/>
      <c r="AC916" s="4"/>
      <c r="AD916" s="4"/>
      <c r="AE916" s="4"/>
      <c r="AF916" s="107"/>
      <c r="AZ916" s="34"/>
      <c r="BA916" s="34"/>
      <c r="BB916" s="34"/>
      <c r="BC916" s="34"/>
    </row>
    <row r="917" spans="1:58" ht="12.95" customHeight="1">
      <c r="B917" s="2"/>
      <c r="F917" s="1385"/>
      <c r="G917" s="1386"/>
      <c r="H917" s="1386"/>
      <c r="I917" s="1386"/>
      <c r="J917" s="1386"/>
      <c r="K917" s="1386"/>
      <c r="L917" s="1386"/>
      <c r="M917" s="1386"/>
      <c r="N917" s="1386"/>
      <c r="O917" s="1386"/>
      <c r="P917" s="1386"/>
      <c r="Q917" s="1386"/>
      <c r="R917" s="1386"/>
      <c r="S917" s="1386"/>
      <c r="T917" s="1387"/>
      <c r="U917" s="1385"/>
      <c r="V917" s="1386"/>
      <c r="W917" s="1386"/>
      <c r="X917" s="1386"/>
      <c r="Y917" s="1386"/>
      <c r="Z917" s="1386"/>
      <c r="AA917" s="108"/>
      <c r="AB917" s="1646" t="s">
        <v>390</v>
      </c>
      <c r="AC917" s="1646"/>
      <c r="AD917" s="1646"/>
      <c r="AE917" s="1646"/>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26" t="s">
        <v>545</v>
      </c>
      <c r="V918" s="1427"/>
      <c r="W918" s="1427"/>
      <c r="X918" s="1427"/>
      <c r="Y918" s="1427"/>
      <c r="Z918" s="1428"/>
      <c r="AA918" s="1421">
        <f>AM554</f>
        <v>36000000</v>
      </c>
      <c r="AB918" s="1422"/>
      <c r="AC918" s="1422"/>
      <c r="AD918" s="1422"/>
      <c r="AE918" s="1422"/>
      <c r="AF918" s="1423"/>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26" t="s">
        <v>545</v>
      </c>
      <c r="V919" s="1427"/>
      <c r="W919" s="1427"/>
      <c r="X919" s="1427"/>
      <c r="Y919" s="1427"/>
      <c r="Z919" s="1428"/>
      <c r="AA919" s="1421">
        <f>AM555</f>
        <v>20249970</v>
      </c>
      <c r="AB919" s="1422"/>
      <c r="AC919" s="1422"/>
      <c r="AD919" s="1422"/>
      <c r="AE919" s="1422"/>
      <c r="AF919" s="1423"/>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26" t="s">
        <v>591</v>
      </c>
      <c r="V920" s="1427"/>
      <c r="W920" s="1427"/>
      <c r="X920" s="1427"/>
      <c r="Y920" s="1427"/>
      <c r="Z920" s="1428"/>
      <c r="AA920" s="1421"/>
      <c r="AB920" s="1422"/>
      <c r="AC920" s="1422"/>
      <c r="AD920" s="1422"/>
      <c r="AE920" s="1422"/>
      <c r="AF920" s="1423"/>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26" t="s">
        <v>591</v>
      </c>
      <c r="V921" s="1427"/>
      <c r="W921" s="1427"/>
      <c r="X921" s="1427"/>
      <c r="Y921" s="1427"/>
      <c r="Z921" s="1428"/>
      <c r="AA921" s="1421"/>
      <c r="AB921" s="1422"/>
      <c r="AC921" s="1422"/>
      <c r="AD921" s="1422"/>
      <c r="AE921" s="1422"/>
      <c r="AF921" s="1423"/>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26" t="s">
        <v>591</v>
      </c>
      <c r="V922" s="1427"/>
      <c r="W922" s="1427"/>
      <c r="X922" s="1427"/>
      <c r="Y922" s="1427"/>
      <c r="Z922" s="1428"/>
      <c r="AA922" s="1421"/>
      <c r="AB922" s="1422"/>
      <c r="AC922" s="1422"/>
      <c r="AD922" s="1422"/>
      <c r="AE922" s="1422"/>
      <c r="AF922" s="1423"/>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26" t="s">
        <v>591</v>
      </c>
      <c r="V923" s="1427"/>
      <c r="W923" s="1427"/>
      <c r="X923" s="1427"/>
      <c r="Y923" s="1427"/>
      <c r="Z923" s="1428"/>
      <c r="AA923" s="1421"/>
      <c r="AB923" s="1422"/>
      <c r="AC923" s="1422"/>
      <c r="AD923" s="1422"/>
      <c r="AE923" s="1422"/>
      <c r="AF923" s="1423"/>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26" t="s">
        <v>591</v>
      </c>
      <c r="V924" s="1427"/>
      <c r="W924" s="1427"/>
      <c r="X924" s="1427"/>
      <c r="Y924" s="1427"/>
      <c r="Z924" s="1428"/>
      <c r="AA924" s="1421"/>
      <c r="AB924" s="1422"/>
      <c r="AC924" s="1422"/>
      <c r="AD924" s="1422"/>
      <c r="AE924" s="1422"/>
      <c r="AF924" s="1423"/>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26" t="s">
        <v>591</v>
      </c>
      <c r="V925" s="1427"/>
      <c r="W925" s="1427"/>
      <c r="X925" s="1427"/>
      <c r="Y925" s="1427"/>
      <c r="Z925" s="1428"/>
      <c r="AA925" s="1421"/>
      <c r="AB925" s="1422"/>
      <c r="AC925" s="1422"/>
      <c r="AD925" s="1422"/>
      <c r="AE925" s="1422"/>
      <c r="AF925" s="1423"/>
      <c r="AZ925" s="34"/>
      <c r="BA925" s="34"/>
      <c r="BB925" s="34"/>
      <c r="BC925" s="34"/>
    </row>
    <row r="926" spans="1:58" ht="12.95" customHeight="1">
      <c r="F926" s="1388" t="s">
        <v>2193</v>
      </c>
      <c r="G926" s="1389"/>
      <c r="H926" s="1389"/>
      <c r="I926" s="1389"/>
      <c r="J926" s="1389"/>
      <c r="K926" s="1389"/>
      <c r="L926" s="1389"/>
      <c r="M926" s="1389"/>
      <c r="N926" s="1389"/>
      <c r="O926" s="1389"/>
      <c r="P926" s="1389"/>
      <c r="Q926" s="1389"/>
      <c r="R926" s="1389"/>
      <c r="S926" s="1389"/>
      <c r="T926" s="1390"/>
      <c r="U926" s="1426" t="s">
        <v>591</v>
      </c>
      <c r="V926" s="1427"/>
      <c r="W926" s="1427"/>
      <c r="X926" s="1427"/>
      <c r="Y926" s="1427"/>
      <c r="Z926" s="1428"/>
      <c r="AA926" s="1421"/>
      <c r="AB926" s="1422"/>
      <c r="AC926" s="1422"/>
      <c r="AD926" s="1422"/>
      <c r="AE926" s="1422"/>
      <c r="AF926" s="1423"/>
      <c r="AZ926" s="34"/>
      <c r="BA926" s="34"/>
      <c r="BB926" s="34"/>
      <c r="BC926" s="34"/>
    </row>
    <row r="927" spans="1:58" ht="12.95" customHeight="1">
      <c r="F927" s="1388" t="s">
        <v>679</v>
      </c>
      <c r="G927" s="1389"/>
      <c r="H927" s="1389"/>
      <c r="I927" s="1389"/>
      <c r="J927" s="1389"/>
      <c r="K927" s="1389"/>
      <c r="L927" s="1389"/>
      <c r="M927" s="1389"/>
      <c r="N927" s="1389"/>
      <c r="O927" s="1389"/>
      <c r="P927" s="1389"/>
      <c r="Q927" s="1389"/>
      <c r="R927" s="1389"/>
      <c r="S927" s="1389"/>
      <c r="T927" s="1390"/>
      <c r="U927" s="1426" t="s">
        <v>591</v>
      </c>
      <c r="V927" s="1427"/>
      <c r="W927" s="1427"/>
      <c r="X927" s="1427"/>
      <c r="Y927" s="1427"/>
      <c r="Z927" s="1428"/>
      <c r="AA927" s="1421"/>
      <c r="AB927" s="1422"/>
      <c r="AC927" s="1422"/>
      <c r="AD927" s="1422"/>
      <c r="AE927" s="1422"/>
      <c r="AF927" s="1423"/>
      <c r="AU927" s="2"/>
      <c r="AZ927" s="34"/>
      <c r="BA927" s="34"/>
      <c r="BB927" s="34"/>
      <c r="BC927" s="34"/>
    </row>
    <row r="928" spans="1:58" ht="12.95" customHeight="1">
      <c r="F928" s="1388" t="s">
        <v>2194</v>
      </c>
      <c r="G928" s="1389"/>
      <c r="H928" s="1389"/>
      <c r="I928" s="1389"/>
      <c r="J928" s="1389"/>
      <c r="K928" s="1389"/>
      <c r="L928" s="1389"/>
      <c r="M928" s="1389"/>
      <c r="N928" s="1389"/>
      <c r="O928" s="1389"/>
      <c r="P928" s="1389"/>
      <c r="Q928" s="1389"/>
      <c r="R928" s="1389"/>
      <c r="S928" s="1389"/>
      <c r="T928" s="1390"/>
      <c r="U928" s="1426" t="s">
        <v>591</v>
      </c>
      <c r="V928" s="1427"/>
      <c r="W928" s="1427"/>
      <c r="X928" s="1427"/>
      <c r="Y928" s="1427"/>
      <c r="Z928" s="1428"/>
      <c r="AA928" s="1421"/>
      <c r="AB928" s="1422"/>
      <c r="AC928" s="1422"/>
      <c r="AD928" s="1422"/>
      <c r="AE928" s="1422"/>
      <c r="AF928" s="1423"/>
      <c r="AU928" s="2"/>
      <c r="AZ928" s="34"/>
      <c r="BA928" s="34"/>
      <c r="BB928" s="34"/>
      <c r="BC928" s="34"/>
    </row>
    <row r="929" spans="6:55" ht="12.95" customHeight="1">
      <c r="F929" s="1388" t="s">
        <v>2195</v>
      </c>
      <c r="G929" s="1389"/>
      <c r="H929" s="1389"/>
      <c r="I929" s="1389"/>
      <c r="J929" s="1389"/>
      <c r="K929" s="1389"/>
      <c r="L929" s="1389"/>
      <c r="M929" s="1389"/>
      <c r="N929" s="1389"/>
      <c r="O929" s="1389"/>
      <c r="P929" s="1389"/>
      <c r="Q929" s="1389"/>
      <c r="R929" s="1389"/>
      <c r="S929" s="1389"/>
      <c r="T929" s="1390"/>
      <c r="U929" s="1426" t="s">
        <v>591</v>
      </c>
      <c r="V929" s="1427"/>
      <c r="W929" s="1427"/>
      <c r="X929" s="1427"/>
      <c r="Y929" s="1427"/>
      <c r="Z929" s="1428"/>
      <c r="AA929" s="1421"/>
      <c r="AB929" s="1422"/>
      <c r="AC929" s="1422"/>
      <c r="AD929" s="1422"/>
      <c r="AE929" s="1422"/>
      <c r="AF929" s="1423"/>
      <c r="AU929" s="2"/>
      <c r="AZ929" s="34"/>
      <c r="BA929" s="34"/>
      <c r="BB929" s="34"/>
      <c r="BC929" s="34"/>
    </row>
    <row r="930" spans="6:55" ht="12.95" customHeight="1">
      <c r="F930" s="1388" t="s">
        <v>2196</v>
      </c>
      <c r="G930" s="1389"/>
      <c r="H930" s="1389"/>
      <c r="I930" s="1389"/>
      <c r="J930" s="1389"/>
      <c r="K930" s="1389"/>
      <c r="L930" s="1389"/>
      <c r="M930" s="1389"/>
      <c r="N930" s="1389"/>
      <c r="O930" s="1389"/>
      <c r="P930" s="1389"/>
      <c r="Q930" s="1389"/>
      <c r="R930" s="1389"/>
      <c r="S930" s="1389"/>
      <c r="T930" s="1390"/>
      <c r="U930" s="1426" t="s">
        <v>591</v>
      </c>
      <c r="V930" s="1427"/>
      <c r="W930" s="1427"/>
      <c r="X930" s="1427"/>
      <c r="Y930" s="1427"/>
      <c r="Z930" s="1428"/>
      <c r="AA930" s="1421"/>
      <c r="AB930" s="1422"/>
      <c r="AC930" s="1422"/>
      <c r="AD930" s="1422"/>
      <c r="AE930" s="1422"/>
      <c r="AF930" s="1423"/>
      <c r="AU930" s="2"/>
      <c r="AZ930" s="34"/>
      <c r="BA930" s="34"/>
      <c r="BB930" s="34"/>
      <c r="BC930" s="34"/>
    </row>
    <row r="931" spans="6:55" ht="12.95" customHeight="1">
      <c r="F931" s="1388" t="s">
        <v>2197</v>
      </c>
      <c r="G931" s="1389"/>
      <c r="H931" s="1389"/>
      <c r="I931" s="1389"/>
      <c r="J931" s="1389"/>
      <c r="K931" s="1389"/>
      <c r="L931" s="1389"/>
      <c r="M931" s="1389"/>
      <c r="N931" s="1389"/>
      <c r="O931" s="1389"/>
      <c r="P931" s="1389"/>
      <c r="Q931" s="1389"/>
      <c r="R931" s="1389"/>
      <c r="S931" s="1389"/>
      <c r="T931" s="1390"/>
      <c r="U931" s="1426" t="s">
        <v>591</v>
      </c>
      <c r="V931" s="1427"/>
      <c r="W931" s="1427"/>
      <c r="X931" s="1427"/>
      <c r="Y931" s="1427"/>
      <c r="Z931" s="1428"/>
      <c r="AA931" s="1421"/>
      <c r="AB931" s="1422"/>
      <c r="AC931" s="1422"/>
      <c r="AD931" s="1422"/>
      <c r="AE931" s="1422"/>
      <c r="AF931" s="1423"/>
      <c r="AU931" s="2"/>
      <c r="AZ931" s="34"/>
      <c r="BA931" s="34"/>
      <c r="BB931" s="34"/>
      <c r="BC931" s="34"/>
    </row>
    <row r="932" spans="6:55" ht="12.95" customHeight="1">
      <c r="F932" s="1388" t="s">
        <v>2198</v>
      </c>
      <c r="G932" s="1389"/>
      <c r="H932" s="1389"/>
      <c r="I932" s="1389"/>
      <c r="J932" s="1389"/>
      <c r="K932" s="1389"/>
      <c r="L932" s="1389"/>
      <c r="M932" s="1389"/>
      <c r="N932" s="1389"/>
      <c r="O932" s="1389"/>
      <c r="P932" s="1389"/>
      <c r="Q932" s="1389"/>
      <c r="R932" s="1389"/>
      <c r="S932" s="1389"/>
      <c r="T932" s="1390"/>
      <c r="U932" s="1426" t="s">
        <v>591</v>
      </c>
      <c r="V932" s="1427"/>
      <c r="W932" s="1427"/>
      <c r="X932" s="1427"/>
      <c r="Y932" s="1427"/>
      <c r="Z932" s="1428"/>
      <c r="AA932" s="1421"/>
      <c r="AB932" s="1422"/>
      <c r="AC932" s="1422"/>
      <c r="AD932" s="1422"/>
      <c r="AE932" s="1422"/>
      <c r="AF932" s="1423"/>
      <c r="AZ932" s="30"/>
      <c r="BA932" s="30"/>
    </row>
    <row r="933" spans="6:55" ht="12.95" customHeight="1">
      <c r="F933" s="178" t="s">
        <v>676</v>
      </c>
      <c r="G933" s="5"/>
      <c r="H933" s="5"/>
      <c r="I933" s="5"/>
      <c r="J933" s="5"/>
      <c r="K933" s="5"/>
      <c r="L933" s="5"/>
      <c r="M933" s="5"/>
      <c r="N933" s="5"/>
      <c r="O933" s="5"/>
      <c r="P933" s="5"/>
      <c r="Q933" s="5"/>
      <c r="R933" s="5"/>
      <c r="S933" s="5"/>
      <c r="T933" s="46"/>
      <c r="U933" s="1426" t="s">
        <v>591</v>
      </c>
      <c r="V933" s="1427"/>
      <c r="W933" s="1427"/>
      <c r="X933" s="1427"/>
      <c r="Y933" s="1427"/>
      <c r="Z933" s="1428"/>
      <c r="AA933" s="1421"/>
      <c r="AB933" s="1422"/>
      <c r="AC933" s="1422"/>
      <c r="AD933" s="1422"/>
      <c r="AE933" s="1422"/>
      <c r="AF933" s="1423"/>
    </row>
    <row r="934" spans="6:55" ht="12.95" customHeight="1">
      <c r="F934" s="121" t="s">
        <v>1277</v>
      </c>
      <c r="G934" s="5"/>
      <c r="H934" s="5"/>
      <c r="I934" s="5"/>
      <c r="J934" s="5"/>
      <c r="K934" s="5"/>
      <c r="L934" s="5"/>
      <c r="M934" s="5"/>
      <c r="N934" s="5"/>
      <c r="O934" s="5"/>
      <c r="P934" s="5"/>
      <c r="Q934" s="5"/>
      <c r="R934" s="5"/>
      <c r="S934" s="5"/>
      <c r="T934" s="46"/>
      <c r="U934" s="1426" t="s">
        <v>545</v>
      </c>
      <c r="V934" s="1427"/>
      <c r="W934" s="1427"/>
      <c r="X934" s="1427"/>
      <c r="Y934" s="1427"/>
      <c r="Z934" s="1428"/>
      <c r="AA934" s="1421">
        <f>AO628</f>
        <v>4000000</v>
      </c>
      <c r="AB934" s="1422"/>
      <c r="AC934" s="1422"/>
      <c r="AD934" s="1422"/>
      <c r="AE934" s="1422"/>
      <c r="AF934" s="1423"/>
      <c r="AZ934" s="30"/>
      <c r="BA934" s="14"/>
    </row>
    <row r="935" spans="6:55" ht="12.95" customHeight="1">
      <c r="F935" s="66" t="s">
        <v>802</v>
      </c>
      <c r="G935" s="5"/>
      <c r="H935" s="5"/>
      <c r="I935" s="5"/>
      <c r="J935" s="5"/>
      <c r="K935" s="5"/>
      <c r="L935" s="5"/>
      <c r="M935" s="5"/>
      <c r="N935" s="5"/>
      <c r="O935" s="5"/>
      <c r="P935" s="5"/>
      <c r="Q935" s="5"/>
      <c r="R935" s="5"/>
      <c r="S935" s="5"/>
      <c r="T935" s="46"/>
      <c r="U935" s="1426" t="s">
        <v>591</v>
      </c>
      <c r="V935" s="1427"/>
      <c r="W935" s="1427"/>
      <c r="X935" s="1427"/>
      <c r="Y935" s="1427"/>
      <c r="Z935" s="1428"/>
      <c r="AA935" s="1421"/>
      <c r="AB935" s="1422"/>
      <c r="AC935" s="1422"/>
      <c r="AD935" s="1422"/>
      <c r="AE935" s="1422"/>
      <c r="AF935" s="1423"/>
      <c r="AZ935" s="30"/>
      <c r="BA935" s="14"/>
    </row>
    <row r="936" spans="6:55" ht="12.95" customHeight="1">
      <c r="F936" s="1647" t="s">
        <v>2202</v>
      </c>
      <c r="G936" s="1648"/>
      <c r="H936" s="1648"/>
      <c r="I936" s="1648"/>
      <c r="J936" s="1648"/>
      <c r="K936" s="1648"/>
      <c r="L936" s="1648"/>
      <c r="M936" s="1648"/>
      <c r="N936" s="1648"/>
      <c r="O936" s="1648"/>
      <c r="P936" s="1648"/>
      <c r="Q936" s="1648"/>
      <c r="R936" s="1648"/>
      <c r="S936" s="1648"/>
      <c r="T936" s="1649"/>
      <c r="U936" s="1426" t="s">
        <v>591</v>
      </c>
      <c r="V936" s="1427"/>
      <c r="W936" s="1427"/>
      <c r="X936" s="1427"/>
      <c r="Y936" s="1427"/>
      <c r="Z936" s="1428"/>
      <c r="AA936" s="1421"/>
      <c r="AB936" s="1422"/>
      <c r="AC936" s="1422"/>
      <c r="AD936" s="1422"/>
      <c r="AE936" s="1422"/>
      <c r="AF936" s="1423"/>
      <c r="AZ936" s="30"/>
      <c r="BA936" s="14"/>
    </row>
    <row r="937" spans="6:55" ht="12.95" customHeight="1">
      <c r="F937" s="1647" t="s">
        <v>2203</v>
      </c>
      <c r="G937" s="1648"/>
      <c r="H937" s="1648"/>
      <c r="I937" s="1648"/>
      <c r="J937" s="1648"/>
      <c r="K937" s="1648"/>
      <c r="L937" s="1648"/>
      <c r="M937" s="1648"/>
      <c r="N937" s="1648"/>
      <c r="O937" s="1648"/>
      <c r="P937" s="1648"/>
      <c r="Q937" s="1648"/>
      <c r="R937" s="1648"/>
      <c r="S937" s="1648"/>
      <c r="T937" s="1649"/>
      <c r="U937" s="1426" t="s">
        <v>591</v>
      </c>
      <c r="V937" s="1427"/>
      <c r="W937" s="1427"/>
      <c r="X937" s="1427"/>
      <c r="Y937" s="1427"/>
      <c r="Z937" s="1428"/>
      <c r="AA937" s="1421"/>
      <c r="AB937" s="1422"/>
      <c r="AC937" s="1422"/>
      <c r="AD937" s="1422"/>
      <c r="AE937" s="1422"/>
      <c r="AF937" s="1423"/>
      <c r="AZ937" s="30"/>
      <c r="BA937" s="30"/>
    </row>
    <row r="938" spans="6:55" ht="12.95" customHeight="1">
      <c r="F938" s="1388" t="s">
        <v>2199</v>
      </c>
      <c r="G938" s="1389"/>
      <c r="H938" s="1389"/>
      <c r="I938" s="1389"/>
      <c r="J938" s="1389"/>
      <c r="K938" s="1389"/>
      <c r="L938" s="1389"/>
      <c r="M938" s="1389"/>
      <c r="N938" s="1389"/>
      <c r="O938" s="1389"/>
      <c r="P938" s="1389"/>
      <c r="Q938" s="1389"/>
      <c r="R938" s="1389"/>
      <c r="S938" s="1389"/>
      <c r="T938" s="1390"/>
      <c r="U938" s="1426" t="s">
        <v>591</v>
      </c>
      <c r="V938" s="1427"/>
      <c r="W938" s="1427"/>
      <c r="X938" s="1427"/>
      <c r="Y938" s="1427"/>
      <c r="Z938" s="1428"/>
      <c r="AA938" s="1421"/>
      <c r="AB938" s="1422"/>
      <c r="AC938" s="1422"/>
      <c r="AD938" s="1422"/>
      <c r="AE938" s="1422"/>
      <c r="AF938" s="1423"/>
      <c r="AZ938" s="30"/>
      <c r="BA938" s="30"/>
    </row>
    <row r="939" spans="6:55" ht="12.95" customHeight="1">
      <c r="F939" s="1388" t="s">
        <v>2200</v>
      </c>
      <c r="G939" s="1389"/>
      <c r="H939" s="1389"/>
      <c r="I939" s="1389"/>
      <c r="J939" s="1389"/>
      <c r="K939" s="1389"/>
      <c r="L939" s="1389"/>
      <c r="M939" s="1389"/>
      <c r="N939" s="1389"/>
      <c r="O939" s="1389"/>
      <c r="P939" s="1389"/>
      <c r="Q939" s="1389"/>
      <c r="R939" s="1389"/>
      <c r="S939" s="1389"/>
      <c r="T939" s="1390"/>
      <c r="U939" s="1426" t="s">
        <v>591</v>
      </c>
      <c r="V939" s="1427"/>
      <c r="W939" s="1427"/>
      <c r="X939" s="1427"/>
      <c r="Y939" s="1427"/>
      <c r="Z939" s="1428"/>
      <c r="AA939" s="1421"/>
      <c r="AB939" s="1422"/>
      <c r="AC939" s="1422"/>
      <c r="AD939" s="1422"/>
      <c r="AE939" s="1422"/>
      <c r="AF939" s="1423"/>
      <c r="AZ939" s="30"/>
      <c r="BA939" s="30"/>
    </row>
    <row r="940" spans="6:55" ht="12.95" customHeight="1">
      <c r="F940" s="1388" t="s">
        <v>2201</v>
      </c>
      <c r="G940" s="1389"/>
      <c r="H940" s="1389"/>
      <c r="I940" s="1389"/>
      <c r="J940" s="1389"/>
      <c r="K940" s="1389"/>
      <c r="L940" s="1389"/>
      <c r="M940" s="1389"/>
      <c r="N940" s="1389"/>
      <c r="O940" s="1389"/>
      <c r="P940" s="1389"/>
      <c r="Q940" s="1389"/>
      <c r="R940" s="1389"/>
      <c r="S940" s="1389"/>
      <c r="T940" s="1390"/>
      <c r="U940" s="1426" t="s">
        <v>591</v>
      </c>
      <c r="V940" s="1427"/>
      <c r="W940" s="1427"/>
      <c r="X940" s="1427"/>
      <c r="Y940" s="1427"/>
      <c r="Z940" s="1428"/>
      <c r="AA940" s="1421"/>
      <c r="AB940" s="1422"/>
      <c r="AC940" s="1422"/>
      <c r="AD940" s="1422"/>
      <c r="AE940" s="1422"/>
      <c r="AF940" s="1423"/>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26" t="s">
        <v>591</v>
      </c>
      <c r="V941" s="1427"/>
      <c r="W941" s="1427"/>
      <c r="X941" s="1427"/>
      <c r="Y941" s="1427"/>
      <c r="Z941" s="1428"/>
      <c r="AA941" s="1421"/>
      <c r="AB941" s="1422"/>
      <c r="AC941" s="1422"/>
      <c r="AD941" s="1422"/>
      <c r="AE941" s="1422"/>
      <c r="AF941" s="1423"/>
      <c r="AZ941" s="34"/>
      <c r="BA941" s="34"/>
      <c r="BB941" s="14"/>
      <c r="BC941" s="14"/>
    </row>
    <row r="942" spans="6:55" ht="12.95" customHeight="1">
      <c r="F942" s="1647" t="s">
        <v>2204</v>
      </c>
      <c r="G942" s="1648"/>
      <c r="H942" s="1648"/>
      <c r="I942" s="1648"/>
      <c r="J942" s="1648"/>
      <c r="K942" s="1648"/>
      <c r="L942" s="1648"/>
      <c r="M942" s="1648"/>
      <c r="N942" s="1648"/>
      <c r="O942" s="1648"/>
      <c r="P942" s="1648"/>
      <c r="Q942" s="1648"/>
      <c r="R942" s="1648"/>
      <c r="S942" s="1648"/>
      <c r="T942" s="1649"/>
      <c r="U942" s="1426" t="s">
        <v>591</v>
      </c>
      <c r="V942" s="1427"/>
      <c r="W942" s="1427"/>
      <c r="X942" s="1427"/>
      <c r="Y942" s="1427"/>
      <c r="Z942" s="1428"/>
      <c r="AA942" s="1421"/>
      <c r="AB942" s="1422"/>
      <c r="AC942" s="1422"/>
      <c r="AD942" s="1422"/>
      <c r="AE942" s="1422"/>
      <c r="AF942" s="1423"/>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26" t="s">
        <v>591</v>
      </c>
      <c r="V943" s="1427"/>
      <c r="W943" s="1427"/>
      <c r="X943" s="1427"/>
      <c r="Y943" s="1427"/>
      <c r="Z943" s="1428"/>
      <c r="AA943" s="1421"/>
      <c r="AB943" s="1422"/>
      <c r="AC943" s="1422"/>
      <c r="AD943" s="1422"/>
      <c r="AE943" s="1422"/>
      <c r="AF943" s="1423"/>
      <c r="AZ943" s="34"/>
      <c r="BA943" s="34"/>
      <c r="BB943" s="34"/>
      <c r="BC943" s="34"/>
    </row>
    <row r="944" spans="6:55" ht="12.95" customHeight="1">
      <c r="F944" s="1647" t="s">
        <v>2205</v>
      </c>
      <c r="G944" s="1648"/>
      <c r="H944" s="1648"/>
      <c r="I944" s="1648"/>
      <c r="J944" s="1648"/>
      <c r="K944" s="1648"/>
      <c r="L944" s="1648"/>
      <c r="M944" s="1648"/>
      <c r="N944" s="1648"/>
      <c r="O944" s="1648"/>
      <c r="P944" s="1648"/>
      <c r="Q944" s="1648"/>
      <c r="R944" s="1648"/>
      <c r="S944" s="1648"/>
      <c r="T944" s="1649"/>
      <c r="U944" s="1426" t="s">
        <v>591</v>
      </c>
      <c r="V944" s="1427"/>
      <c r="W944" s="1427"/>
      <c r="X944" s="1427"/>
      <c r="Y944" s="1427"/>
      <c r="Z944" s="1428"/>
      <c r="AA944" s="1421"/>
      <c r="AB944" s="1422"/>
      <c r="AC944" s="1422"/>
      <c r="AD944" s="1422"/>
      <c r="AE944" s="1422"/>
      <c r="AF944" s="1423"/>
      <c r="AZ944" s="34"/>
      <c r="BA944" s="34"/>
      <c r="BB944" s="34"/>
      <c r="BC944" s="34"/>
    </row>
    <row r="945" spans="1:55" ht="12.95" customHeight="1">
      <c r="F945" s="45" t="s">
        <v>806</v>
      </c>
      <c r="G945" s="5"/>
      <c r="H945" s="5"/>
      <c r="I945" s="5"/>
      <c r="J945" s="5"/>
      <c r="K945" s="5"/>
      <c r="L945" s="5"/>
      <c r="M945" s="5"/>
      <c r="N945" s="5"/>
      <c r="O945" s="5"/>
      <c r="P945" s="1426" t="s">
        <v>669</v>
      </c>
      <c r="Q945" s="1427"/>
      <c r="R945" s="1427"/>
      <c r="S945" s="1427"/>
      <c r="T945" s="1428"/>
      <c r="U945" s="1426" t="s">
        <v>591</v>
      </c>
      <c r="V945" s="1427"/>
      <c r="W945" s="1427"/>
      <c r="X945" s="1427"/>
      <c r="Y945" s="1427"/>
      <c r="Z945" s="1428"/>
      <c r="AA945" s="1421"/>
      <c r="AB945" s="1422"/>
      <c r="AC945" s="1422"/>
      <c r="AD945" s="1422"/>
      <c r="AE945" s="1422"/>
      <c r="AF945" s="1423"/>
      <c r="AZ945" s="34"/>
      <c r="BA945" s="34"/>
      <c r="BB945" s="34"/>
      <c r="BC945" s="34"/>
    </row>
    <row r="946" spans="1:55" ht="12.95" customHeight="1">
      <c r="F946" s="1388" t="s">
        <v>2192</v>
      </c>
      <c r="G946" s="1389"/>
      <c r="H946" s="1390"/>
      <c r="I946" s="1607" t="s">
        <v>333</v>
      </c>
      <c r="J946" s="1608"/>
      <c r="K946" s="1608"/>
      <c r="L946" s="1608"/>
      <c r="M946" s="1608"/>
      <c r="N946" s="1608"/>
      <c r="O946" s="1608"/>
      <c r="P946" s="1608"/>
      <c r="Q946" s="1608"/>
      <c r="R946" s="1608"/>
      <c r="S946" s="1608"/>
      <c r="T946" s="1609"/>
      <c r="U946" s="1426" t="s">
        <v>591</v>
      </c>
      <c r="V946" s="1427"/>
      <c r="W946" s="1427"/>
      <c r="X946" s="1427"/>
      <c r="Y946" s="1427"/>
      <c r="Z946" s="1428"/>
      <c r="AA946" s="1421"/>
      <c r="AB946" s="1422"/>
      <c r="AC946" s="1422"/>
      <c r="AD946" s="1422"/>
      <c r="AE946" s="1422"/>
      <c r="AF946" s="1423"/>
      <c r="AZ946" s="34"/>
      <c r="BA946" s="34"/>
      <c r="BB946" s="34"/>
      <c r="BC946" s="34"/>
    </row>
    <row r="947" spans="1:55" ht="12.95" customHeight="1">
      <c r="F947" s="45" t="s">
        <v>86</v>
      </c>
      <c r="G947" s="48"/>
      <c r="H947" s="48"/>
      <c r="I947" s="1607" t="s">
        <v>333</v>
      </c>
      <c r="J947" s="1608"/>
      <c r="K947" s="1608"/>
      <c r="L947" s="1608"/>
      <c r="M947" s="1608"/>
      <c r="N947" s="1608"/>
      <c r="O947" s="1608"/>
      <c r="P947" s="1608"/>
      <c r="Q947" s="1608"/>
      <c r="R947" s="1608"/>
      <c r="S947" s="1608"/>
      <c r="T947" s="1609"/>
      <c r="U947" s="1426" t="s">
        <v>591</v>
      </c>
      <c r="V947" s="1427"/>
      <c r="W947" s="1427"/>
      <c r="X947" s="1427"/>
      <c r="Y947" s="1427"/>
      <c r="Z947" s="1428"/>
      <c r="AA947" s="1421"/>
      <c r="AB947" s="1422"/>
      <c r="AC947" s="1422"/>
      <c r="AD947" s="1422"/>
      <c r="AE947" s="1422"/>
      <c r="AF947" s="1423"/>
      <c r="AZ947" s="34"/>
      <c r="BA947" s="34"/>
      <c r="BB947" s="34"/>
      <c r="BC947" s="34"/>
    </row>
    <row r="948" spans="1:55" ht="12.95" customHeight="1">
      <c r="F948" s="45" t="s">
        <v>10</v>
      </c>
      <c r="G948" s="48"/>
      <c r="H948" s="48"/>
      <c r="I948" s="1607" t="s">
        <v>2611</v>
      </c>
      <c r="J948" s="1407"/>
      <c r="K948" s="1407"/>
      <c r="L948" s="1407"/>
      <c r="M948" s="1407"/>
      <c r="N948" s="1407"/>
      <c r="O948" s="1407"/>
      <c r="P948" s="1407"/>
      <c r="Q948" s="1407"/>
      <c r="R948" s="1407"/>
      <c r="S948" s="1407"/>
      <c r="T948" s="1408"/>
      <c r="U948" s="1426" t="s">
        <v>545</v>
      </c>
      <c r="V948" s="1427"/>
      <c r="W948" s="1427"/>
      <c r="X948" s="1427"/>
      <c r="Y948" s="1427"/>
      <c r="Z948" s="1428"/>
      <c r="AA948" s="1421">
        <f>AO629</f>
        <v>6250000</v>
      </c>
      <c r="AB948" s="1422"/>
      <c r="AC948" s="1422"/>
      <c r="AD948" s="1422"/>
      <c r="AE948" s="1422"/>
      <c r="AF948" s="1423"/>
      <c r="AV948" s="2"/>
      <c r="AW948" s="2"/>
      <c r="AX948" s="2"/>
      <c r="AY948" s="2"/>
      <c r="AZ948" s="34"/>
      <c r="BA948" s="34"/>
      <c r="BB948" s="34"/>
      <c r="BC948" s="34"/>
    </row>
    <row r="949" spans="1:55" ht="12.95" customHeight="1">
      <c r="F949" s="47" t="s">
        <v>169</v>
      </c>
      <c r="G949" s="48"/>
      <c r="H949" s="48"/>
      <c r="I949" s="1406" t="s">
        <v>333</v>
      </c>
      <c r="J949" s="1407"/>
      <c r="K949" s="1407"/>
      <c r="L949" s="1407"/>
      <c r="M949" s="1407"/>
      <c r="N949" s="1407"/>
      <c r="O949" s="1407"/>
      <c r="P949" s="1407"/>
      <c r="Q949" s="1407"/>
      <c r="R949" s="1407"/>
      <c r="S949" s="1407"/>
      <c r="T949" s="1408"/>
      <c r="U949" s="1426" t="s">
        <v>591</v>
      </c>
      <c r="V949" s="1427"/>
      <c r="W949" s="1427"/>
      <c r="X949" s="1427"/>
      <c r="Y949" s="1427"/>
      <c r="Z949" s="1428"/>
      <c r="AA949" s="1421"/>
      <c r="AB949" s="1422"/>
      <c r="AC949" s="1422"/>
      <c r="AD949" s="1422"/>
      <c r="AE949" s="1422"/>
      <c r="AF949" s="1423"/>
      <c r="AU949" s="2"/>
      <c r="AZ949" s="34"/>
      <c r="BA949" s="34"/>
      <c r="BB949" s="34"/>
      <c r="BC949" s="34"/>
    </row>
    <row r="950" spans="1:55" ht="12.95" customHeight="1">
      <c r="F950" s="47" t="s">
        <v>169</v>
      </c>
      <c r="G950" s="48"/>
      <c r="H950" s="48"/>
      <c r="I950" s="1406" t="s">
        <v>333</v>
      </c>
      <c r="J950" s="1407"/>
      <c r="K950" s="1407"/>
      <c r="L950" s="1407"/>
      <c r="M950" s="1407"/>
      <c r="N950" s="1407"/>
      <c r="O950" s="1407"/>
      <c r="P950" s="1407"/>
      <c r="Q950" s="1407"/>
      <c r="R950" s="1407"/>
      <c r="S950" s="1407"/>
      <c r="T950" s="1408"/>
      <c r="U950" s="1426" t="s">
        <v>591</v>
      </c>
      <c r="V950" s="1427"/>
      <c r="W950" s="1427"/>
      <c r="X950" s="1427"/>
      <c r="Y950" s="1427"/>
      <c r="Z950" s="1428"/>
      <c r="AA950" s="1421"/>
      <c r="AB950" s="1422"/>
      <c r="AC950" s="1422"/>
      <c r="AD950" s="1422"/>
      <c r="AE950" s="1422"/>
      <c r="AF950" s="1423"/>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403" t="s">
        <v>591</v>
      </c>
      <c r="N955" s="1404"/>
      <c r="O955" s="1404"/>
      <c r="P955" s="1404"/>
      <c r="Q955" s="1404"/>
      <c r="R955" s="1404"/>
      <c r="S955" s="1405"/>
      <c r="U955" s="66" t="s">
        <v>11</v>
      </c>
      <c r="V955" s="5"/>
      <c r="W955" s="5"/>
      <c r="X955" s="5"/>
      <c r="Y955" s="5"/>
      <c r="Z955" s="5"/>
      <c r="AA955" s="5"/>
      <c r="AB955" s="5"/>
      <c r="AC955" s="5"/>
      <c r="AD955" s="46"/>
      <c r="AE955" s="1403"/>
      <c r="AF955" s="1404"/>
      <c r="AG955" s="1404"/>
      <c r="AH955" s="1404"/>
      <c r="AI955" s="1404"/>
      <c r="AJ955" s="1404"/>
      <c r="AK955" s="1405"/>
      <c r="AZ955" s="34"/>
      <c r="BA955" s="34"/>
      <c r="BB955" s="34"/>
      <c r="BC955" s="34"/>
    </row>
    <row r="956" spans="1:55" ht="12.95" customHeight="1">
      <c r="C956" s="66" t="s">
        <v>12</v>
      </c>
      <c r="D956" s="5"/>
      <c r="E956" s="5"/>
      <c r="F956" s="5"/>
      <c r="G956" s="5"/>
      <c r="H956" s="5"/>
      <c r="I956" s="5"/>
      <c r="J956" s="5"/>
      <c r="K956" s="5"/>
      <c r="L956" s="46"/>
      <c r="M956" s="1415"/>
      <c r="N956" s="1416"/>
      <c r="O956" s="1416"/>
      <c r="P956" s="1416"/>
      <c r="Q956" s="1416"/>
      <c r="R956" s="1416"/>
      <c r="S956" s="1417"/>
      <c r="U956" s="66" t="s">
        <v>12</v>
      </c>
      <c r="V956" s="5"/>
      <c r="W956" s="5"/>
      <c r="X956" s="5"/>
      <c r="Y956" s="5"/>
      <c r="Z956" s="5"/>
      <c r="AA956" s="5"/>
      <c r="AB956" s="5"/>
      <c r="AC956" s="5"/>
      <c r="AD956" s="46"/>
      <c r="AE956" s="1415"/>
      <c r="AF956" s="1416"/>
      <c r="AG956" s="1416"/>
      <c r="AH956" s="1416"/>
      <c r="AI956" s="1416"/>
      <c r="AJ956" s="1416"/>
      <c r="AK956" s="1417"/>
      <c r="AZ956" s="34"/>
      <c r="BA956" s="34"/>
      <c r="BB956" s="34"/>
      <c r="BC956" s="34"/>
    </row>
    <row r="957" spans="1:55" ht="12.95" customHeight="1">
      <c r="C957" s="66" t="s">
        <v>880</v>
      </c>
      <c r="D957" s="5"/>
      <c r="E957" s="5"/>
      <c r="J957" s="1540" t="s">
        <v>306</v>
      </c>
      <c r="K957" s="1541"/>
      <c r="L957" s="1541"/>
      <c r="M957" s="1541"/>
      <c r="N957" s="1541"/>
      <c r="O957" s="1541"/>
      <c r="P957" s="1541"/>
      <c r="Q957" s="1541"/>
      <c r="R957" s="1541"/>
      <c r="S957" s="1542"/>
      <c r="U957" s="66" t="s">
        <v>880</v>
      </c>
      <c r="V957" s="5"/>
      <c r="W957" s="5"/>
      <c r="AB957" s="1540" t="s">
        <v>306</v>
      </c>
      <c r="AC957" s="1541"/>
      <c r="AD957" s="1541"/>
      <c r="AE957" s="1541"/>
      <c r="AF957" s="1541"/>
      <c r="AG957" s="1541"/>
      <c r="AH957" s="1541"/>
      <c r="AI957" s="1541"/>
      <c r="AJ957" s="1541"/>
      <c r="AK957" s="1542"/>
      <c r="AZ957" s="34"/>
      <c r="BA957" s="34"/>
      <c r="BB957" s="34"/>
      <c r="BC957" s="34"/>
    </row>
    <row r="958" spans="1:55" ht="12.95" customHeight="1">
      <c r="C958" s="66" t="s">
        <v>13</v>
      </c>
      <c r="D958" s="5"/>
      <c r="E958" s="5"/>
      <c r="F958" s="5"/>
      <c r="G958" s="5"/>
      <c r="H958" s="5"/>
      <c r="I958" s="5"/>
      <c r="J958" s="5"/>
      <c r="K958" s="5"/>
      <c r="L958" s="46"/>
      <c r="M958" s="1546"/>
      <c r="N958" s="1380"/>
      <c r="O958" s="1380"/>
      <c r="P958" s="1380"/>
      <c r="Q958" s="1380"/>
      <c r="R958" s="1380"/>
      <c r="S958" s="1381"/>
      <c r="U958" s="66" t="s">
        <v>13</v>
      </c>
      <c r="V958" s="5"/>
      <c r="W958" s="5"/>
      <c r="X958" s="5"/>
      <c r="Y958" s="5"/>
      <c r="Z958" s="5"/>
      <c r="AA958" s="5"/>
      <c r="AB958" s="5"/>
      <c r="AC958" s="5"/>
      <c r="AD958" s="46"/>
      <c r="AE958" s="1379"/>
      <c r="AF958" s="1380"/>
      <c r="AG958" s="1380"/>
      <c r="AH958" s="1380"/>
      <c r="AI958" s="1380"/>
      <c r="AJ958" s="1380"/>
      <c r="AK958" s="1381"/>
      <c r="AZ958" s="34"/>
      <c r="BA958" s="34"/>
      <c r="BB958" s="34"/>
      <c r="BC958" s="34"/>
    </row>
    <row r="959" spans="1:55" ht="12.95" customHeight="1">
      <c r="C959" s="66" t="s">
        <v>14</v>
      </c>
      <c r="D959" s="5"/>
      <c r="E959" s="5"/>
      <c r="F959" s="5"/>
      <c r="G959" s="5"/>
      <c r="H959" s="5"/>
      <c r="I959" s="5"/>
      <c r="J959" s="5"/>
      <c r="K959" s="5"/>
      <c r="L959" s="46"/>
      <c r="M959" s="1551"/>
      <c r="N959" s="1552"/>
      <c r="O959" s="1552"/>
      <c r="P959" s="1552"/>
      <c r="Q959" s="1552"/>
      <c r="R959" s="1552"/>
      <c r="S959" s="1553"/>
      <c r="U959" s="66" t="s">
        <v>14</v>
      </c>
      <c r="V959" s="5"/>
      <c r="W959" s="5"/>
      <c r="X959" s="5"/>
      <c r="Y959" s="5"/>
      <c r="Z959" s="5"/>
      <c r="AA959" s="5"/>
      <c r="AB959" s="5"/>
      <c r="AC959" s="5"/>
      <c r="AD959" s="46"/>
      <c r="AE959" s="1551"/>
      <c r="AF959" s="1552"/>
      <c r="AG959" s="1552"/>
      <c r="AH959" s="1552"/>
      <c r="AI959" s="1552"/>
      <c r="AJ959" s="1552"/>
      <c r="AK959" s="1553"/>
      <c r="AV959" s="2"/>
      <c r="AW959" s="2"/>
      <c r="AX959" s="2"/>
      <c r="AY959" s="2"/>
      <c r="AZ959" s="34"/>
      <c r="BA959" s="34"/>
      <c r="BB959" s="34"/>
      <c r="BC959" s="34"/>
    </row>
    <row r="960" spans="1:55" ht="12.95" customHeight="1">
      <c r="C960" s="66" t="s">
        <v>15</v>
      </c>
      <c r="D960" s="5"/>
      <c r="E960" s="5"/>
      <c r="F960" s="5"/>
      <c r="G960" s="5"/>
      <c r="H960" s="5"/>
      <c r="I960" s="5"/>
      <c r="J960" s="5"/>
      <c r="K960" s="5"/>
      <c r="L960" s="46"/>
      <c r="M960" s="1421"/>
      <c r="N960" s="1422"/>
      <c r="O960" s="1422"/>
      <c r="P960" s="1422"/>
      <c r="Q960" s="1422"/>
      <c r="R960" s="1422"/>
      <c r="S960" s="1423"/>
      <c r="U960" s="66" t="s">
        <v>15</v>
      </c>
      <c r="V960" s="5"/>
      <c r="W960" s="5"/>
      <c r="X960" s="5"/>
      <c r="Y960" s="5"/>
      <c r="Z960" s="5"/>
      <c r="AA960" s="5"/>
      <c r="AB960" s="5"/>
      <c r="AC960" s="5"/>
      <c r="AD960" s="46"/>
      <c r="AE960" s="1421"/>
      <c r="AF960" s="1422"/>
      <c r="AG960" s="1422"/>
      <c r="AH960" s="1422"/>
      <c r="AI960" s="1422"/>
      <c r="AJ960" s="1422"/>
      <c r="AK960" s="1423"/>
      <c r="AV960" s="2"/>
      <c r="AW960" s="2"/>
      <c r="AX960" s="2"/>
      <c r="AY960" s="2"/>
      <c r="AZ960" s="34"/>
      <c r="BA960" s="34"/>
      <c r="BB960" s="34"/>
      <c r="BC960" s="34"/>
    </row>
    <row r="961" spans="1:64" ht="12.95" customHeight="1">
      <c r="C961" s="66" t="s">
        <v>16</v>
      </c>
      <c r="D961" s="5"/>
      <c r="E961" s="5"/>
      <c r="F961" s="5"/>
      <c r="G961" s="5"/>
      <c r="H961" s="5"/>
      <c r="I961" s="5"/>
      <c r="J961" s="5"/>
      <c r="K961" s="5"/>
      <c r="L961" s="46"/>
      <c r="M961" s="1421"/>
      <c r="N961" s="1422"/>
      <c r="O961" s="1422"/>
      <c r="P961" s="1422"/>
      <c r="Q961" s="1422"/>
      <c r="R961" s="1422"/>
      <c r="S961" s="1423"/>
      <c r="U961" s="66" t="s">
        <v>16</v>
      </c>
      <c r="V961" s="5"/>
      <c r="W961" s="5"/>
      <c r="X961" s="5"/>
      <c r="Y961" s="5"/>
      <c r="Z961" s="5"/>
      <c r="AA961" s="5"/>
      <c r="AB961" s="5"/>
      <c r="AC961" s="5"/>
      <c r="AD961" s="46"/>
      <c r="AE961" s="1421"/>
      <c r="AF961" s="1422"/>
      <c r="AG961" s="1422"/>
      <c r="AH961" s="1422"/>
      <c r="AI961" s="1422"/>
      <c r="AJ961" s="1422"/>
      <c r="AK961" s="1423"/>
      <c r="AV961" s="2"/>
      <c r="AW961" s="2"/>
      <c r="AX961" s="2"/>
      <c r="AY961" s="2"/>
      <c r="AZ961" s="34"/>
      <c r="BB961" s="34"/>
      <c r="BC961" s="34"/>
    </row>
    <row r="962" spans="1:64" ht="12.95" customHeight="1">
      <c r="C962" s="121" t="s">
        <v>1661</v>
      </c>
      <c r="D962" s="5"/>
      <c r="E962" s="5"/>
      <c r="F962" s="5"/>
      <c r="G962" s="5"/>
      <c r="H962" s="5"/>
      <c r="I962" s="5"/>
      <c r="J962" s="5"/>
      <c r="K962" s="5"/>
      <c r="L962" s="46"/>
      <c r="M962" s="1543"/>
      <c r="N962" s="1544"/>
      <c r="O962" s="1544"/>
      <c r="P962" s="1544"/>
      <c r="Q962" s="1544"/>
      <c r="R962" s="1544"/>
      <c r="S962" s="1545"/>
      <c r="U962" s="121" t="s">
        <v>1661</v>
      </c>
      <c r="V962" s="5"/>
      <c r="W962" s="5"/>
      <c r="X962" s="5"/>
      <c r="Y962" s="5"/>
      <c r="Z962" s="5"/>
      <c r="AA962" s="5"/>
      <c r="AB962" s="5"/>
      <c r="AC962" s="5"/>
      <c r="AD962" s="46"/>
      <c r="AE962" s="1543"/>
      <c r="AF962" s="1544"/>
      <c r="AG962" s="1544"/>
      <c r="AH962" s="1544"/>
      <c r="AI962" s="1544"/>
      <c r="AJ962" s="1544"/>
      <c r="AK962" s="1545"/>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400"/>
      <c r="N967" s="1401"/>
      <c r="O967" s="1401"/>
      <c r="P967" s="1401"/>
      <c r="Q967" s="1401"/>
      <c r="R967" s="1401"/>
      <c r="S967" s="1402"/>
      <c r="T967" s="66" t="s">
        <v>790</v>
      </c>
      <c r="U967" s="5"/>
      <c r="V967" s="5"/>
      <c r="W967" s="5"/>
      <c r="X967" s="5"/>
      <c r="Y967" s="5"/>
      <c r="Z967" s="46"/>
      <c r="AA967" s="1400"/>
      <c r="AB967" s="1401"/>
      <c r="AC967" s="1401"/>
      <c r="AD967" s="1401"/>
      <c r="AE967" s="1401"/>
      <c r="AF967" s="1401"/>
      <c r="AG967" s="140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400"/>
      <c r="N968" s="1401"/>
      <c r="O968" s="1401"/>
      <c r="P968" s="1401"/>
      <c r="Q968" s="1401"/>
      <c r="R968" s="1401"/>
      <c r="S968" s="1402"/>
      <c r="T968" s="66" t="s">
        <v>789</v>
      </c>
      <c r="U968" s="5"/>
      <c r="V968" s="5"/>
      <c r="W968" s="5"/>
      <c r="X968" s="5"/>
      <c r="Y968" s="5"/>
      <c r="Z968" s="46"/>
      <c r="AA968" s="1400"/>
      <c r="AB968" s="1401"/>
      <c r="AC968" s="1401"/>
      <c r="AD968" s="1401"/>
      <c r="AE968" s="1401"/>
      <c r="AF968" s="1401"/>
      <c r="AG968" s="140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30" t="s">
        <v>591</v>
      </c>
      <c r="N969" s="1631"/>
      <c r="O969" s="1631"/>
      <c r="P969" s="1631"/>
      <c r="Q969" s="1631"/>
      <c r="R969" s="1631"/>
      <c r="S969" s="1632"/>
      <c r="T969" s="45" t="s">
        <v>336</v>
      </c>
      <c r="U969" s="5"/>
      <c r="V969" s="5"/>
      <c r="W969" s="5"/>
      <c r="X969" s="5"/>
      <c r="Y969" s="5"/>
      <c r="Z969" s="46"/>
      <c r="AA969" s="1400"/>
      <c r="AB969" s="1401"/>
      <c r="AC969" s="1401"/>
      <c r="AD969" s="1401"/>
      <c r="AE969" s="1401"/>
      <c r="AF969" s="1401"/>
      <c r="AG969" s="140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400"/>
      <c r="N970" s="1401"/>
      <c r="O970" s="1401"/>
      <c r="P970" s="1401"/>
      <c r="Q970" s="1401"/>
      <c r="R970" s="1401"/>
      <c r="S970" s="1402"/>
      <c r="T970" s="45" t="s">
        <v>337</v>
      </c>
      <c r="U970" s="5"/>
      <c r="V970" s="5"/>
      <c r="W970" s="5"/>
      <c r="X970" s="5"/>
      <c r="Y970" s="5"/>
      <c r="Z970" s="46"/>
      <c r="AA970" s="1400"/>
      <c r="AB970" s="1401"/>
      <c r="AC970" s="1401"/>
      <c r="AD970" s="1401"/>
      <c r="AE970" s="1401"/>
      <c r="AF970" s="1401"/>
      <c r="AG970" s="140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400"/>
      <c r="N971" s="1401"/>
      <c r="O971" s="1401"/>
      <c r="P971" s="1401"/>
      <c r="Q971" s="1401"/>
      <c r="R971" s="1401"/>
      <c r="S971" s="1402"/>
      <c r="T971" s="45" t="s">
        <v>375</v>
      </c>
      <c r="U971" s="5"/>
      <c r="V971" s="5"/>
      <c r="W971" s="5"/>
      <c r="X971" s="5"/>
      <c r="Y971" s="5"/>
      <c r="Z971" s="46"/>
      <c r="AA971" s="1400"/>
      <c r="AB971" s="1401"/>
      <c r="AC971" s="1401"/>
      <c r="AD971" s="1401"/>
      <c r="AE971" s="1401"/>
      <c r="AF971" s="1401"/>
      <c r="AG971" s="140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40" t="s">
        <v>306</v>
      </c>
      <c r="N972" s="1541"/>
      <c r="O972" s="1541"/>
      <c r="P972" s="1541"/>
      <c r="Q972" s="1541"/>
      <c r="R972" s="1541"/>
      <c r="S972" s="1542"/>
      <c r="T972" s="1604"/>
      <c r="U972" s="1605"/>
      <c r="V972" s="1605"/>
      <c r="W972" s="1605"/>
      <c r="X972" s="1605"/>
      <c r="Y972" s="1605"/>
      <c r="Z972" s="1606"/>
      <c r="AA972" s="1400"/>
      <c r="AB972" s="1401"/>
      <c r="AC972" s="1401"/>
      <c r="AD972" s="1401"/>
      <c r="AE972" s="1401"/>
      <c r="AF972" s="1401"/>
      <c r="AG972" s="140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400"/>
      <c r="N973" s="1401"/>
      <c r="O973" s="1401"/>
      <c r="P973" s="1401"/>
      <c r="Q973" s="1401"/>
      <c r="R973" s="1401"/>
      <c r="S973" s="1402"/>
      <c r="T973" s="1604"/>
      <c r="U973" s="1605"/>
      <c r="V973" s="1605"/>
      <c r="W973" s="1605"/>
      <c r="X973" s="1605"/>
      <c r="Y973" s="1605"/>
      <c r="Z973" s="1606"/>
      <c r="AA973" s="1400"/>
      <c r="AB973" s="1401"/>
      <c r="AC973" s="1401"/>
      <c r="AD973" s="1401"/>
      <c r="AE973" s="1401"/>
      <c r="AF973" s="1401"/>
      <c r="AG973" s="140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619" t="s">
        <v>669</v>
      </c>
      <c r="P974" s="1620"/>
      <c r="Q974" s="92"/>
      <c r="R974" s="92"/>
      <c r="S974" s="93"/>
      <c r="T974" s="41" t="s">
        <v>169</v>
      </c>
      <c r="U974" s="42"/>
      <c r="V974" s="42"/>
      <c r="W974" s="1616" t="s">
        <v>333</v>
      </c>
      <c r="X974" s="1617"/>
      <c r="Y974" s="1617"/>
      <c r="Z974" s="1617"/>
      <c r="AA974" s="1617"/>
      <c r="AB974" s="1617"/>
      <c r="AC974" s="1617"/>
      <c r="AD974" s="1617"/>
      <c r="AE974" s="1617"/>
      <c r="AF974" s="1617"/>
      <c r="AG974" s="1618"/>
      <c r="AU974" s="68"/>
      <c r="AV974" s="95"/>
      <c r="AW974" s="95"/>
      <c r="AX974" s="95"/>
      <c r="AY974" s="95"/>
      <c r="AZ974" s="34"/>
      <c r="BB974" s="34"/>
      <c r="BC974" s="34"/>
      <c r="BD974" s="34"/>
      <c r="BE974" s="34"/>
      <c r="BF974" s="34"/>
      <c r="BG974" s="34"/>
      <c r="BH974" s="34"/>
      <c r="BI974" s="34"/>
      <c r="BJ974" s="34"/>
      <c r="BK974" s="34"/>
      <c r="BL974" s="34"/>
    </row>
    <row r="975" spans="1:64" ht="12.95" customHeight="1">
      <c r="F975" s="1569" t="s">
        <v>33</v>
      </c>
      <c r="G975" s="1474"/>
      <c r="H975" s="1474"/>
      <c r="I975" s="1474"/>
      <c r="J975" s="1474"/>
      <c r="K975" s="1474"/>
      <c r="L975" s="1474"/>
      <c r="M975" s="1400"/>
      <c r="N975" s="1401"/>
      <c r="O975" s="1401"/>
      <c r="P975" s="1401"/>
      <c r="Q975" s="1401"/>
      <c r="R975" s="1401"/>
      <c r="S975" s="1402"/>
      <c r="T975" s="47"/>
      <c r="U975" s="48"/>
      <c r="V975" s="48"/>
      <c r="W975" s="48"/>
      <c r="X975" s="48"/>
      <c r="Y975" s="48"/>
      <c r="Z975" s="124" t="s">
        <v>134</v>
      </c>
      <c r="AA975" s="1601"/>
      <c r="AB975" s="1602"/>
      <c r="AC975" s="1602"/>
      <c r="AD975" s="1602"/>
      <c r="AE975" s="1602"/>
      <c r="AF975" s="1602"/>
      <c r="AG975" s="160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6"/>
      <c r="BH976" s="1636"/>
      <c r="BI976" s="1636"/>
      <c r="BJ976" s="1636"/>
      <c r="BK976" s="1636"/>
      <c r="BL976" s="1636"/>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98" t="s">
        <v>548</v>
      </c>
      <c r="B979" s="1498"/>
      <c r="C979" s="1498"/>
      <c r="D979" s="1498"/>
      <c r="E979" s="1498"/>
      <c r="F979" s="1498"/>
      <c r="G979" s="1498"/>
      <c r="H979" s="1498"/>
      <c r="I979" s="1498"/>
      <c r="J979" s="1498"/>
      <c r="K979" s="1498"/>
      <c r="L979" s="1498"/>
      <c r="M979" s="1498"/>
      <c r="N979" s="1498"/>
      <c r="O979" s="1498"/>
      <c r="P979" s="1498"/>
      <c r="Q979" s="1498"/>
      <c r="R979" s="1498"/>
      <c r="S979" s="1498"/>
      <c r="T979" s="1498"/>
      <c r="U979" s="1498"/>
      <c r="V979" s="1498"/>
      <c r="W979" s="1498"/>
      <c r="X979" s="1498"/>
      <c r="Y979" s="1498"/>
      <c r="Z979" s="1498"/>
      <c r="AA979" s="1498"/>
      <c r="AB979" s="1498"/>
      <c r="AC979" s="1498"/>
      <c r="AD979" s="1498"/>
      <c r="AE979" s="1498"/>
      <c r="AF979" s="1498"/>
      <c r="AG979" s="1498"/>
      <c r="AH979" s="1498"/>
      <c r="AI979" s="1498"/>
      <c r="AJ979" s="1498"/>
      <c r="AK979" s="1498"/>
      <c r="AL979" s="1498"/>
      <c r="AM979" s="1498"/>
      <c r="AN979" s="1498"/>
      <c r="AO979" s="1498"/>
      <c r="AP979" s="1498"/>
      <c r="AQ979" s="1498"/>
      <c r="AR979" s="1498"/>
      <c r="AS979" s="1498"/>
      <c r="AT979" s="1498"/>
      <c r="AU979" s="68"/>
      <c r="AV979" s="68"/>
      <c r="AW979" s="68"/>
      <c r="AX979" s="68"/>
      <c r="AY979" s="68"/>
      <c r="AZ979" s="14"/>
      <c r="BA979" s="14"/>
      <c r="BB979" s="912"/>
      <c r="BC979" s="912"/>
    </row>
    <row r="980" spans="1:64" ht="12.95" customHeight="1">
      <c r="A980" s="1498"/>
      <c r="B980" s="1498"/>
      <c r="C980" s="1498"/>
      <c r="D980" s="1498"/>
      <c r="E980" s="1498"/>
      <c r="F980" s="1498"/>
      <c r="G980" s="1498"/>
      <c r="H980" s="1498"/>
      <c r="I980" s="1498"/>
      <c r="J980" s="1498"/>
      <c r="K980" s="1498"/>
      <c r="L980" s="1498"/>
      <c r="M980" s="1498"/>
      <c r="N980" s="1498"/>
      <c r="O980" s="1498"/>
      <c r="P980" s="1498"/>
      <c r="Q980" s="1498"/>
      <c r="R980" s="1498"/>
      <c r="S980" s="1498"/>
      <c r="T980" s="1498"/>
      <c r="U980" s="1498"/>
      <c r="V980" s="1498"/>
      <c r="W980" s="1498"/>
      <c r="X980" s="1498"/>
      <c r="Y980" s="1498"/>
      <c r="Z980" s="1498"/>
      <c r="AA980" s="1498"/>
      <c r="AB980" s="1498"/>
      <c r="AC980" s="1498"/>
      <c r="AD980" s="1498"/>
      <c r="AE980" s="1498"/>
      <c r="AF980" s="1498"/>
      <c r="AG980" s="1498"/>
      <c r="AH980" s="1498"/>
      <c r="AI980" s="1498"/>
      <c r="AJ980" s="1498"/>
      <c r="AK980" s="1498"/>
      <c r="AL980" s="1498"/>
      <c r="AM980" s="1498"/>
      <c r="AN980" s="1498"/>
      <c r="AO980" s="1498"/>
      <c r="AP980" s="1498"/>
      <c r="AQ980" s="1498"/>
      <c r="AR980" s="1498"/>
      <c r="AS980" s="1498"/>
      <c r="AT980" s="1498"/>
      <c r="AU980" s="68"/>
      <c r="AV980" s="68"/>
      <c r="AW980" s="68"/>
      <c r="AX980" s="68"/>
      <c r="AY980" s="68"/>
      <c r="AZ980" s="30"/>
      <c r="BA980" s="14"/>
      <c r="BB980" s="14"/>
      <c r="BC980" s="14"/>
    </row>
    <row r="981" spans="1:64" ht="12.95" customHeight="1">
      <c r="A981" s="1498"/>
      <c r="B981" s="1498"/>
      <c r="C981" s="1498"/>
      <c r="D981" s="1498"/>
      <c r="E981" s="1498"/>
      <c r="F981" s="1498"/>
      <c r="G981" s="1498"/>
      <c r="H981" s="1498"/>
      <c r="I981" s="1498"/>
      <c r="J981" s="1498"/>
      <c r="K981" s="1498"/>
      <c r="L981" s="1498"/>
      <c r="M981" s="1498"/>
      <c r="N981" s="1498"/>
      <c r="O981" s="1498"/>
      <c r="P981" s="1498"/>
      <c r="Q981" s="1498"/>
      <c r="R981" s="1498"/>
      <c r="S981" s="1498"/>
      <c r="T981" s="1498"/>
      <c r="U981" s="1498"/>
      <c r="V981" s="1498"/>
      <c r="W981" s="1498"/>
      <c r="X981" s="1498"/>
      <c r="Y981" s="1498"/>
      <c r="Z981" s="1498"/>
      <c r="AA981" s="1498"/>
      <c r="AB981" s="1498"/>
      <c r="AC981" s="1498"/>
      <c r="AD981" s="1498"/>
      <c r="AE981" s="1498"/>
      <c r="AF981" s="1498"/>
      <c r="AG981" s="1498"/>
      <c r="AH981" s="1498"/>
      <c r="AI981" s="1498"/>
      <c r="AJ981" s="1498"/>
      <c r="AK981" s="1498"/>
      <c r="AL981" s="1498"/>
      <c r="AM981" s="1498"/>
      <c r="AN981" s="1498"/>
      <c r="AO981" s="1498"/>
      <c r="AP981" s="1498"/>
      <c r="AQ981" s="1498"/>
      <c r="AR981" s="1498"/>
      <c r="AS981" s="1498"/>
      <c r="AT981" s="1498"/>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70" t="s">
        <v>638</v>
      </c>
      <c r="E985" s="1571"/>
      <c r="F985" s="1571"/>
      <c r="G985" s="1571"/>
      <c r="H985" s="1571"/>
      <c r="I985" s="1571"/>
      <c r="J985" s="1571"/>
      <c r="K985" s="1571"/>
      <c r="L985" s="1571"/>
      <c r="M985" s="1571"/>
      <c r="N985" s="1571"/>
      <c r="O985" s="1571"/>
      <c r="P985" s="1571"/>
      <c r="Q985" s="1572"/>
      <c r="R985" s="1570" t="s">
        <v>639</v>
      </c>
      <c r="S985" s="1571"/>
      <c r="T985" s="1571"/>
      <c r="U985" s="1571"/>
      <c r="V985" s="1571"/>
      <c r="W985" s="1571"/>
      <c r="X985" s="1571"/>
      <c r="Y985" s="1571"/>
      <c r="Z985" s="1571"/>
      <c r="AA985" s="1572"/>
      <c r="AB985" s="1570" t="s">
        <v>640</v>
      </c>
      <c r="AC985" s="1571"/>
      <c r="AD985" s="1571"/>
      <c r="AE985" s="1571"/>
      <c r="AF985" s="1571"/>
      <c r="AG985" s="1571"/>
      <c r="AH985" s="1571"/>
      <c r="AI985" s="1572"/>
      <c r="AJ985" s="1570" t="s">
        <v>641</v>
      </c>
      <c r="AK985" s="1571"/>
      <c r="AL985" s="1571"/>
      <c r="AM985" s="1571"/>
      <c r="AN985" s="1571"/>
      <c r="AO985" s="1571"/>
      <c r="AP985" s="1571"/>
      <c r="AQ985" s="1572"/>
      <c r="AR985" s="68"/>
      <c r="AS985" s="68"/>
      <c r="AT985" s="68"/>
      <c r="AU985" s="68"/>
      <c r="AV985" s="68"/>
      <c r="AW985" s="68"/>
      <c r="AX985" s="68"/>
      <c r="AY985" s="68"/>
      <c r="AZ985" s="30"/>
      <c r="BB985" s="14"/>
      <c r="BC985" s="14"/>
    </row>
    <row r="986" spans="1:64" ht="12.95" customHeight="1">
      <c r="A986" s="14"/>
      <c r="B986" s="73"/>
      <c r="C986" s="929"/>
      <c r="D986" s="1547" t="s">
        <v>633</v>
      </c>
      <c r="E986" s="1548"/>
      <c r="F986" s="1548"/>
      <c r="G986" s="1548"/>
      <c r="H986" s="1548"/>
      <c r="I986" s="1548"/>
      <c r="J986" s="1548"/>
      <c r="K986" s="1548"/>
      <c r="L986" s="1548"/>
      <c r="M986" s="1548"/>
      <c r="N986" s="1548"/>
      <c r="O986" s="1548"/>
      <c r="P986" s="1548"/>
      <c r="Q986" s="1549"/>
      <c r="R986" s="1550">
        <f>IF(ISNA(IF($CU$122="4%",(INDEX($CS$160:$CW$217,MATCH($DG$122,$CR$160:$CR$217,0),MATCH(D986,$CS$159:$CW$159,0))),(INDEX($CZ$160:$DD$217,MATCH($DG$122,$CY$160:$CY$217,0),MATCH(D986,$CZ$159:$DD$159,0))))),0,IF($CU$122="4%",(INDEX($CS$160:$CW$217,MATCH($DG$122,$CR$160:$CR$217,0),MATCH(D986,$CS$159:$CW$159,0))),(INDEX($CZ$160:$DD$217,MATCH($DG$122,$CY$160:$CY$217,0),MATCH(D986,$CZ$159:$DD$159,0)))))</f>
        <v>384234</v>
      </c>
      <c r="S986" s="1550"/>
      <c r="T986" s="1550"/>
      <c r="U986" s="1550"/>
      <c r="V986" s="1550"/>
      <c r="W986" s="1550"/>
      <c r="X986" s="1550"/>
      <c r="Y986" s="1550"/>
      <c r="Z986" s="1550"/>
      <c r="AA986" s="1550"/>
      <c r="AB986" s="1391">
        <f>CP802</f>
        <v>0</v>
      </c>
      <c r="AC986" s="1392"/>
      <c r="AD986" s="1392"/>
      <c r="AE986" s="1392"/>
      <c r="AF986" s="1392"/>
      <c r="AG986" s="1392"/>
      <c r="AH986" s="1392"/>
      <c r="AI986" s="1393"/>
      <c r="AJ986" s="1376">
        <f>IF(ISERROR((R986*AB986)),0,(R986*AB986))</f>
        <v>0</v>
      </c>
      <c r="AK986" s="1377"/>
      <c r="AL986" s="1377"/>
      <c r="AM986" s="1377"/>
      <c r="AN986" s="1377"/>
      <c r="AO986" s="1377"/>
      <c r="AP986" s="1377"/>
      <c r="AQ986" s="1378"/>
      <c r="AR986" s="68"/>
      <c r="AS986" s="68"/>
      <c r="AT986" s="68"/>
      <c r="AU986" s="68"/>
      <c r="AV986" s="68"/>
      <c r="AW986" s="68"/>
      <c r="AX986" s="68"/>
      <c r="AY986" s="68"/>
      <c r="AZ986" s="30"/>
      <c r="BB986" s="14"/>
      <c r="BC986" s="14"/>
    </row>
    <row r="987" spans="1:64" ht="12.95" customHeight="1">
      <c r="A987" s="14"/>
      <c r="B987" s="73"/>
      <c r="C987" s="83"/>
      <c r="D987" s="1547" t="s">
        <v>324</v>
      </c>
      <c r="E987" s="1548"/>
      <c r="F987" s="1548"/>
      <c r="G987" s="1548"/>
      <c r="H987" s="1548"/>
      <c r="I987" s="1548"/>
      <c r="J987" s="1548"/>
      <c r="K987" s="1548"/>
      <c r="L987" s="1548"/>
      <c r="M987" s="1548"/>
      <c r="N987" s="1548"/>
      <c r="O987" s="1548"/>
      <c r="P987" s="1548"/>
      <c r="Q987" s="1549"/>
      <c r="R987" s="1550">
        <f>IF(ISNA(IF($CU$122="4%",(INDEX($CS$160:$CW$217,MATCH($DG$122,$CR$160:$CR$217,0),MATCH(D987,$CS$159:$CW$159,0))),(INDEX($CZ$160:$DD$217,MATCH($DG$122,$CY$160:$CY$217,0),MATCH(D987,$CZ$159:$DD$159,0))))),0,IF($CU$122="4%",(INDEX($CS$160:$CW$217,MATCH($DG$122,$CR$160:$CR$217,0),MATCH(D987,$CS$159:$CW$159,0))),(INDEX($CZ$160:$DD$217,MATCH($DG$122,$CY$160:$CY$217,0),MATCH(D987,$CZ$159:$DD$159,0)))))</f>
        <v>443018</v>
      </c>
      <c r="S987" s="1550"/>
      <c r="T987" s="1550"/>
      <c r="U987" s="1550"/>
      <c r="V987" s="1550"/>
      <c r="W987" s="1550"/>
      <c r="X987" s="1550"/>
      <c r="Y987" s="1550"/>
      <c r="Z987" s="1550"/>
      <c r="AA987" s="1550"/>
      <c r="AB987" s="1391">
        <f>CU802</f>
        <v>45</v>
      </c>
      <c r="AC987" s="1392"/>
      <c r="AD987" s="1392"/>
      <c r="AE987" s="1392"/>
      <c r="AF987" s="1392"/>
      <c r="AG987" s="1392"/>
      <c r="AH987" s="1392"/>
      <c r="AI987" s="1393"/>
      <c r="AJ987" s="1376">
        <f>IF(ISERROR((R987*AB987)),0,(R987*AB987))</f>
        <v>19935810</v>
      </c>
      <c r="AK987" s="1377"/>
      <c r="AL987" s="1377"/>
      <c r="AM987" s="1377"/>
      <c r="AN987" s="1377"/>
      <c r="AO987" s="1377"/>
      <c r="AP987" s="1377"/>
      <c r="AQ987" s="1378"/>
      <c r="AR987" s="68"/>
      <c r="AS987" s="68"/>
      <c r="AT987" s="68"/>
      <c r="AU987" s="68"/>
      <c r="AV987" s="68"/>
      <c r="AW987" s="68"/>
      <c r="AX987" s="68"/>
      <c r="AY987" s="68"/>
      <c r="AZ987" s="30"/>
      <c r="BB987" s="14"/>
      <c r="BC987" s="14"/>
    </row>
    <row r="988" spans="1:64" ht="12.95" customHeight="1">
      <c r="A988" s="14"/>
      <c r="B988" s="73"/>
      <c r="C988" s="83"/>
      <c r="D988" s="1547" t="s">
        <v>163</v>
      </c>
      <c r="E988" s="1548"/>
      <c r="F988" s="1548"/>
      <c r="G988" s="1548"/>
      <c r="H988" s="1548"/>
      <c r="I988" s="1548"/>
      <c r="J988" s="1548"/>
      <c r="K988" s="1548"/>
      <c r="L988" s="1548"/>
      <c r="M988" s="1548"/>
      <c r="N988" s="1548"/>
      <c r="O988" s="1548"/>
      <c r="P988" s="1548"/>
      <c r="Q988" s="1549"/>
      <c r="R988" s="1550">
        <f>IF(ISNA(IF($CU$122="4%",(INDEX($CS$160:$CW$217,MATCH($DG$122,$CR$160:$CR$217,0),MATCH(D988,$CS$159:$CW$159,0))),(INDEX($CZ$160:$DD$217,MATCH($DG$122,$CY$160:$CY$217,0),MATCH(D988,$CZ$159:$DD$159,0))))),0,IF($CU$122="4%",(INDEX($CS$160:$CW$217,MATCH($DG$122,$CR$160:$CR$217,0),MATCH(D988,$CS$159:$CW$159,0))),(INDEX($CZ$160:$DD$217,MATCH($DG$122,$CY$160:$CY$217,0),MATCH(D988,$CZ$159:$DD$159,0)))))</f>
        <v>534400</v>
      </c>
      <c r="S988" s="1550"/>
      <c r="T988" s="1550"/>
      <c r="U988" s="1550"/>
      <c r="V988" s="1550"/>
      <c r="W988" s="1550"/>
      <c r="X988" s="1550"/>
      <c r="Y988" s="1550"/>
      <c r="Z988" s="1550"/>
      <c r="AA988" s="1550"/>
      <c r="AB988" s="1391">
        <f>CZ802</f>
        <v>48</v>
      </c>
      <c r="AC988" s="1392"/>
      <c r="AD988" s="1392"/>
      <c r="AE988" s="1392"/>
      <c r="AF988" s="1392"/>
      <c r="AG988" s="1392"/>
      <c r="AH988" s="1392"/>
      <c r="AI988" s="1393"/>
      <c r="AJ988" s="1376">
        <f>IF(ISERROR((R988*AB988)),0,(R988*AB988))</f>
        <v>25651200</v>
      </c>
      <c r="AK988" s="1377"/>
      <c r="AL988" s="1377"/>
      <c r="AM988" s="1377"/>
      <c r="AN988" s="1377"/>
      <c r="AO988" s="1377"/>
      <c r="AP988" s="1377"/>
      <c r="AQ988" s="1378"/>
      <c r="AR988" s="68"/>
      <c r="AS988" s="68"/>
      <c r="AT988" s="68"/>
      <c r="AU988" s="68"/>
      <c r="AV988" s="68"/>
      <c r="AW988" s="68"/>
      <c r="AX988" s="68"/>
      <c r="AY988" s="68"/>
      <c r="AZ988" s="30"/>
      <c r="BB988" s="14"/>
      <c r="BC988" s="14"/>
    </row>
    <row r="989" spans="1:64" ht="12.95" customHeight="1">
      <c r="A989" s="14"/>
      <c r="B989" s="73"/>
      <c r="C989" s="83"/>
      <c r="D989" s="1547" t="s">
        <v>164</v>
      </c>
      <c r="E989" s="1548"/>
      <c r="F989" s="1548"/>
      <c r="G989" s="1548"/>
      <c r="H989" s="1548"/>
      <c r="I989" s="1548"/>
      <c r="J989" s="1548"/>
      <c r="K989" s="1548"/>
      <c r="L989" s="1548"/>
      <c r="M989" s="1548"/>
      <c r="N989" s="1548"/>
      <c r="O989" s="1548"/>
      <c r="P989" s="1548"/>
      <c r="Q989" s="1549"/>
      <c r="R989" s="1550">
        <f>IF(ISNA(IF($CU$122="4%",(INDEX($CS$160:$CW$217,MATCH($DG$122,$CR$160:$CR$217,0),MATCH(D989,$CS$159:$CW$159,0))),(INDEX($CZ$160:$DD$217,MATCH($DG$122,$CY$160:$CY$217,0),MATCH(D989,$CZ$159:$DD$159,0))))),0,IF($CU$122="4%",(INDEX($CS$160:$CW$217,MATCH($DG$122,$CR$160:$CR$217,0),MATCH(D989,$CS$159:$CW$159,0))),(INDEX($CZ$160:$DD$217,MATCH($DG$122,$CY$160:$CY$217,0),MATCH(D989,$CZ$159:$DD$159,0)))))</f>
        <v>684032</v>
      </c>
      <c r="S989" s="1550"/>
      <c r="T989" s="1550"/>
      <c r="U989" s="1550"/>
      <c r="V989" s="1550"/>
      <c r="W989" s="1550"/>
      <c r="X989" s="1550"/>
      <c r="Y989" s="1550"/>
      <c r="Z989" s="1550"/>
      <c r="AA989" s="1550"/>
      <c r="AB989" s="1391">
        <f>DE802</f>
        <v>32</v>
      </c>
      <c r="AC989" s="1392"/>
      <c r="AD989" s="1392"/>
      <c r="AE989" s="1392"/>
      <c r="AF989" s="1392"/>
      <c r="AG989" s="1392"/>
      <c r="AH989" s="1392"/>
      <c r="AI989" s="1393"/>
      <c r="AJ989" s="1376">
        <f>IF(ISERROR((R989*AB989)),0,(R989*AB989))</f>
        <v>21889024</v>
      </c>
      <c r="AK989" s="1377"/>
      <c r="AL989" s="1377"/>
      <c r="AM989" s="1377"/>
      <c r="AN989" s="1377"/>
      <c r="AO989" s="1377"/>
      <c r="AP989" s="1377"/>
      <c r="AQ989" s="1378"/>
      <c r="AR989" s="68"/>
      <c r="AS989" s="68"/>
      <c r="AT989" s="68"/>
      <c r="AU989" s="68"/>
      <c r="AV989" s="68"/>
      <c r="AW989" s="68"/>
      <c r="AX989" s="68"/>
      <c r="AY989" s="68"/>
      <c r="AZ989" s="30"/>
      <c r="BA989" s="34"/>
      <c r="BB989" s="14"/>
      <c r="BC989" s="14"/>
    </row>
    <row r="990" spans="1:64" ht="12.95" customHeight="1">
      <c r="A990" s="14"/>
      <c r="B990" s="47"/>
      <c r="C990" s="78"/>
      <c r="D990" s="1547" t="s">
        <v>460</v>
      </c>
      <c r="E990" s="1548"/>
      <c r="F990" s="1548"/>
      <c r="G990" s="1548"/>
      <c r="H990" s="1548"/>
      <c r="I990" s="1548"/>
      <c r="J990" s="1548"/>
      <c r="K990" s="1548"/>
      <c r="L990" s="1548"/>
      <c r="M990" s="1548"/>
      <c r="N990" s="1548"/>
      <c r="O990" s="1548"/>
      <c r="P990" s="1548"/>
      <c r="Q990" s="1549"/>
      <c r="R990" s="1550">
        <f>IF(ISNA(IF($CU$122="4%",(INDEX($CS$160:$CW$217,MATCH($DG$122,$CR$160:$CR$217,0),MATCH(D990,$CS$159:$CW$159,0))),(INDEX($CZ$160:$DD$217,MATCH($DG$122,$CY$160:$CY$217,0),MATCH(D990,$CZ$159:$DD$159,0))))),0,IF($CU$122="4%",(INDEX($CS$160:$CW$217,MATCH($DG$122,$CR$160:$CR$217,0),MATCH(D990,$CS$159:$CW$159,0))),(INDEX($CZ$160:$DD$217,MATCH($DG$122,$CY$160:$CY$217,0),MATCH(D990,$CZ$159:$DD$159,0)))))</f>
        <v>762054</v>
      </c>
      <c r="S990" s="1550"/>
      <c r="T990" s="1550"/>
      <c r="U990" s="1550"/>
      <c r="V990" s="1550"/>
      <c r="W990" s="1550"/>
      <c r="X990" s="1550"/>
      <c r="Y990" s="1550"/>
      <c r="Z990" s="1550"/>
      <c r="AA990" s="1550"/>
      <c r="AB990" s="1391">
        <f>DO802+DJ802</f>
        <v>0</v>
      </c>
      <c r="AC990" s="1392"/>
      <c r="AD990" s="1392"/>
      <c r="AE990" s="1392"/>
      <c r="AF990" s="1392"/>
      <c r="AG990" s="1392"/>
      <c r="AH990" s="1392"/>
      <c r="AI990" s="1393"/>
      <c r="AJ990" s="1376">
        <f>IF(ISERROR((R990*AB990)),0,(R990*AB990))</f>
        <v>0</v>
      </c>
      <c r="AK990" s="1377"/>
      <c r="AL990" s="1377"/>
      <c r="AM990" s="1377"/>
      <c r="AN990" s="1377"/>
      <c r="AO990" s="1377"/>
      <c r="AP990" s="1377"/>
      <c r="AQ990" s="1378"/>
      <c r="AR990" s="68"/>
      <c r="AS990" s="68"/>
      <c r="AT990" s="68"/>
      <c r="AU990" s="68"/>
      <c r="AV990" s="68"/>
      <c r="AW990" s="68"/>
      <c r="AX990" s="68"/>
      <c r="AY990" s="68"/>
      <c r="AZ990" s="30"/>
      <c r="BB990" s="14"/>
      <c r="BC990" s="14"/>
    </row>
    <row r="991" spans="1:64" ht="12.95" customHeight="1">
      <c r="A991" s="14"/>
      <c r="B991" s="1610" t="s">
        <v>791</v>
      </c>
      <c r="C991" s="1611"/>
      <c r="D991" s="1611"/>
      <c r="E991" s="1611"/>
      <c r="F991" s="1611"/>
      <c r="G991" s="1611"/>
      <c r="H991" s="1611"/>
      <c r="I991" s="1611"/>
      <c r="J991" s="1611"/>
      <c r="K991" s="1611"/>
      <c r="L991" s="1611"/>
      <c r="M991" s="1611"/>
      <c r="N991" s="1611"/>
      <c r="O991" s="1611"/>
      <c r="P991" s="1611"/>
      <c r="Q991" s="1611"/>
      <c r="R991" s="1611"/>
      <c r="S991" s="1611"/>
      <c r="T991" s="1611"/>
      <c r="U991" s="1611"/>
      <c r="V991" s="1611"/>
      <c r="W991" s="1611"/>
      <c r="X991" s="1611"/>
      <c r="Y991" s="1611"/>
      <c r="Z991" s="1611"/>
      <c r="AA991" s="1612"/>
      <c r="AB991" s="1391">
        <f>SUM(AB986:AI990)</f>
        <v>125</v>
      </c>
      <c r="AC991" s="1392"/>
      <c r="AD991" s="1392"/>
      <c r="AE991" s="1392"/>
      <c r="AF991" s="1392"/>
      <c r="AG991" s="1392"/>
      <c r="AH991" s="1392"/>
      <c r="AI991" s="1393"/>
      <c r="AJ991" s="1376"/>
      <c r="AK991" s="1377"/>
      <c r="AL991" s="1377"/>
      <c r="AM991" s="1377"/>
      <c r="AN991" s="1377"/>
      <c r="AO991" s="1377"/>
      <c r="AP991" s="1377"/>
      <c r="AQ991" s="1378"/>
      <c r="AR991" s="68"/>
      <c r="AS991" s="68"/>
      <c r="AT991" s="68"/>
      <c r="AU991" s="68"/>
      <c r="AV991" s="68"/>
      <c r="AW991" s="68"/>
      <c r="AX991" s="68"/>
      <c r="AY991" s="68"/>
      <c r="AZ991" s="34"/>
      <c r="BA991" s="34"/>
      <c r="BB991" s="14"/>
      <c r="BC991" s="14"/>
    </row>
    <row r="992" spans="1:64" ht="12.95" customHeight="1">
      <c r="A992" s="14"/>
      <c r="B992" s="1591" t="s">
        <v>512</v>
      </c>
      <c r="C992" s="1592"/>
      <c r="D992" s="1592"/>
      <c r="E992" s="1592"/>
      <c r="F992" s="1592"/>
      <c r="G992" s="1592"/>
      <c r="H992" s="1592"/>
      <c r="I992" s="1592"/>
      <c r="J992" s="1592"/>
      <c r="K992" s="1592"/>
      <c r="L992" s="1592"/>
      <c r="M992" s="1592"/>
      <c r="N992" s="1592"/>
      <c r="O992" s="1592"/>
      <c r="P992" s="1592"/>
      <c r="Q992" s="1592"/>
      <c r="R992" s="1592"/>
      <c r="S992" s="1592"/>
      <c r="T992" s="1592"/>
      <c r="U992" s="1592"/>
      <c r="V992" s="1592"/>
      <c r="W992" s="1592"/>
      <c r="X992" s="1592"/>
      <c r="Y992" s="1592"/>
      <c r="Z992" s="1592"/>
      <c r="AA992" s="1592"/>
      <c r="AB992" s="1592"/>
      <c r="AC992" s="1592"/>
      <c r="AD992" s="1592"/>
      <c r="AE992" s="1592"/>
      <c r="AF992" s="1592"/>
      <c r="AG992" s="1592"/>
      <c r="AH992" s="1592"/>
      <c r="AI992" s="1593"/>
      <c r="AJ992" s="1376">
        <f>SUM(AJ986:AQ990)</f>
        <v>67476034</v>
      </c>
      <c r="AK992" s="1377"/>
      <c r="AL992" s="1377"/>
      <c r="AM992" s="1377"/>
      <c r="AN992" s="1377"/>
      <c r="AO992" s="1377"/>
      <c r="AP992" s="1377"/>
      <c r="AQ992" s="1378"/>
      <c r="AR992" s="68"/>
      <c r="AS992" s="68"/>
      <c r="AT992" s="68"/>
      <c r="AU992" s="68"/>
      <c r="AV992" s="68"/>
      <c r="AW992" s="68"/>
      <c r="AX992" s="68"/>
      <c r="AY992" s="68"/>
      <c r="AZ992" s="34"/>
      <c r="BB992" s="34"/>
      <c r="BC992" s="34"/>
    </row>
    <row r="993" spans="1:55" ht="12.95" customHeight="1">
      <c r="A993" s="14"/>
      <c r="B993" s="1527"/>
      <c r="C993" s="1528"/>
      <c r="D993" s="1528"/>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1533" t="s">
        <v>666</v>
      </c>
      <c r="AG993" s="1534"/>
      <c r="AH993" s="1534"/>
      <c r="AI993" s="1535"/>
      <c r="AJ993" s="1527"/>
      <c r="AK993" s="1528"/>
      <c r="AL993" s="1528"/>
      <c r="AM993" s="1528"/>
      <c r="AN993" s="1528"/>
      <c r="AO993" s="1528"/>
      <c r="AP993" s="1528"/>
      <c r="AQ993" s="1529"/>
      <c r="AR993" s="68"/>
      <c r="AS993" s="68"/>
      <c r="AT993" s="68"/>
      <c r="AU993" s="68"/>
      <c r="AV993" s="68"/>
      <c r="AW993" s="68"/>
      <c r="AX993" s="68"/>
      <c r="AY993" s="68"/>
      <c r="AZ993" s="34"/>
      <c r="BA993" s="34"/>
      <c r="BB993" s="34"/>
      <c r="BC993" s="34"/>
    </row>
    <row r="994" spans="1:55" ht="12.95" customHeight="1">
      <c r="A994" s="14"/>
      <c r="B994" s="73"/>
      <c r="C994" s="927" t="s">
        <v>668</v>
      </c>
      <c r="D994" s="1588" t="s">
        <v>1220</v>
      </c>
      <c r="E994" s="1589"/>
      <c r="F994" s="1589"/>
      <c r="G994" s="1589"/>
      <c r="H994" s="1589"/>
      <c r="I994" s="1589"/>
      <c r="J994" s="1589"/>
      <c r="K994" s="1589"/>
      <c r="L994" s="1589"/>
      <c r="M994" s="1589"/>
      <c r="N994" s="1589"/>
      <c r="O994" s="1589"/>
      <c r="P994" s="1589"/>
      <c r="Q994" s="1589"/>
      <c r="R994" s="1589"/>
      <c r="S994" s="1589"/>
      <c r="T994" s="1589"/>
      <c r="U994" s="1589"/>
      <c r="V994" s="1589"/>
      <c r="W994" s="1589"/>
      <c r="X994" s="1589"/>
      <c r="Y994" s="1589"/>
      <c r="Z994" s="1589"/>
      <c r="AA994" s="1589"/>
      <c r="AB994" s="1589"/>
      <c r="AC994" s="1589"/>
      <c r="AD994" s="1589"/>
      <c r="AE994" s="1590"/>
      <c r="AF994" s="79"/>
      <c r="AG994" s="1536" t="s">
        <v>669</v>
      </c>
      <c r="AH994" s="1537"/>
      <c r="AI994" s="87"/>
      <c r="AJ994" s="1367">
        <f>ROUND(IF(AND(AG994="yes",D1000&gt;0),AJ992*0.2,0),0)</f>
        <v>0</v>
      </c>
      <c r="AK994" s="1368"/>
      <c r="AL994" s="1368"/>
      <c r="AM994" s="1368"/>
      <c r="AN994" s="1368"/>
      <c r="AO994" s="1368"/>
      <c r="AP994" s="1368"/>
      <c r="AQ994" s="1369"/>
      <c r="AR994" s="68"/>
      <c r="AS994" s="68"/>
      <c r="AT994" s="68"/>
      <c r="AU994" s="68"/>
      <c r="AV994" s="68"/>
      <c r="AW994" s="68"/>
      <c r="AX994" s="68"/>
      <c r="AY994" s="68"/>
      <c r="AZ994" s="34"/>
      <c r="BA994" s="34"/>
      <c r="BB994" s="34"/>
      <c r="BC994" s="34"/>
    </row>
    <row r="995" spans="1:55" ht="12.95" customHeight="1">
      <c r="A995" s="14"/>
      <c r="B995" s="257"/>
      <c r="C995" s="256"/>
      <c r="D995" s="1409" t="s">
        <v>2236</v>
      </c>
      <c r="E995" s="1410"/>
      <c r="F995" s="1410"/>
      <c r="G995" s="1410"/>
      <c r="H995" s="1410"/>
      <c r="I995" s="1410"/>
      <c r="J995" s="1410"/>
      <c r="K995" s="1410"/>
      <c r="L995" s="1410"/>
      <c r="M995" s="1410"/>
      <c r="N995" s="1410"/>
      <c r="O995" s="1410"/>
      <c r="P995" s="1410"/>
      <c r="Q995" s="1410"/>
      <c r="R995" s="1410"/>
      <c r="S995" s="1410"/>
      <c r="T995" s="1410"/>
      <c r="U995" s="1410"/>
      <c r="V995" s="1410"/>
      <c r="W995" s="1410"/>
      <c r="X995" s="1410"/>
      <c r="Y995" s="1410"/>
      <c r="Z995" s="1410"/>
      <c r="AA995" s="1410"/>
      <c r="AB995" s="1410"/>
      <c r="AC995" s="1410"/>
      <c r="AD995" s="1410"/>
      <c r="AE995" s="1411"/>
      <c r="AF995" s="73"/>
      <c r="AG995" s="14"/>
      <c r="AH995" s="14"/>
      <c r="AI995" s="83"/>
      <c r="AJ995" s="1370"/>
      <c r="AK995" s="1371"/>
      <c r="AL995" s="1371"/>
      <c r="AM995" s="1371"/>
      <c r="AN995" s="1371"/>
      <c r="AO995" s="1371"/>
      <c r="AP995" s="1371"/>
      <c r="AQ995" s="1372"/>
      <c r="AR995" s="68"/>
      <c r="AS995" s="68"/>
      <c r="AT995" s="68"/>
      <c r="AU995" s="68"/>
      <c r="AV995" s="68"/>
      <c r="AW995" s="68"/>
      <c r="AX995" s="68"/>
      <c r="AY995" s="68"/>
      <c r="AZ995" s="34"/>
      <c r="BA995" s="34"/>
      <c r="BB995" s="34"/>
      <c r="BC995" s="34"/>
    </row>
    <row r="996" spans="1:55" ht="12.95" customHeight="1">
      <c r="A996" s="14"/>
      <c r="B996" s="257"/>
      <c r="C996" s="256"/>
      <c r="D996" s="1409"/>
      <c r="E996" s="1410"/>
      <c r="F996" s="1410"/>
      <c r="G996" s="1410"/>
      <c r="H996" s="1410"/>
      <c r="I996" s="1410"/>
      <c r="J996" s="1410"/>
      <c r="K996" s="1410"/>
      <c r="L996" s="1410"/>
      <c r="M996" s="1410"/>
      <c r="N996" s="1410"/>
      <c r="O996" s="1410"/>
      <c r="P996" s="1410"/>
      <c r="Q996" s="1410"/>
      <c r="R996" s="1410"/>
      <c r="S996" s="1410"/>
      <c r="T996" s="1410"/>
      <c r="U996" s="1410"/>
      <c r="V996" s="1410"/>
      <c r="W996" s="1410"/>
      <c r="X996" s="1410"/>
      <c r="Y996" s="1410"/>
      <c r="Z996" s="1410"/>
      <c r="AA996" s="1410"/>
      <c r="AB996" s="1410"/>
      <c r="AC996" s="1410"/>
      <c r="AD996" s="1410"/>
      <c r="AE996" s="1411"/>
      <c r="AF996" s="73"/>
      <c r="AG996" s="14"/>
      <c r="AH996" s="14"/>
      <c r="AI996" s="83"/>
      <c r="AJ996" s="1370"/>
      <c r="AK996" s="1371"/>
      <c r="AL996" s="1371"/>
      <c r="AM996" s="1371"/>
      <c r="AN996" s="1371"/>
      <c r="AO996" s="1371"/>
      <c r="AP996" s="1371"/>
      <c r="AQ996" s="1372"/>
      <c r="AR996" s="68"/>
      <c r="AS996" s="68"/>
      <c r="AT996" s="68"/>
      <c r="AU996" s="68"/>
      <c r="AV996" s="68"/>
      <c r="AW996" s="68"/>
      <c r="AX996" s="68"/>
      <c r="AY996" s="68"/>
      <c r="AZ996" s="34"/>
      <c r="BA996" s="34"/>
      <c r="BB996" s="34"/>
      <c r="BC996" s="34"/>
    </row>
    <row r="997" spans="1:55" ht="12.95" customHeight="1">
      <c r="A997" s="14"/>
      <c r="B997" s="257"/>
      <c r="C997" s="256"/>
      <c r="D997" s="1409"/>
      <c r="E997" s="1410"/>
      <c r="F997" s="1410"/>
      <c r="G997" s="1410"/>
      <c r="H997" s="1410"/>
      <c r="I997" s="1410"/>
      <c r="J997" s="1410"/>
      <c r="K997" s="1410"/>
      <c r="L997" s="1410"/>
      <c r="M997" s="1410"/>
      <c r="N997" s="1410"/>
      <c r="O997" s="1410"/>
      <c r="P997" s="1410"/>
      <c r="Q997" s="1410"/>
      <c r="R997" s="1410"/>
      <c r="S997" s="1410"/>
      <c r="T997" s="1410"/>
      <c r="U997" s="1410"/>
      <c r="V997" s="1410"/>
      <c r="W997" s="1410"/>
      <c r="X997" s="1410"/>
      <c r="Y997" s="1410"/>
      <c r="Z997" s="1410"/>
      <c r="AA997" s="1410"/>
      <c r="AB997" s="1410"/>
      <c r="AC997" s="1410"/>
      <c r="AD997" s="1410"/>
      <c r="AE997" s="1411"/>
      <c r="AF997" s="73"/>
      <c r="AG997" s="14"/>
      <c r="AH997" s="14"/>
      <c r="AI997" s="83"/>
      <c r="AJ997" s="1370"/>
      <c r="AK997" s="1371"/>
      <c r="AL997" s="1371"/>
      <c r="AM997" s="1371"/>
      <c r="AN997" s="1371"/>
      <c r="AO997" s="1371"/>
      <c r="AP997" s="1371"/>
      <c r="AQ997" s="1372"/>
      <c r="AR997" s="68"/>
      <c r="AS997" s="68"/>
      <c r="AT997" s="68"/>
      <c r="AU997" s="68"/>
      <c r="AV997" s="68"/>
      <c r="AW997" s="68"/>
      <c r="AX997" s="68"/>
      <c r="AY997" s="68"/>
      <c r="AZ997" s="34"/>
      <c r="BA997" s="34"/>
      <c r="BB997" s="34"/>
      <c r="BC997" s="34"/>
    </row>
    <row r="998" spans="1:55" ht="12.95" customHeight="1">
      <c r="A998" s="14"/>
      <c r="B998" s="257"/>
      <c r="C998" s="256"/>
      <c r="D998" s="1409"/>
      <c r="E998" s="1410"/>
      <c r="F998" s="1410"/>
      <c r="G998" s="1410"/>
      <c r="H998" s="1410"/>
      <c r="I998" s="1410"/>
      <c r="J998" s="1410"/>
      <c r="K998" s="1410"/>
      <c r="L998" s="1410"/>
      <c r="M998" s="1410"/>
      <c r="N998" s="1410"/>
      <c r="O998" s="1410"/>
      <c r="P998" s="1410"/>
      <c r="Q998" s="1410"/>
      <c r="R998" s="1410"/>
      <c r="S998" s="1410"/>
      <c r="T998" s="1410"/>
      <c r="U998" s="1410"/>
      <c r="V998" s="1410"/>
      <c r="W998" s="1410"/>
      <c r="X998" s="1410"/>
      <c r="Y998" s="1410"/>
      <c r="Z998" s="1410"/>
      <c r="AA998" s="1410"/>
      <c r="AB998" s="1410"/>
      <c r="AC998" s="1410"/>
      <c r="AD998" s="1410"/>
      <c r="AE998" s="1411"/>
      <c r="AF998" s="73"/>
      <c r="AG998" s="14"/>
      <c r="AH998" s="14"/>
      <c r="AI998" s="83"/>
      <c r="AJ998" s="1370"/>
      <c r="AK998" s="1371"/>
      <c r="AL998" s="1371"/>
      <c r="AM998" s="1371"/>
      <c r="AN998" s="1371"/>
      <c r="AO998" s="1371"/>
      <c r="AP998" s="1371"/>
      <c r="AQ998" s="1372"/>
      <c r="AR998" s="68"/>
      <c r="AS998" s="68"/>
      <c r="AT998" s="68"/>
      <c r="AU998" s="68"/>
      <c r="AV998" s="68"/>
      <c r="AW998" s="68"/>
      <c r="AX998" s="68"/>
      <c r="AY998" s="68"/>
      <c r="AZ998" s="34"/>
      <c r="BA998" s="34"/>
      <c r="BB998" s="34"/>
      <c r="BC998" s="34"/>
    </row>
    <row r="999" spans="1:55" ht="12.95" customHeight="1">
      <c r="A999" s="14"/>
      <c r="B999" s="257"/>
      <c r="C999" s="256"/>
      <c r="D999" s="1412" t="s">
        <v>2206</v>
      </c>
      <c r="E999" s="1413"/>
      <c r="F999" s="1413"/>
      <c r="G999" s="1413"/>
      <c r="H999" s="1413"/>
      <c r="I999" s="1413"/>
      <c r="J999" s="1413"/>
      <c r="K999" s="1413"/>
      <c r="L999" s="1413"/>
      <c r="M999" s="1413"/>
      <c r="N999" s="1413"/>
      <c r="O999" s="1413"/>
      <c r="P999" s="1413"/>
      <c r="Q999" s="1413"/>
      <c r="R999" s="1413"/>
      <c r="S999" s="1413"/>
      <c r="T999" s="1413"/>
      <c r="U999" s="1413"/>
      <c r="V999" s="1413"/>
      <c r="W999" s="1413"/>
      <c r="X999" s="1413"/>
      <c r="Y999" s="1413"/>
      <c r="Z999" s="1413"/>
      <c r="AA999" s="1413"/>
      <c r="AB999" s="1413"/>
      <c r="AC999" s="1413"/>
      <c r="AD999" s="1413"/>
      <c r="AE999" s="1414"/>
      <c r="AF999" s="73"/>
      <c r="AG999" s="14"/>
      <c r="AH999" s="14"/>
      <c r="AI999" s="83"/>
      <c r="AJ999" s="1370"/>
      <c r="AK999" s="1371"/>
      <c r="AL999" s="1371"/>
      <c r="AM999" s="1371"/>
      <c r="AN999" s="1371"/>
      <c r="AO999" s="1371"/>
      <c r="AP999" s="1371"/>
      <c r="AQ999" s="1372"/>
      <c r="AR999" s="68"/>
      <c r="AS999" s="68"/>
      <c r="AT999" s="68"/>
      <c r="AU999" s="68"/>
      <c r="AV999" s="68"/>
      <c r="AW999" s="68"/>
      <c r="AX999" s="68"/>
      <c r="AY999" s="68"/>
      <c r="AZ999" s="34"/>
      <c r="BA999" s="34"/>
      <c r="BB999" s="34"/>
      <c r="BC999" s="34"/>
    </row>
    <row r="1000" spans="1:55" ht="12.95" customHeight="1">
      <c r="A1000" s="14"/>
      <c r="B1000" s="257"/>
      <c r="C1000" s="256"/>
      <c r="D1000" s="1613"/>
      <c r="E1000" s="1614"/>
      <c r="F1000" s="1614"/>
      <c r="G1000" s="1614"/>
      <c r="H1000" s="1614"/>
      <c r="I1000" s="1614"/>
      <c r="J1000" s="1614"/>
      <c r="K1000" s="1614"/>
      <c r="L1000" s="1614"/>
      <c r="M1000" s="1614"/>
      <c r="N1000" s="1614"/>
      <c r="O1000" s="1614"/>
      <c r="P1000" s="1614"/>
      <c r="Q1000" s="1614"/>
      <c r="R1000" s="1614"/>
      <c r="S1000" s="1614"/>
      <c r="T1000" s="1614"/>
      <c r="U1000" s="1614"/>
      <c r="V1000" s="1614"/>
      <c r="W1000" s="1614"/>
      <c r="X1000" s="1614"/>
      <c r="Y1000" s="1614"/>
      <c r="Z1000" s="1614"/>
      <c r="AA1000" s="1614"/>
      <c r="AB1000" s="1614"/>
      <c r="AC1000" s="1614"/>
      <c r="AD1000" s="1614"/>
      <c r="AE1000" s="1615"/>
      <c r="AF1000" s="77"/>
      <c r="AG1000" s="7"/>
      <c r="AH1000" s="7"/>
      <c r="AI1000" s="78"/>
      <c r="AJ1000" s="1373"/>
      <c r="AK1000" s="1374"/>
      <c r="AL1000" s="1374"/>
      <c r="AM1000" s="1374"/>
      <c r="AN1000" s="1374"/>
      <c r="AO1000" s="1374"/>
      <c r="AP1000" s="1374"/>
      <c r="AQ1000" s="1375"/>
      <c r="AR1000" s="68"/>
      <c r="AS1000" s="68"/>
      <c r="AT1000" s="68"/>
      <c r="AU1000" s="68"/>
      <c r="AV1000" s="68"/>
      <c r="AW1000" s="68"/>
      <c r="AX1000" s="68"/>
      <c r="AY1000" s="68"/>
      <c r="AZ1000" s="34"/>
      <c r="BA1000" s="34"/>
      <c r="BB1000" s="34"/>
      <c r="BC1000" s="34"/>
    </row>
    <row r="1001" spans="1:55" ht="12.95" customHeight="1">
      <c r="A1001" s="14"/>
      <c r="B1001" s="255"/>
      <c r="C1001" s="318"/>
      <c r="D1001" s="1530" t="s">
        <v>1286</v>
      </c>
      <c r="E1001" s="1531"/>
      <c r="F1001" s="1531"/>
      <c r="G1001" s="1531"/>
      <c r="H1001" s="1531"/>
      <c r="I1001" s="1531"/>
      <c r="J1001" s="1531"/>
      <c r="K1001" s="1531"/>
      <c r="L1001" s="1531"/>
      <c r="M1001" s="1531"/>
      <c r="N1001" s="1531"/>
      <c r="O1001" s="1531"/>
      <c r="P1001" s="1531"/>
      <c r="Q1001" s="1531"/>
      <c r="R1001" s="1531"/>
      <c r="S1001" s="1531"/>
      <c r="T1001" s="1531"/>
      <c r="U1001" s="1531"/>
      <c r="V1001" s="1531"/>
      <c r="W1001" s="1531"/>
      <c r="X1001" s="1531"/>
      <c r="Y1001" s="1531"/>
      <c r="Z1001" s="1531"/>
      <c r="AA1001" s="1531"/>
      <c r="AB1001" s="1531"/>
      <c r="AC1001" s="1531"/>
      <c r="AD1001" s="1531"/>
      <c r="AE1001" s="1532"/>
      <c r="AF1001" s="79"/>
      <c r="AG1001" s="1538" t="s">
        <v>669</v>
      </c>
      <c r="AH1001" s="1539"/>
      <c r="AI1001" s="87"/>
      <c r="AJ1001" s="1367">
        <f>ROUND(IF(AG1001="yes",AJ992*0.05,0),0)</f>
        <v>0</v>
      </c>
      <c r="AK1001" s="1368"/>
      <c r="AL1001" s="1368"/>
      <c r="AM1001" s="1368"/>
      <c r="AN1001" s="1368"/>
      <c r="AO1001" s="1368"/>
      <c r="AP1001" s="1368"/>
      <c r="AQ1001" s="1369"/>
      <c r="AR1001" s="68"/>
      <c r="AS1001" s="68"/>
      <c r="AT1001" s="68"/>
      <c r="AU1001" s="68"/>
      <c r="AV1001" s="68"/>
      <c r="AW1001" s="68"/>
      <c r="AX1001" s="68"/>
      <c r="AY1001" s="68"/>
      <c r="AZ1001" s="34"/>
      <c r="BA1001" s="34"/>
      <c r="BB1001" s="34"/>
      <c r="BC1001" s="34"/>
    </row>
    <row r="1002" spans="1:55" ht="12.95" customHeight="1">
      <c r="A1002" s="14"/>
      <c r="B1002" s="257"/>
      <c r="C1002" s="82"/>
      <c r="D1002" s="1409" t="s">
        <v>1284</v>
      </c>
      <c r="E1002" s="1410"/>
      <c r="F1002" s="1410"/>
      <c r="G1002" s="1410"/>
      <c r="H1002" s="1410"/>
      <c r="I1002" s="1410"/>
      <c r="J1002" s="1410"/>
      <c r="K1002" s="1410"/>
      <c r="L1002" s="1410"/>
      <c r="M1002" s="1410"/>
      <c r="N1002" s="1410"/>
      <c r="O1002" s="1410"/>
      <c r="P1002" s="1410"/>
      <c r="Q1002" s="1410"/>
      <c r="R1002" s="1410"/>
      <c r="S1002" s="1410"/>
      <c r="T1002" s="1410"/>
      <c r="U1002" s="1410"/>
      <c r="V1002" s="1410"/>
      <c r="W1002" s="1410"/>
      <c r="X1002" s="1410"/>
      <c r="Y1002" s="1410"/>
      <c r="Z1002" s="1410"/>
      <c r="AA1002" s="1410"/>
      <c r="AB1002" s="1410"/>
      <c r="AC1002" s="1410"/>
      <c r="AD1002" s="1410"/>
      <c r="AE1002" s="1411"/>
      <c r="AF1002" s="73"/>
      <c r="AG1002" s="14"/>
      <c r="AH1002" s="14"/>
      <c r="AI1002" s="83"/>
      <c r="AJ1002" s="1370"/>
      <c r="AK1002" s="1371"/>
      <c r="AL1002" s="1371"/>
      <c r="AM1002" s="1371"/>
      <c r="AN1002" s="1371"/>
      <c r="AO1002" s="1371"/>
      <c r="AP1002" s="1371"/>
      <c r="AQ1002" s="1372"/>
      <c r="AR1002" s="68"/>
      <c r="AS1002" s="68"/>
      <c r="AT1002" s="68"/>
      <c r="AU1002" s="68"/>
      <c r="AV1002" s="68"/>
      <c r="AW1002" s="68"/>
      <c r="AX1002" s="68"/>
      <c r="AY1002" s="34"/>
      <c r="AZ1002" s="34"/>
      <c r="BB1002" s="34"/>
    </row>
    <row r="1003" spans="1:55" ht="12.95" customHeight="1">
      <c r="A1003" s="14"/>
      <c r="B1003" s="257"/>
      <c r="C1003" s="82"/>
      <c r="D1003" s="1409"/>
      <c r="E1003" s="1410"/>
      <c r="F1003" s="1410"/>
      <c r="G1003" s="1410"/>
      <c r="H1003" s="1410"/>
      <c r="I1003" s="1410"/>
      <c r="J1003" s="1410"/>
      <c r="K1003" s="1410"/>
      <c r="L1003" s="1410"/>
      <c r="M1003" s="1410"/>
      <c r="N1003" s="1410"/>
      <c r="O1003" s="1410"/>
      <c r="P1003" s="1410"/>
      <c r="Q1003" s="1410"/>
      <c r="R1003" s="1410"/>
      <c r="S1003" s="1410"/>
      <c r="T1003" s="1410"/>
      <c r="U1003" s="1410"/>
      <c r="V1003" s="1410"/>
      <c r="W1003" s="1410"/>
      <c r="X1003" s="1410"/>
      <c r="Y1003" s="1410"/>
      <c r="Z1003" s="1410"/>
      <c r="AA1003" s="1410"/>
      <c r="AB1003" s="1410"/>
      <c r="AC1003" s="1410"/>
      <c r="AD1003" s="1410"/>
      <c r="AE1003" s="1411"/>
      <c r="AF1003" s="73"/>
      <c r="AG1003" s="14"/>
      <c r="AH1003" s="14"/>
      <c r="AI1003" s="83"/>
      <c r="AJ1003" s="1370"/>
      <c r="AK1003" s="1371"/>
      <c r="AL1003" s="1371"/>
      <c r="AM1003" s="1371"/>
      <c r="AN1003" s="1371"/>
      <c r="AO1003" s="1371"/>
      <c r="AP1003" s="1371"/>
      <c r="AQ1003" s="1372"/>
      <c r="AR1003" s="68"/>
      <c r="AS1003" s="68"/>
      <c r="AT1003" s="68"/>
      <c r="AU1003" s="68"/>
      <c r="AV1003" s="68"/>
      <c r="AW1003" s="68"/>
      <c r="AX1003" s="68"/>
      <c r="AY1003" s="914">
        <f>G753+O797</f>
        <v>124</v>
      </c>
      <c r="AZ1003" s="34"/>
      <c r="BB1003" s="34"/>
    </row>
    <row r="1004" spans="1:55" ht="12.95" customHeight="1">
      <c r="A1004" s="14"/>
      <c r="B1004" s="257"/>
      <c r="C1004" s="82"/>
      <c r="D1004" s="1409"/>
      <c r="E1004" s="1410"/>
      <c r="F1004" s="1410"/>
      <c r="G1004" s="1410"/>
      <c r="H1004" s="1410"/>
      <c r="I1004" s="1410"/>
      <c r="J1004" s="1410"/>
      <c r="K1004" s="1410"/>
      <c r="L1004" s="1410"/>
      <c r="M1004" s="1410"/>
      <c r="N1004" s="1410"/>
      <c r="O1004" s="1410"/>
      <c r="P1004" s="1410"/>
      <c r="Q1004" s="1410"/>
      <c r="R1004" s="1410"/>
      <c r="S1004" s="1410"/>
      <c r="T1004" s="1410"/>
      <c r="U1004" s="1410"/>
      <c r="V1004" s="1410"/>
      <c r="W1004" s="1410"/>
      <c r="X1004" s="1410"/>
      <c r="Y1004" s="1410"/>
      <c r="Z1004" s="1410"/>
      <c r="AA1004" s="1410"/>
      <c r="AB1004" s="1410"/>
      <c r="AC1004" s="1410"/>
      <c r="AD1004" s="1410"/>
      <c r="AE1004" s="1411"/>
      <c r="AF1004" s="73"/>
      <c r="AG1004" s="14"/>
      <c r="AH1004" s="14"/>
      <c r="AI1004" s="83"/>
      <c r="AJ1004" s="1370"/>
      <c r="AK1004" s="1371"/>
      <c r="AL1004" s="1371"/>
      <c r="AM1004" s="1371"/>
      <c r="AN1004" s="1371"/>
      <c r="AO1004" s="1371"/>
      <c r="AP1004" s="1371"/>
      <c r="AQ1004" s="1372"/>
      <c r="AR1004" s="68"/>
      <c r="AS1004" s="68"/>
      <c r="AT1004" s="68"/>
      <c r="AU1004" s="68"/>
      <c r="AV1004" s="68"/>
      <c r="AW1004" s="68"/>
      <c r="AX1004" s="68"/>
      <c r="AY1004" s="14"/>
      <c r="AZ1004" s="34"/>
      <c r="BB1004" s="34"/>
    </row>
    <row r="1005" spans="1:55" ht="12.95" customHeight="1">
      <c r="A1005" s="14"/>
      <c r="B1005" s="257"/>
      <c r="C1005" s="82"/>
      <c r="D1005" s="1409"/>
      <c r="E1005" s="1410"/>
      <c r="F1005" s="1410"/>
      <c r="G1005" s="1410"/>
      <c r="H1005" s="1410"/>
      <c r="I1005" s="1410"/>
      <c r="J1005" s="1410"/>
      <c r="K1005" s="1410"/>
      <c r="L1005" s="1410"/>
      <c r="M1005" s="1410"/>
      <c r="N1005" s="1410"/>
      <c r="O1005" s="1410"/>
      <c r="P1005" s="1410"/>
      <c r="Q1005" s="1410"/>
      <c r="R1005" s="1410"/>
      <c r="S1005" s="1410"/>
      <c r="T1005" s="1410"/>
      <c r="U1005" s="1410"/>
      <c r="V1005" s="1410"/>
      <c r="W1005" s="1410"/>
      <c r="X1005" s="1410"/>
      <c r="Y1005" s="1410"/>
      <c r="Z1005" s="1410"/>
      <c r="AA1005" s="1410"/>
      <c r="AB1005" s="1410"/>
      <c r="AC1005" s="1410"/>
      <c r="AD1005" s="1410"/>
      <c r="AE1005" s="1411"/>
      <c r="AF1005" s="73"/>
      <c r="AG1005" s="14"/>
      <c r="AH1005" s="14"/>
      <c r="AI1005" s="83"/>
      <c r="AJ1005" s="1370"/>
      <c r="AK1005" s="1371"/>
      <c r="AL1005" s="1371"/>
      <c r="AM1005" s="1371"/>
      <c r="AN1005" s="1371"/>
      <c r="AO1005" s="1371"/>
      <c r="AP1005" s="1371"/>
      <c r="AQ1005" s="1372"/>
      <c r="AR1005" s="68"/>
      <c r="AS1005" s="68"/>
      <c r="AT1005" s="68"/>
      <c r="AU1005" s="68"/>
      <c r="AV1005" s="68"/>
      <c r="AW1005" s="68"/>
      <c r="AX1005" s="68"/>
      <c r="AY1005" s="913">
        <f>ROUNDDOWN(X1048/I1048,2)</f>
        <v>0.39</v>
      </c>
      <c r="AZ1005" s="34"/>
      <c r="BB1005" s="34"/>
    </row>
    <row r="1006" spans="1:55" ht="12.95" customHeight="1">
      <c r="A1006" s="14"/>
      <c r="B1006" s="75"/>
      <c r="C1006" s="76"/>
      <c r="D1006" s="1412"/>
      <c r="E1006" s="1413"/>
      <c r="F1006" s="1413"/>
      <c r="G1006" s="1413"/>
      <c r="H1006" s="1413"/>
      <c r="I1006" s="1413"/>
      <c r="J1006" s="1413"/>
      <c r="K1006" s="1413"/>
      <c r="L1006" s="1413"/>
      <c r="M1006" s="1413"/>
      <c r="N1006" s="1413"/>
      <c r="O1006" s="1413"/>
      <c r="P1006" s="1413"/>
      <c r="Q1006" s="1413"/>
      <c r="R1006" s="1413"/>
      <c r="S1006" s="1413"/>
      <c r="T1006" s="1413"/>
      <c r="U1006" s="1413"/>
      <c r="V1006" s="1413"/>
      <c r="W1006" s="1413"/>
      <c r="X1006" s="1413"/>
      <c r="Y1006" s="1413"/>
      <c r="Z1006" s="1413"/>
      <c r="AA1006" s="1413"/>
      <c r="AB1006" s="1413"/>
      <c r="AC1006" s="1413"/>
      <c r="AD1006" s="1413"/>
      <c r="AE1006" s="1414"/>
      <c r="AF1006" s="77"/>
      <c r="AG1006" s="7"/>
      <c r="AH1006" s="7"/>
      <c r="AI1006" s="78"/>
      <c r="AJ1006" s="1373"/>
      <c r="AK1006" s="1374"/>
      <c r="AL1006" s="1374"/>
      <c r="AM1006" s="1374"/>
      <c r="AN1006" s="1374"/>
      <c r="AO1006" s="1374"/>
      <c r="AP1006" s="1374"/>
      <c r="AQ1006" s="1375"/>
      <c r="AR1006" s="68"/>
      <c r="AS1006" s="68"/>
      <c r="AT1006" s="68"/>
      <c r="AU1006" s="68"/>
      <c r="AV1006" s="68"/>
      <c r="AW1006" s="68"/>
      <c r="AX1006" s="68"/>
      <c r="AY1006" s="913">
        <f>ROUNDDOWN(X1052/I1052,2)</f>
        <v>0.11</v>
      </c>
      <c r="AZ1006" s="34"/>
      <c r="BB1006" s="34"/>
    </row>
    <row r="1007" spans="1:55" ht="12.95" customHeight="1">
      <c r="A1007" s="14"/>
      <c r="B1007" s="255"/>
      <c r="C1007" s="80" t="s">
        <v>672</v>
      </c>
      <c r="D1007" s="1530" t="s">
        <v>1683</v>
      </c>
      <c r="E1007" s="1531"/>
      <c r="F1007" s="1531"/>
      <c r="G1007" s="1531"/>
      <c r="H1007" s="1531"/>
      <c r="I1007" s="1531"/>
      <c r="J1007" s="1531"/>
      <c r="K1007" s="1531"/>
      <c r="L1007" s="1531"/>
      <c r="M1007" s="1531"/>
      <c r="N1007" s="1531"/>
      <c r="O1007" s="1531"/>
      <c r="P1007" s="1531"/>
      <c r="Q1007" s="1531"/>
      <c r="R1007" s="1531"/>
      <c r="S1007" s="1531"/>
      <c r="T1007" s="1531"/>
      <c r="U1007" s="1531"/>
      <c r="V1007" s="1531"/>
      <c r="W1007" s="1531"/>
      <c r="X1007" s="1531"/>
      <c r="Y1007" s="1531"/>
      <c r="Z1007" s="1531"/>
      <c r="AA1007" s="1531"/>
      <c r="AB1007" s="1531"/>
      <c r="AC1007" s="1531"/>
      <c r="AD1007" s="1531"/>
      <c r="AE1007" s="1532"/>
      <c r="AF1007" s="86"/>
      <c r="AG1007" s="1538" t="s">
        <v>669</v>
      </c>
      <c r="AH1007" s="1539"/>
      <c r="AI1007" s="87"/>
      <c r="AJ1007" s="1367">
        <f>ROUND(IF(AG1007="yes",AJ992*0.1,0),0)</f>
        <v>0</v>
      </c>
      <c r="AK1007" s="1368"/>
      <c r="AL1007" s="1368"/>
      <c r="AM1007" s="1368"/>
      <c r="AN1007" s="1368"/>
      <c r="AO1007" s="1368"/>
      <c r="AP1007" s="1368"/>
      <c r="AQ1007" s="1369"/>
      <c r="AR1007" s="68"/>
      <c r="AS1007" s="68"/>
      <c r="AT1007" s="68"/>
      <c r="AU1007" s="68"/>
      <c r="AV1007" s="68"/>
      <c r="AW1007" s="68"/>
      <c r="AX1007" s="68"/>
      <c r="BB1007" s="34"/>
    </row>
    <row r="1008" spans="1:55" ht="12.95" customHeight="1">
      <c r="A1008" s="14"/>
      <c r="B1008" s="73"/>
      <c r="C1008" s="74"/>
      <c r="D1008" s="1563" t="s">
        <v>1285</v>
      </c>
      <c r="E1008" s="1564"/>
      <c r="F1008" s="1564"/>
      <c r="G1008" s="1564"/>
      <c r="H1008" s="1564"/>
      <c r="I1008" s="1564"/>
      <c r="J1008" s="1564"/>
      <c r="K1008" s="1564"/>
      <c r="L1008" s="1564"/>
      <c r="M1008" s="1564"/>
      <c r="N1008" s="1564"/>
      <c r="O1008" s="1564"/>
      <c r="P1008" s="1564"/>
      <c r="Q1008" s="1564"/>
      <c r="R1008" s="1564"/>
      <c r="S1008" s="1564"/>
      <c r="T1008" s="1564"/>
      <c r="U1008" s="1564"/>
      <c r="V1008" s="1564"/>
      <c r="W1008" s="1564"/>
      <c r="X1008" s="1564"/>
      <c r="Y1008" s="1564"/>
      <c r="Z1008" s="1564"/>
      <c r="AA1008" s="1564"/>
      <c r="AB1008" s="1564"/>
      <c r="AC1008" s="1564"/>
      <c r="AD1008" s="1564"/>
      <c r="AE1008" s="1565"/>
      <c r="AF1008" s="73"/>
      <c r="AI1008" s="83"/>
      <c r="AJ1008" s="1370"/>
      <c r="AK1008" s="1371"/>
      <c r="AL1008" s="1371"/>
      <c r="AM1008" s="1371"/>
      <c r="AN1008" s="1371"/>
      <c r="AO1008" s="1371"/>
      <c r="AP1008" s="1371"/>
      <c r="AQ1008" s="1372"/>
      <c r="AR1008" s="68"/>
      <c r="AS1008" s="68"/>
      <c r="AT1008" s="68"/>
      <c r="AU1008" s="68"/>
      <c r="AV1008" s="68"/>
      <c r="AW1008" s="68"/>
      <c r="AX1008" s="68"/>
    </row>
    <row r="1009" spans="1:52" ht="12.95" customHeight="1">
      <c r="A1009" s="14"/>
      <c r="B1009" s="73"/>
      <c r="C1009" s="74"/>
      <c r="D1009" s="1563"/>
      <c r="E1009" s="1564"/>
      <c r="F1009" s="1564"/>
      <c r="G1009" s="1564"/>
      <c r="H1009" s="1564"/>
      <c r="I1009" s="1564"/>
      <c r="J1009" s="1564"/>
      <c r="K1009" s="1564"/>
      <c r="L1009" s="1564"/>
      <c r="M1009" s="1564"/>
      <c r="N1009" s="1564"/>
      <c r="O1009" s="1564"/>
      <c r="P1009" s="1564"/>
      <c r="Q1009" s="1564"/>
      <c r="R1009" s="1564"/>
      <c r="S1009" s="1564"/>
      <c r="T1009" s="1564"/>
      <c r="U1009" s="1564"/>
      <c r="V1009" s="1564"/>
      <c r="W1009" s="1564"/>
      <c r="X1009" s="1564"/>
      <c r="Y1009" s="1564"/>
      <c r="Z1009" s="1564"/>
      <c r="AA1009" s="1564"/>
      <c r="AB1009" s="1564"/>
      <c r="AC1009" s="1564"/>
      <c r="AD1009" s="1564"/>
      <c r="AE1009" s="1565"/>
      <c r="AF1009" s="73"/>
      <c r="AG1009" s="14"/>
      <c r="AH1009" s="14"/>
      <c r="AI1009" s="83"/>
      <c r="AJ1009" s="1370"/>
      <c r="AK1009" s="1371"/>
      <c r="AL1009" s="1371"/>
      <c r="AM1009" s="1371"/>
      <c r="AN1009" s="1371"/>
      <c r="AO1009" s="1371"/>
      <c r="AP1009" s="1371"/>
      <c r="AQ1009" s="1372"/>
      <c r="AR1009" s="68"/>
      <c r="AS1009" s="68"/>
      <c r="AT1009" s="68"/>
      <c r="AU1009" s="68"/>
      <c r="AV1009" s="68"/>
      <c r="AW1009" s="68"/>
      <c r="AX1009" s="68"/>
    </row>
    <row r="1010" spans="1:52" ht="12.95" customHeight="1">
      <c r="A1010" s="14"/>
      <c r="B1010" s="85"/>
      <c r="C1010" s="76"/>
      <c r="D1010" s="1566"/>
      <c r="E1010" s="1567"/>
      <c r="F1010" s="1567"/>
      <c r="G1010" s="1567"/>
      <c r="H1010" s="1567"/>
      <c r="I1010" s="1567"/>
      <c r="J1010" s="1567"/>
      <c r="K1010" s="1567"/>
      <c r="L1010" s="1567"/>
      <c r="M1010" s="1567"/>
      <c r="N1010" s="1567"/>
      <c r="O1010" s="1567"/>
      <c r="P1010" s="1567"/>
      <c r="Q1010" s="1567"/>
      <c r="R1010" s="1567"/>
      <c r="S1010" s="1567"/>
      <c r="T1010" s="1567"/>
      <c r="U1010" s="1567"/>
      <c r="V1010" s="1567"/>
      <c r="W1010" s="1567"/>
      <c r="X1010" s="1567"/>
      <c r="Y1010" s="1567"/>
      <c r="Z1010" s="1567"/>
      <c r="AA1010" s="1567"/>
      <c r="AB1010" s="1567"/>
      <c r="AC1010" s="1567"/>
      <c r="AD1010" s="1567"/>
      <c r="AE1010" s="1568"/>
      <c r="AF1010" s="77"/>
      <c r="AG1010" s="7"/>
      <c r="AH1010" s="7"/>
      <c r="AI1010" s="78"/>
      <c r="AJ1010" s="1373"/>
      <c r="AK1010" s="1374"/>
      <c r="AL1010" s="1374"/>
      <c r="AM1010" s="1374"/>
      <c r="AN1010" s="1374"/>
      <c r="AO1010" s="1374"/>
      <c r="AP1010" s="1374"/>
      <c r="AQ1010" s="1375"/>
      <c r="AR1010" s="68"/>
      <c r="AS1010" s="68"/>
      <c r="AT1010" s="68"/>
      <c r="AU1010" s="68"/>
      <c r="AV1010" s="68"/>
      <c r="AW1010" s="68"/>
      <c r="AX1010" s="68"/>
    </row>
    <row r="1011" spans="1:52" ht="12.95" customHeight="1">
      <c r="A1011" s="14"/>
      <c r="B1011" s="79"/>
      <c r="C1011" s="80" t="s">
        <v>211</v>
      </c>
      <c r="D1011" s="1530" t="s">
        <v>1287</v>
      </c>
      <c r="E1011" s="1531"/>
      <c r="F1011" s="1531"/>
      <c r="G1011" s="1531"/>
      <c r="H1011" s="1531"/>
      <c r="I1011" s="1531"/>
      <c r="J1011" s="1531"/>
      <c r="K1011" s="1531"/>
      <c r="L1011" s="1531"/>
      <c r="M1011" s="1531"/>
      <c r="N1011" s="1531"/>
      <c r="O1011" s="1531"/>
      <c r="P1011" s="1531"/>
      <c r="Q1011" s="1531"/>
      <c r="R1011" s="1531"/>
      <c r="S1011" s="1531"/>
      <c r="T1011" s="1531"/>
      <c r="U1011" s="1531"/>
      <c r="V1011" s="1531"/>
      <c r="W1011" s="1531"/>
      <c r="X1011" s="1531"/>
      <c r="Y1011" s="1531"/>
      <c r="Z1011" s="1531"/>
      <c r="AA1011" s="1531"/>
      <c r="AB1011" s="1531"/>
      <c r="AC1011" s="1531"/>
      <c r="AD1011" s="1531"/>
      <c r="AE1011" s="1532"/>
      <c r="AF1011" s="79"/>
      <c r="AG1011" s="1538" t="s">
        <v>669</v>
      </c>
      <c r="AH1011" s="1539"/>
      <c r="AI1011" s="87"/>
      <c r="AJ1011" s="1367">
        <f>ROUND(IF(AG1011="yes",AJ992*0.02,0),0)</f>
        <v>0</v>
      </c>
      <c r="AK1011" s="1368"/>
      <c r="AL1011" s="1368"/>
      <c r="AM1011" s="1368"/>
      <c r="AN1011" s="1368"/>
      <c r="AO1011" s="1368"/>
      <c r="AP1011" s="1368"/>
      <c r="AQ1011" s="1369"/>
      <c r="AR1011" s="68"/>
      <c r="AS1011" s="68"/>
      <c r="AT1011" s="68"/>
      <c r="AU1011" s="68"/>
      <c r="AV1011" s="68"/>
      <c r="AW1011" s="68"/>
      <c r="AX1011" s="68"/>
    </row>
    <row r="1012" spans="1:52" ht="14.25" customHeight="1">
      <c r="A1012" s="14"/>
      <c r="B1012" s="73"/>
      <c r="C1012" s="74"/>
      <c r="D1012" s="1566" t="s">
        <v>1288</v>
      </c>
      <c r="E1012" s="1567"/>
      <c r="F1012" s="1567"/>
      <c r="G1012" s="1567"/>
      <c r="H1012" s="1567"/>
      <c r="I1012" s="1567"/>
      <c r="J1012" s="1567"/>
      <c r="K1012" s="1567"/>
      <c r="L1012" s="1567"/>
      <c r="M1012" s="1567"/>
      <c r="N1012" s="1567"/>
      <c r="O1012" s="1567"/>
      <c r="P1012" s="1567"/>
      <c r="Q1012" s="1567"/>
      <c r="R1012" s="1567"/>
      <c r="S1012" s="1567"/>
      <c r="T1012" s="1567"/>
      <c r="U1012" s="1567"/>
      <c r="V1012" s="1567"/>
      <c r="W1012" s="1567"/>
      <c r="X1012" s="1567"/>
      <c r="Y1012" s="1567"/>
      <c r="Z1012" s="1567"/>
      <c r="AA1012" s="1567"/>
      <c r="AB1012" s="1567"/>
      <c r="AC1012" s="1567"/>
      <c r="AD1012" s="1567"/>
      <c r="AE1012" s="1568"/>
      <c r="AF1012" s="77"/>
      <c r="AG1012" s="7"/>
      <c r="AH1012" s="7"/>
      <c r="AI1012" s="78"/>
      <c r="AJ1012" s="1373"/>
      <c r="AK1012" s="1374"/>
      <c r="AL1012" s="1374"/>
      <c r="AM1012" s="1374"/>
      <c r="AN1012" s="1374"/>
      <c r="AO1012" s="1374"/>
      <c r="AP1012" s="1374"/>
      <c r="AQ1012" s="1375"/>
      <c r="AR1012" s="68"/>
      <c r="AS1012" s="68"/>
      <c r="AT1012" s="68"/>
      <c r="AU1012" s="68"/>
      <c r="AV1012" s="68"/>
      <c r="AW1012" s="68"/>
      <c r="AX1012" s="3" t="s">
        <v>1841</v>
      </c>
      <c r="AZ1012" s="3" t="s">
        <v>2605</v>
      </c>
    </row>
    <row r="1013" spans="1:52" ht="12.95" customHeight="1">
      <c r="A1013" s="14"/>
      <c r="B1013" s="79"/>
      <c r="C1013" s="80" t="s">
        <v>214</v>
      </c>
      <c r="D1013" s="1530" t="s">
        <v>1289</v>
      </c>
      <c r="E1013" s="1531"/>
      <c r="F1013" s="1531"/>
      <c r="G1013" s="1531"/>
      <c r="H1013" s="1531"/>
      <c r="I1013" s="1531"/>
      <c r="J1013" s="1531"/>
      <c r="K1013" s="1531"/>
      <c r="L1013" s="1531"/>
      <c r="M1013" s="1531"/>
      <c r="N1013" s="1531"/>
      <c r="O1013" s="1531"/>
      <c r="P1013" s="1531"/>
      <c r="Q1013" s="1531"/>
      <c r="R1013" s="1531"/>
      <c r="S1013" s="1531"/>
      <c r="T1013" s="1531"/>
      <c r="U1013" s="1531"/>
      <c r="V1013" s="1531"/>
      <c r="W1013" s="1531"/>
      <c r="X1013" s="1531"/>
      <c r="Y1013" s="1531"/>
      <c r="Z1013" s="1531"/>
      <c r="AA1013" s="1531"/>
      <c r="AB1013" s="1531"/>
      <c r="AC1013" s="1531"/>
      <c r="AD1013" s="1531"/>
      <c r="AE1013" s="1532"/>
      <c r="AF1013" s="79"/>
      <c r="AG1013" s="1538" t="s">
        <v>669</v>
      </c>
      <c r="AH1013" s="1539"/>
      <c r="AI1013" s="79"/>
      <c r="AJ1013" s="1367">
        <f>ROUND(IF(AG1013="yes",AJ992*0.02,0),0)</f>
        <v>0</v>
      </c>
      <c r="AK1013" s="1368"/>
      <c r="AL1013" s="1368"/>
      <c r="AM1013" s="1368"/>
      <c r="AN1013" s="1368"/>
      <c r="AO1013" s="1368"/>
      <c r="AP1013" s="1368"/>
      <c r="AQ1013" s="1369"/>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63" t="s">
        <v>1290</v>
      </c>
      <c r="E1014" s="1564"/>
      <c r="F1014" s="1564"/>
      <c r="G1014" s="1564"/>
      <c r="H1014" s="1564"/>
      <c r="I1014" s="1564"/>
      <c r="J1014" s="1564"/>
      <c r="K1014" s="1564"/>
      <c r="L1014" s="1564"/>
      <c r="M1014" s="1564"/>
      <c r="N1014" s="1564"/>
      <c r="O1014" s="1564"/>
      <c r="P1014" s="1564"/>
      <c r="Q1014" s="1564"/>
      <c r="R1014" s="1564"/>
      <c r="S1014" s="1564"/>
      <c r="T1014" s="1564"/>
      <c r="U1014" s="1564"/>
      <c r="V1014" s="1564"/>
      <c r="W1014" s="1564"/>
      <c r="X1014" s="1564"/>
      <c r="Y1014" s="1564"/>
      <c r="Z1014" s="1564"/>
      <c r="AA1014" s="1564"/>
      <c r="AB1014" s="1564"/>
      <c r="AC1014" s="1564"/>
      <c r="AD1014" s="1564"/>
      <c r="AE1014" s="1565"/>
      <c r="AF1014" s="1342" t="str">
        <f>IF(AND(AG1013="yes",T212&lt;&gt;1),"The project may not be eligible for this boost","")</f>
        <v/>
      </c>
      <c r="AG1014" s="1343"/>
      <c r="AH1014" s="1343"/>
      <c r="AI1014" s="1344"/>
      <c r="AJ1014" s="1370"/>
      <c r="AK1014" s="1371"/>
      <c r="AL1014" s="1371"/>
      <c r="AM1014" s="1371"/>
      <c r="AN1014" s="1371"/>
      <c r="AO1014" s="1371"/>
      <c r="AP1014" s="1371"/>
      <c r="AQ1014" s="1372"/>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66"/>
      <c r="E1015" s="1567"/>
      <c r="F1015" s="1567"/>
      <c r="G1015" s="1567"/>
      <c r="H1015" s="1567"/>
      <c r="I1015" s="1567"/>
      <c r="J1015" s="1567"/>
      <c r="K1015" s="1567"/>
      <c r="L1015" s="1567"/>
      <c r="M1015" s="1567"/>
      <c r="N1015" s="1567"/>
      <c r="O1015" s="1567"/>
      <c r="P1015" s="1567"/>
      <c r="Q1015" s="1567"/>
      <c r="R1015" s="1567"/>
      <c r="S1015" s="1567"/>
      <c r="T1015" s="1567"/>
      <c r="U1015" s="1567"/>
      <c r="V1015" s="1567"/>
      <c r="W1015" s="1567"/>
      <c r="X1015" s="1567"/>
      <c r="Y1015" s="1567"/>
      <c r="Z1015" s="1567"/>
      <c r="AA1015" s="1567"/>
      <c r="AB1015" s="1567"/>
      <c r="AC1015" s="1567"/>
      <c r="AD1015" s="1567"/>
      <c r="AE1015" s="1568"/>
      <c r="AF1015" s="1345"/>
      <c r="AG1015" s="1346"/>
      <c r="AH1015" s="1346"/>
      <c r="AI1015" s="1347"/>
      <c r="AJ1015" s="1373"/>
      <c r="AK1015" s="1374"/>
      <c r="AL1015" s="1374"/>
      <c r="AM1015" s="1374"/>
      <c r="AN1015" s="1374"/>
      <c r="AO1015" s="1374"/>
      <c r="AP1015" s="1374"/>
      <c r="AQ1015" s="1375"/>
      <c r="AR1015" s="68"/>
      <c r="AS1015" s="68"/>
      <c r="AT1015" s="68"/>
      <c r="AU1015" s="68"/>
      <c r="AV1015" s="68"/>
      <c r="AW1015" s="68"/>
      <c r="AX1015" s="3">
        <v>3</v>
      </c>
      <c r="AY1015" s="200">
        <f t="shared" si="53"/>
        <v>0.05</v>
      </c>
      <c r="AZ1015" s="1255">
        <v>0.05</v>
      </c>
    </row>
    <row r="1016" spans="1:52" ht="12.95" customHeight="1">
      <c r="A1016" s="14"/>
      <c r="B1016" s="79"/>
      <c r="C1016" s="80" t="s">
        <v>217</v>
      </c>
      <c r="D1016" s="1588" t="s">
        <v>2237</v>
      </c>
      <c r="E1016" s="1589"/>
      <c r="F1016" s="1589"/>
      <c r="G1016" s="1589"/>
      <c r="H1016" s="1589"/>
      <c r="I1016" s="1589"/>
      <c r="J1016" s="1589"/>
      <c r="K1016" s="1589"/>
      <c r="L1016" s="1589"/>
      <c r="M1016" s="1589"/>
      <c r="N1016" s="1589"/>
      <c r="O1016" s="1589"/>
      <c r="P1016" s="1589"/>
      <c r="Q1016" s="1589"/>
      <c r="R1016" s="1589"/>
      <c r="S1016" s="1589"/>
      <c r="T1016" s="1589"/>
      <c r="U1016" s="1589"/>
      <c r="V1016" s="1589"/>
      <c r="W1016" s="1589"/>
      <c r="X1016" s="1589"/>
      <c r="Y1016" s="1589"/>
      <c r="Z1016" s="1589"/>
      <c r="AA1016" s="1589"/>
      <c r="AB1016" s="1589"/>
      <c r="AC1016" s="1589"/>
      <c r="AD1016" s="1589"/>
      <c r="AE1016" s="1590"/>
      <c r="AF1016" s="79"/>
      <c r="AG1016" s="1538" t="s">
        <v>545</v>
      </c>
      <c r="AH1016" s="1539"/>
      <c r="AI1016" s="87"/>
      <c r="AJ1016" s="1367">
        <f>IF(AG1016="yes",AJ992*AY1024,0)</f>
        <v>4048562.0400000005</v>
      </c>
      <c r="AK1016" s="1368"/>
      <c r="AL1016" s="1368"/>
      <c r="AM1016" s="1368"/>
      <c r="AN1016" s="1368"/>
      <c r="AO1016" s="1368"/>
      <c r="AP1016" s="1368"/>
      <c r="AQ1016" s="1369"/>
      <c r="AR1016" s="68"/>
      <c r="AS1016" s="68"/>
      <c r="AT1016" s="68"/>
      <c r="AU1016" s="68"/>
      <c r="AV1016" s="68"/>
      <c r="AW1016" s="68"/>
      <c r="AX1016" s="3">
        <v>4</v>
      </c>
      <c r="AY1016" s="200">
        <f t="shared" si="53"/>
        <v>0</v>
      </c>
      <c r="AZ1016" s="1255">
        <v>0.02</v>
      </c>
    </row>
    <row r="1017" spans="1:52" ht="12.95" customHeight="1">
      <c r="A1017" s="14"/>
      <c r="B1017" s="73"/>
      <c r="C1017" s="74"/>
      <c r="D1017" s="1563" t="s">
        <v>1291</v>
      </c>
      <c r="E1017" s="1564"/>
      <c r="F1017" s="1564"/>
      <c r="G1017" s="1564"/>
      <c r="H1017" s="1564"/>
      <c r="I1017" s="1564"/>
      <c r="J1017" s="1564"/>
      <c r="K1017" s="1564"/>
      <c r="L1017" s="1564"/>
      <c r="M1017" s="1564"/>
      <c r="N1017" s="1564"/>
      <c r="O1017" s="1564"/>
      <c r="P1017" s="1564"/>
      <c r="Q1017" s="1564"/>
      <c r="R1017" s="1564"/>
      <c r="S1017" s="1564"/>
      <c r="T1017" s="1564"/>
      <c r="U1017" s="1564"/>
      <c r="V1017" s="1564"/>
      <c r="W1017" s="1564"/>
      <c r="X1017" s="1564"/>
      <c r="Y1017" s="1564"/>
      <c r="Z1017" s="1564"/>
      <c r="AA1017" s="1564"/>
      <c r="AB1017" s="1564"/>
      <c r="AC1017" s="1564"/>
      <c r="AD1017" s="1564"/>
      <c r="AE1017" s="1565"/>
      <c r="AF1017" s="1336" t="str">
        <f>IF(AND(AG1016="Yes",AY1024=0),AY1027,"")</f>
        <v/>
      </c>
      <c r="AG1017" s="1337"/>
      <c r="AH1017" s="1337"/>
      <c r="AI1017" s="1338"/>
      <c r="AJ1017" s="1370"/>
      <c r="AK1017" s="1371"/>
      <c r="AL1017" s="1371"/>
      <c r="AM1017" s="1371"/>
      <c r="AN1017" s="1371"/>
      <c r="AO1017" s="1371"/>
      <c r="AP1017" s="1371"/>
      <c r="AQ1017" s="1372"/>
      <c r="AR1017" s="68"/>
      <c r="AS1017" s="68"/>
      <c r="AT1017" s="68"/>
      <c r="AU1017" s="68"/>
      <c r="AV1017" s="68"/>
      <c r="AW1017" s="68"/>
      <c r="AX1017" s="3">
        <v>5</v>
      </c>
      <c r="AY1017" s="200">
        <f t="shared" si="53"/>
        <v>0</v>
      </c>
      <c r="AZ1017" s="1255">
        <v>0.04</v>
      </c>
    </row>
    <row r="1018" spans="1:52" ht="12.95" customHeight="1">
      <c r="A1018" s="14"/>
      <c r="B1018" s="73"/>
      <c r="C1018" s="74"/>
      <c r="D1018" s="1563"/>
      <c r="E1018" s="1564"/>
      <c r="F1018" s="1564"/>
      <c r="G1018" s="1564"/>
      <c r="H1018" s="1564"/>
      <c r="I1018" s="1564"/>
      <c r="J1018" s="1564"/>
      <c r="K1018" s="1564"/>
      <c r="L1018" s="1564"/>
      <c r="M1018" s="1564"/>
      <c r="N1018" s="1564"/>
      <c r="O1018" s="1564"/>
      <c r="P1018" s="1564"/>
      <c r="Q1018" s="1564"/>
      <c r="R1018" s="1564"/>
      <c r="S1018" s="1564"/>
      <c r="T1018" s="1564"/>
      <c r="U1018" s="1564"/>
      <c r="V1018" s="1564"/>
      <c r="W1018" s="1564"/>
      <c r="X1018" s="1564"/>
      <c r="Y1018" s="1564"/>
      <c r="Z1018" s="1564"/>
      <c r="AA1018" s="1564"/>
      <c r="AB1018" s="1564"/>
      <c r="AC1018" s="1564"/>
      <c r="AD1018" s="1564"/>
      <c r="AE1018" s="1565"/>
      <c r="AF1018" s="1336"/>
      <c r="AG1018" s="1337"/>
      <c r="AH1018" s="1337"/>
      <c r="AI1018" s="1338"/>
      <c r="AJ1018" s="1370"/>
      <c r="AK1018" s="1371"/>
      <c r="AL1018" s="1371"/>
      <c r="AM1018" s="1371"/>
      <c r="AN1018" s="1371"/>
      <c r="AO1018" s="1371"/>
      <c r="AP1018" s="1371"/>
      <c r="AQ1018" s="1372"/>
      <c r="AR1018" s="68"/>
      <c r="AS1018" s="68"/>
      <c r="AT1018" s="68"/>
      <c r="AU1018" s="68"/>
      <c r="AV1018" s="68"/>
      <c r="AW1018" s="68"/>
      <c r="AX1018" s="3">
        <v>6</v>
      </c>
      <c r="AY1018" s="200">
        <f t="shared" si="53"/>
        <v>0</v>
      </c>
      <c r="AZ1018" s="1255">
        <v>0.04</v>
      </c>
    </row>
    <row r="1019" spans="1:52" ht="12.95" customHeight="1">
      <c r="A1019" s="14"/>
      <c r="B1019" s="81"/>
      <c r="C1019" s="82"/>
      <c r="D1019" s="1566"/>
      <c r="E1019" s="1567"/>
      <c r="F1019" s="1567"/>
      <c r="G1019" s="1567"/>
      <c r="H1019" s="1567"/>
      <c r="I1019" s="1567"/>
      <c r="J1019" s="1567"/>
      <c r="K1019" s="1567"/>
      <c r="L1019" s="1567"/>
      <c r="M1019" s="1567"/>
      <c r="N1019" s="1567"/>
      <c r="O1019" s="1567"/>
      <c r="P1019" s="1567"/>
      <c r="Q1019" s="1567"/>
      <c r="R1019" s="1567"/>
      <c r="S1019" s="1567"/>
      <c r="T1019" s="1567"/>
      <c r="U1019" s="1567"/>
      <c r="V1019" s="1567"/>
      <c r="W1019" s="1567"/>
      <c r="X1019" s="1567"/>
      <c r="Y1019" s="1567"/>
      <c r="Z1019" s="1567"/>
      <c r="AA1019" s="1567"/>
      <c r="AB1019" s="1567"/>
      <c r="AC1019" s="1567"/>
      <c r="AD1019" s="1567"/>
      <c r="AE1019" s="1568"/>
      <c r="AF1019" s="1339"/>
      <c r="AG1019" s="1340"/>
      <c r="AH1019" s="1340"/>
      <c r="AI1019" s="1341"/>
      <c r="AJ1019" s="1373"/>
      <c r="AK1019" s="1374"/>
      <c r="AL1019" s="1374"/>
      <c r="AM1019" s="1374"/>
      <c r="AN1019" s="1374"/>
      <c r="AO1019" s="1374"/>
      <c r="AP1019" s="1374"/>
      <c r="AQ1019" s="1375"/>
      <c r="AR1019" s="68"/>
      <c r="AS1019" s="68"/>
      <c r="AT1019" s="68"/>
      <c r="AU1019" s="68"/>
      <c r="AV1019" s="68"/>
      <c r="AW1019" s="68"/>
      <c r="AX1019" s="3">
        <v>7</v>
      </c>
      <c r="AY1019" s="200">
        <f t="shared" si="53"/>
        <v>0.01</v>
      </c>
      <c r="AZ1019" s="1255">
        <v>0.01</v>
      </c>
    </row>
    <row r="1020" spans="1:52" ht="12.95" customHeight="1">
      <c r="A1020" s="14"/>
      <c r="B1020" s="79"/>
      <c r="C1020" s="80" t="s">
        <v>222</v>
      </c>
      <c r="D1020" s="1394" t="s">
        <v>1292</v>
      </c>
      <c r="E1020" s="1395"/>
      <c r="F1020" s="1395"/>
      <c r="G1020" s="1395"/>
      <c r="H1020" s="1395"/>
      <c r="I1020" s="1395"/>
      <c r="J1020" s="1395"/>
      <c r="K1020" s="1395"/>
      <c r="L1020" s="1395"/>
      <c r="M1020" s="1395"/>
      <c r="N1020" s="1395"/>
      <c r="O1020" s="1395"/>
      <c r="P1020" s="1395"/>
      <c r="Q1020" s="1395"/>
      <c r="R1020" s="1395"/>
      <c r="S1020" s="1395"/>
      <c r="T1020" s="1395"/>
      <c r="U1020" s="1395"/>
      <c r="V1020" s="1395"/>
      <c r="W1020" s="1395"/>
      <c r="X1020" s="1395"/>
      <c r="Y1020" s="1395"/>
      <c r="Z1020" s="1395"/>
      <c r="AA1020" s="1395"/>
      <c r="AB1020" s="1395"/>
      <c r="AC1020" s="1395"/>
      <c r="AD1020" s="1395"/>
      <c r="AE1020" s="1396"/>
      <c r="AF1020" s="79"/>
      <c r="AG1020" s="1538"/>
      <c r="AH1020" s="1539"/>
      <c r="AI1020" s="87"/>
      <c r="AJ1020" s="1367">
        <f>ROUND(IF(AND(AG1020="Yes",J1024&lt;&gt;"N/A",AF1023&lt;&gt;""),MIN(AF1023,(0.15*AJ992)),0),0)</f>
        <v>0</v>
      </c>
      <c r="AK1020" s="1368"/>
      <c r="AL1020" s="1368"/>
      <c r="AM1020" s="1368"/>
      <c r="AN1020" s="1368"/>
      <c r="AO1020" s="1368"/>
      <c r="AP1020" s="1368"/>
      <c r="AQ1020" s="1369"/>
      <c r="AR1020" s="68"/>
      <c r="AS1020" s="68"/>
      <c r="AT1020" s="68"/>
      <c r="AU1020" s="68"/>
      <c r="AV1020" s="68"/>
      <c r="AW1020" s="68"/>
      <c r="AX1020" s="3">
        <v>8</v>
      </c>
      <c r="AY1020" s="200">
        <f t="shared" si="53"/>
        <v>0</v>
      </c>
      <c r="AZ1020" s="1255">
        <v>0.01</v>
      </c>
    </row>
    <row r="1021" spans="1:52" ht="12.95" customHeight="1">
      <c r="A1021" s="14"/>
      <c r="B1021" s="81"/>
      <c r="C1021" s="84"/>
      <c r="D1021" s="1397"/>
      <c r="E1021" s="1398"/>
      <c r="F1021" s="1398"/>
      <c r="G1021" s="1398"/>
      <c r="H1021" s="1398"/>
      <c r="I1021" s="1398"/>
      <c r="J1021" s="1398"/>
      <c r="K1021" s="1398"/>
      <c r="L1021" s="1398"/>
      <c r="M1021" s="1398"/>
      <c r="N1021" s="1398"/>
      <c r="O1021" s="1398"/>
      <c r="P1021" s="1398"/>
      <c r="Q1021" s="1398"/>
      <c r="R1021" s="1398"/>
      <c r="S1021" s="1398"/>
      <c r="T1021" s="1398"/>
      <c r="U1021" s="1398"/>
      <c r="V1021" s="1398"/>
      <c r="W1021" s="1398"/>
      <c r="X1021" s="1398"/>
      <c r="Y1021" s="1398"/>
      <c r="Z1021" s="1398"/>
      <c r="AA1021" s="1398"/>
      <c r="AB1021" s="1398"/>
      <c r="AC1021" s="1398"/>
      <c r="AD1021" s="1398"/>
      <c r="AE1021" s="1399"/>
      <c r="AF1021" s="1596" t="str">
        <f>IF(AG1020="yes","Please Select Type and Enter Amount:","")</f>
        <v/>
      </c>
      <c r="AG1021" s="1597"/>
      <c r="AH1021" s="1597"/>
      <c r="AI1021" s="1598"/>
      <c r="AJ1021" s="1370"/>
      <c r="AK1021" s="1371"/>
      <c r="AL1021" s="1371"/>
      <c r="AM1021" s="1371"/>
      <c r="AN1021" s="1371"/>
      <c r="AO1021" s="1371"/>
      <c r="AP1021" s="1371"/>
      <c r="AQ1021" s="1372"/>
      <c r="AR1021" s="68"/>
      <c r="AS1021" s="68"/>
      <c r="AT1021" s="68"/>
      <c r="AU1021" s="68"/>
      <c r="AV1021" s="68"/>
      <c r="AW1021" s="68"/>
      <c r="AX1021" s="3">
        <v>9</v>
      </c>
      <c r="AY1021" s="200">
        <f t="shared" si="53"/>
        <v>0</v>
      </c>
      <c r="AZ1021" s="1255">
        <v>0.01</v>
      </c>
    </row>
    <row r="1022" spans="1:52" ht="12.95" customHeight="1">
      <c r="A1022" s="14"/>
      <c r="B1022" s="81"/>
      <c r="C1022" s="84"/>
      <c r="D1022" s="1563" t="s">
        <v>1293</v>
      </c>
      <c r="E1022" s="1564"/>
      <c r="F1022" s="1564"/>
      <c r="G1022" s="1564"/>
      <c r="H1022" s="1564"/>
      <c r="I1022" s="1564"/>
      <c r="J1022" s="1564"/>
      <c r="K1022" s="1564"/>
      <c r="L1022" s="1564"/>
      <c r="M1022" s="1564"/>
      <c r="N1022" s="1564"/>
      <c r="O1022" s="1564"/>
      <c r="P1022" s="1564"/>
      <c r="Q1022" s="1564"/>
      <c r="R1022" s="1564"/>
      <c r="S1022" s="1564"/>
      <c r="T1022" s="1564"/>
      <c r="U1022" s="1564"/>
      <c r="V1022" s="1564"/>
      <c r="W1022" s="1564"/>
      <c r="X1022" s="1564"/>
      <c r="Y1022" s="1564"/>
      <c r="Z1022" s="1564"/>
      <c r="AA1022" s="1564"/>
      <c r="AB1022" s="1564"/>
      <c r="AC1022" s="1564"/>
      <c r="AD1022" s="1564"/>
      <c r="AE1022" s="1565"/>
      <c r="AF1022" s="1596"/>
      <c r="AG1022" s="1597"/>
      <c r="AH1022" s="1597"/>
      <c r="AI1022" s="1598"/>
      <c r="AJ1022" s="1370"/>
      <c r="AK1022" s="1371"/>
      <c r="AL1022" s="1371"/>
      <c r="AM1022" s="1371"/>
      <c r="AN1022" s="1371"/>
      <c r="AO1022" s="1371"/>
      <c r="AP1022" s="1371"/>
      <c r="AQ1022" s="1372"/>
      <c r="AR1022" s="68"/>
      <c r="AS1022" s="68"/>
      <c r="AT1022" s="68"/>
      <c r="AU1022" s="68"/>
      <c r="AV1022" s="68"/>
      <c r="AW1022" s="68"/>
      <c r="AX1022" s="3">
        <v>10</v>
      </c>
      <c r="AY1022" s="200">
        <f t="shared" si="53"/>
        <v>0</v>
      </c>
      <c r="AZ1022" s="1255">
        <v>0.02</v>
      </c>
    </row>
    <row r="1023" spans="1:52" ht="12.95" customHeight="1">
      <c r="A1023" s="14"/>
      <c r="B1023" s="81"/>
      <c r="C1023" s="84"/>
      <c r="D1023" s="1563"/>
      <c r="E1023" s="1564"/>
      <c r="F1023" s="1564"/>
      <c r="G1023" s="1564"/>
      <c r="H1023" s="1564"/>
      <c r="I1023" s="1564"/>
      <c r="J1023" s="1564"/>
      <c r="K1023" s="1564"/>
      <c r="L1023" s="1564"/>
      <c r="M1023" s="1564"/>
      <c r="N1023" s="1564"/>
      <c r="O1023" s="1564"/>
      <c r="P1023" s="1564"/>
      <c r="Q1023" s="1564"/>
      <c r="R1023" s="1564"/>
      <c r="S1023" s="1564"/>
      <c r="T1023" s="1564"/>
      <c r="U1023" s="1564"/>
      <c r="V1023" s="1564"/>
      <c r="W1023" s="1564"/>
      <c r="X1023" s="1564"/>
      <c r="Y1023" s="1564"/>
      <c r="Z1023" s="1564"/>
      <c r="AA1023" s="1564"/>
      <c r="AB1023" s="1564"/>
      <c r="AC1023" s="1564"/>
      <c r="AD1023" s="1564"/>
      <c r="AE1023" s="1565"/>
      <c r="AF1023" s="1573"/>
      <c r="AG1023" s="1573"/>
      <c r="AH1023" s="1573"/>
      <c r="AI1023" s="1573"/>
      <c r="AJ1023" s="1370"/>
      <c r="AK1023" s="1371"/>
      <c r="AL1023" s="1371"/>
      <c r="AM1023" s="1371"/>
      <c r="AN1023" s="1371"/>
      <c r="AO1023" s="1371"/>
      <c r="AP1023" s="1371"/>
      <c r="AQ1023" s="1372"/>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577"/>
      <c r="K1024" s="1578"/>
      <c r="L1024" s="1578"/>
      <c r="M1024" s="1578"/>
      <c r="N1024" s="1578"/>
      <c r="O1024" s="1578"/>
      <c r="P1024" s="1578"/>
      <c r="Q1024" s="1578"/>
      <c r="R1024" s="1578"/>
      <c r="S1024" s="1578"/>
      <c r="T1024" s="1578"/>
      <c r="U1024" s="1578"/>
      <c r="V1024" s="1578"/>
      <c r="W1024" s="1578"/>
      <c r="X1024" s="1578"/>
      <c r="Y1024" s="1578"/>
      <c r="Z1024" s="1578"/>
      <c r="AA1024" s="1578"/>
      <c r="AB1024" s="1578"/>
      <c r="AC1024" s="1578"/>
      <c r="AD1024" s="1578"/>
      <c r="AE1024" s="1579"/>
      <c r="AF1024" s="1573"/>
      <c r="AG1024" s="1573"/>
      <c r="AH1024" s="1573"/>
      <c r="AI1024" s="1573"/>
      <c r="AJ1024" s="1373"/>
      <c r="AK1024" s="1374"/>
      <c r="AL1024" s="1374"/>
      <c r="AM1024" s="1374"/>
      <c r="AN1024" s="1374"/>
      <c r="AO1024" s="1374"/>
      <c r="AP1024" s="1374"/>
      <c r="AQ1024" s="1375"/>
      <c r="AR1024" s="68"/>
      <c r="AS1024" s="68"/>
      <c r="AT1024" s="68"/>
      <c r="AU1024" s="68"/>
      <c r="AV1024" s="68"/>
      <c r="AW1024" s="68"/>
      <c r="AX1024" s="1032" t="s">
        <v>2604</v>
      </c>
      <c r="AY1024" s="201">
        <f>IF(SUM(AY1015:AY1023)&lt;=0.2,SUM(AY1015:AY1023),0.2)</f>
        <v>6.0000000000000005E-2</v>
      </c>
    </row>
    <row r="1025" spans="1:57" ht="12.95" customHeight="1">
      <c r="A1025" s="14"/>
      <c r="B1025" s="79"/>
      <c r="C1025" s="80" t="s">
        <v>228</v>
      </c>
      <c r="D1025" s="1530" t="s">
        <v>1294</v>
      </c>
      <c r="E1025" s="1531"/>
      <c r="F1025" s="1531"/>
      <c r="G1025" s="1531"/>
      <c r="H1025" s="1531"/>
      <c r="I1025" s="1531"/>
      <c r="J1025" s="1531"/>
      <c r="K1025" s="1531"/>
      <c r="L1025" s="1531"/>
      <c r="M1025" s="1531"/>
      <c r="N1025" s="1531"/>
      <c r="O1025" s="1531"/>
      <c r="P1025" s="1531"/>
      <c r="Q1025" s="1531"/>
      <c r="R1025" s="1531"/>
      <c r="S1025" s="1531"/>
      <c r="T1025" s="1531"/>
      <c r="U1025" s="1531"/>
      <c r="V1025" s="1531"/>
      <c r="W1025" s="1531"/>
      <c r="X1025" s="1531"/>
      <c r="Y1025" s="1531"/>
      <c r="Z1025" s="1531"/>
      <c r="AA1025" s="1531"/>
      <c r="AB1025" s="1531"/>
      <c r="AC1025" s="1531"/>
      <c r="AD1025" s="1531"/>
      <c r="AE1025" s="1532"/>
      <c r="AF1025" s="79"/>
      <c r="AG1025" s="1538" t="s">
        <v>669</v>
      </c>
      <c r="AH1025" s="1539"/>
      <c r="AI1025" s="87"/>
      <c r="AJ1025" s="1367">
        <f>ROUND(IF(AG1025="Yes",AF1027,0),0)</f>
        <v>0</v>
      </c>
      <c r="AK1025" s="1368"/>
      <c r="AL1025" s="1368"/>
      <c r="AM1025" s="1368"/>
      <c r="AN1025" s="1368"/>
      <c r="AO1025" s="1368"/>
      <c r="AP1025" s="1368"/>
      <c r="AQ1025" s="1369"/>
      <c r="AR1025" s="68"/>
      <c r="AS1025" s="68"/>
      <c r="AT1025" s="68"/>
      <c r="AU1025" s="68"/>
      <c r="AV1025" s="68"/>
      <c r="AW1025" s="68"/>
      <c r="AX1025" s="68"/>
      <c r="AY1025" s="68"/>
    </row>
    <row r="1026" spans="1:57" ht="12.95" customHeight="1">
      <c r="A1026" s="14"/>
      <c r="B1026" s="73"/>
      <c r="C1026" s="74"/>
      <c r="D1026" s="1563" t="s">
        <v>1690</v>
      </c>
      <c r="E1026" s="1564"/>
      <c r="F1026" s="1564"/>
      <c r="G1026" s="1564"/>
      <c r="H1026" s="1564"/>
      <c r="I1026" s="1564"/>
      <c r="J1026" s="1564"/>
      <c r="K1026" s="1564"/>
      <c r="L1026" s="1564"/>
      <c r="M1026" s="1564"/>
      <c r="N1026" s="1564"/>
      <c r="O1026" s="1564"/>
      <c r="P1026" s="1564"/>
      <c r="Q1026" s="1564"/>
      <c r="R1026" s="1564"/>
      <c r="S1026" s="1564"/>
      <c r="T1026" s="1564"/>
      <c r="U1026" s="1564"/>
      <c r="V1026" s="1564"/>
      <c r="W1026" s="1564"/>
      <c r="X1026" s="1564"/>
      <c r="Y1026" s="1564"/>
      <c r="Z1026" s="1564"/>
      <c r="AA1026" s="1564"/>
      <c r="AB1026" s="1564"/>
      <c r="AC1026" s="1564"/>
      <c r="AD1026" s="1564"/>
      <c r="AE1026" s="1565"/>
      <c r="AF1026" s="1574" t="str">
        <f>IF(AG1025="yes","Enter Amount:","")</f>
        <v/>
      </c>
      <c r="AG1026" s="1575"/>
      <c r="AH1026" s="1575"/>
      <c r="AI1026" s="1576"/>
      <c r="AJ1026" s="1370"/>
      <c r="AK1026" s="1371"/>
      <c r="AL1026" s="1371"/>
      <c r="AM1026" s="1371"/>
      <c r="AN1026" s="1371"/>
      <c r="AO1026" s="1371"/>
      <c r="AP1026" s="1371"/>
      <c r="AQ1026" s="1372"/>
      <c r="AR1026" s="68"/>
      <c r="AS1026" s="68"/>
      <c r="AT1026" s="68"/>
      <c r="AU1026" s="68"/>
      <c r="AV1026" s="68"/>
      <c r="AW1026" s="68"/>
      <c r="AX1026" s="68"/>
      <c r="AY1026" s="68"/>
    </row>
    <row r="1027" spans="1:57" ht="12.95" customHeight="1">
      <c r="A1027" s="14"/>
      <c r="B1027" s="73"/>
      <c r="C1027" s="74"/>
      <c r="D1027" s="1563"/>
      <c r="E1027" s="1564"/>
      <c r="F1027" s="1564"/>
      <c r="G1027" s="1564"/>
      <c r="H1027" s="1564"/>
      <c r="I1027" s="1564"/>
      <c r="J1027" s="1564"/>
      <c r="K1027" s="1564"/>
      <c r="L1027" s="1564"/>
      <c r="M1027" s="1564"/>
      <c r="N1027" s="1564"/>
      <c r="O1027" s="1564"/>
      <c r="P1027" s="1564"/>
      <c r="Q1027" s="1564"/>
      <c r="R1027" s="1564"/>
      <c r="S1027" s="1564"/>
      <c r="T1027" s="1564"/>
      <c r="U1027" s="1564"/>
      <c r="V1027" s="1564"/>
      <c r="W1027" s="1564"/>
      <c r="X1027" s="1564"/>
      <c r="Y1027" s="1564"/>
      <c r="Z1027" s="1564"/>
      <c r="AA1027" s="1564"/>
      <c r="AB1027" s="1564"/>
      <c r="AC1027" s="1564"/>
      <c r="AD1027" s="1564"/>
      <c r="AE1027" s="1565"/>
      <c r="AF1027" s="1573"/>
      <c r="AG1027" s="1573"/>
      <c r="AH1027" s="1573"/>
      <c r="AI1027" s="1573"/>
      <c r="AJ1027" s="1370"/>
      <c r="AK1027" s="1371"/>
      <c r="AL1027" s="1371"/>
      <c r="AM1027" s="1371"/>
      <c r="AN1027" s="1371"/>
      <c r="AO1027" s="1371"/>
      <c r="AP1027" s="1371"/>
      <c r="AQ1027" s="1372"/>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66"/>
      <c r="E1028" s="1567"/>
      <c r="F1028" s="1567"/>
      <c r="G1028" s="1567"/>
      <c r="H1028" s="1567"/>
      <c r="I1028" s="1567"/>
      <c r="J1028" s="1567"/>
      <c r="K1028" s="1567"/>
      <c r="L1028" s="1567"/>
      <c r="M1028" s="1567"/>
      <c r="N1028" s="1567"/>
      <c r="O1028" s="1567"/>
      <c r="P1028" s="1567"/>
      <c r="Q1028" s="1567"/>
      <c r="R1028" s="1567"/>
      <c r="S1028" s="1567"/>
      <c r="T1028" s="1567"/>
      <c r="U1028" s="1567"/>
      <c r="V1028" s="1567"/>
      <c r="W1028" s="1567"/>
      <c r="X1028" s="1567"/>
      <c r="Y1028" s="1567"/>
      <c r="Z1028" s="1567"/>
      <c r="AA1028" s="1567"/>
      <c r="AB1028" s="1567"/>
      <c r="AC1028" s="1567"/>
      <c r="AD1028" s="1567"/>
      <c r="AE1028" s="1568"/>
      <c r="AF1028" s="1573"/>
      <c r="AG1028" s="1573"/>
      <c r="AH1028" s="1573"/>
      <c r="AI1028" s="1573"/>
      <c r="AJ1028" s="1373"/>
      <c r="AK1028" s="1374"/>
      <c r="AL1028" s="1374"/>
      <c r="AM1028" s="1374"/>
      <c r="AN1028" s="1374"/>
      <c r="AO1028" s="1374"/>
      <c r="AP1028" s="1374"/>
      <c r="AQ1028" s="1375"/>
      <c r="AR1028" s="68"/>
      <c r="AS1028" s="68"/>
      <c r="AT1028" s="68"/>
      <c r="AU1028" s="68"/>
      <c r="AV1028" s="68"/>
      <c r="AW1028" s="68"/>
      <c r="AX1028" s="68"/>
      <c r="AY1028" s="68"/>
    </row>
    <row r="1029" spans="1:57" ht="12.95" customHeight="1">
      <c r="A1029" s="14"/>
      <c r="B1029" s="79"/>
      <c r="C1029" s="80" t="s">
        <v>233</v>
      </c>
      <c r="D1029" s="1588" t="s">
        <v>1295</v>
      </c>
      <c r="E1029" s="1589"/>
      <c r="F1029" s="1589"/>
      <c r="G1029" s="1589"/>
      <c r="H1029" s="1589"/>
      <c r="I1029" s="1589"/>
      <c r="J1029" s="1589"/>
      <c r="K1029" s="1589"/>
      <c r="L1029" s="1589"/>
      <c r="M1029" s="1589"/>
      <c r="N1029" s="1589"/>
      <c r="O1029" s="1589"/>
      <c r="P1029" s="1589"/>
      <c r="Q1029" s="1589"/>
      <c r="R1029" s="1589"/>
      <c r="S1029" s="1589"/>
      <c r="T1029" s="1589"/>
      <c r="U1029" s="1589"/>
      <c r="V1029" s="1589"/>
      <c r="W1029" s="1589"/>
      <c r="X1029" s="1589"/>
      <c r="Y1029" s="1589"/>
      <c r="Z1029" s="1589"/>
      <c r="AA1029" s="1589"/>
      <c r="AB1029" s="1589"/>
      <c r="AC1029" s="1589"/>
      <c r="AD1029" s="1589"/>
      <c r="AE1029" s="1590"/>
      <c r="AF1029" s="79"/>
      <c r="AG1029" s="1538" t="s">
        <v>669</v>
      </c>
      <c r="AH1029" s="1539"/>
      <c r="AI1029" s="87"/>
      <c r="AJ1029" s="1367">
        <f>ROUND(IF(AG1029="yes",(AJ992*0.1),0),0)</f>
        <v>0</v>
      </c>
      <c r="AK1029" s="1368"/>
      <c r="AL1029" s="1368"/>
      <c r="AM1029" s="1368"/>
      <c r="AN1029" s="1368"/>
      <c r="AO1029" s="1368"/>
      <c r="AP1029" s="1368"/>
      <c r="AQ1029" s="1369"/>
      <c r="AR1029" s="68"/>
      <c r="AS1029" s="68"/>
      <c r="AT1029" s="68"/>
      <c r="AU1029" s="68"/>
      <c r="AV1029" s="68"/>
      <c r="AW1029" s="68"/>
      <c r="AX1029" s="68"/>
      <c r="AY1029" s="68"/>
    </row>
    <row r="1030" spans="1:57" ht="12.95" customHeight="1">
      <c r="A1030" s="14"/>
      <c r="B1030" s="73"/>
      <c r="C1030" s="74"/>
      <c r="D1030" s="1563" t="s">
        <v>1296</v>
      </c>
      <c r="E1030" s="1564"/>
      <c r="F1030" s="1564"/>
      <c r="G1030" s="1564"/>
      <c r="H1030" s="1564"/>
      <c r="I1030" s="1564"/>
      <c r="J1030" s="1564"/>
      <c r="K1030" s="1564"/>
      <c r="L1030" s="1564"/>
      <c r="M1030" s="1564"/>
      <c r="N1030" s="1564"/>
      <c r="O1030" s="1564"/>
      <c r="P1030" s="1564"/>
      <c r="Q1030" s="1564"/>
      <c r="R1030" s="1564"/>
      <c r="S1030" s="1564"/>
      <c r="T1030" s="1564"/>
      <c r="U1030" s="1564"/>
      <c r="V1030" s="1564"/>
      <c r="W1030" s="1564"/>
      <c r="X1030" s="1564"/>
      <c r="Y1030" s="1564"/>
      <c r="Z1030" s="1564"/>
      <c r="AA1030" s="1564"/>
      <c r="AB1030" s="1564"/>
      <c r="AC1030" s="1564"/>
      <c r="AD1030" s="1564"/>
      <c r="AE1030" s="1565"/>
      <c r="AF1030" s="73"/>
      <c r="AG1030" s="14"/>
      <c r="AH1030" s="14"/>
      <c r="AI1030" s="83"/>
      <c r="AJ1030" s="1370"/>
      <c r="AK1030" s="1371"/>
      <c r="AL1030" s="1371"/>
      <c r="AM1030" s="1371"/>
      <c r="AN1030" s="1371"/>
      <c r="AO1030" s="1371"/>
      <c r="AP1030" s="1371"/>
      <c r="AQ1030" s="1372"/>
      <c r="AR1030" s="68"/>
      <c r="AS1030" s="68"/>
      <c r="AT1030" s="68"/>
      <c r="AU1030" s="68"/>
      <c r="AV1030" s="68"/>
      <c r="AW1030" s="68"/>
      <c r="AX1030" s="68"/>
      <c r="AY1030" s="68"/>
    </row>
    <row r="1031" spans="1:57" ht="12.95" customHeight="1">
      <c r="A1031" s="14"/>
      <c r="B1031" s="77"/>
      <c r="C1031" s="74"/>
      <c r="D1031" s="1566"/>
      <c r="E1031" s="1567"/>
      <c r="F1031" s="1567"/>
      <c r="G1031" s="1567"/>
      <c r="H1031" s="1567"/>
      <c r="I1031" s="1567"/>
      <c r="J1031" s="1567"/>
      <c r="K1031" s="1567"/>
      <c r="L1031" s="1567"/>
      <c r="M1031" s="1567"/>
      <c r="N1031" s="1567"/>
      <c r="O1031" s="1567"/>
      <c r="P1031" s="1567"/>
      <c r="Q1031" s="1567"/>
      <c r="R1031" s="1567"/>
      <c r="S1031" s="1567"/>
      <c r="T1031" s="1567"/>
      <c r="U1031" s="1567"/>
      <c r="V1031" s="1567"/>
      <c r="W1031" s="1567"/>
      <c r="X1031" s="1567"/>
      <c r="Y1031" s="1567"/>
      <c r="Z1031" s="1567"/>
      <c r="AA1031" s="1567"/>
      <c r="AB1031" s="1567"/>
      <c r="AC1031" s="1567"/>
      <c r="AD1031" s="1567"/>
      <c r="AE1031" s="1568"/>
      <c r="AF1031" s="73"/>
      <c r="AG1031" s="14"/>
      <c r="AH1031" s="14"/>
      <c r="AI1031" s="83"/>
      <c r="AJ1031" s="1373"/>
      <c r="AK1031" s="1374"/>
      <c r="AL1031" s="1374"/>
      <c r="AM1031" s="1374"/>
      <c r="AN1031" s="1374"/>
      <c r="AO1031" s="1374"/>
      <c r="AP1031" s="1374"/>
      <c r="AQ1031" s="1375"/>
      <c r="AR1031" s="68"/>
      <c r="AS1031" s="68"/>
      <c r="AT1031" s="68"/>
      <c r="AU1031" s="68"/>
      <c r="AV1031" s="68"/>
      <c r="AW1031" s="68"/>
      <c r="AX1031" s="68"/>
      <c r="AY1031" s="68"/>
    </row>
    <row r="1032" spans="1:57" ht="12.95" customHeight="1">
      <c r="A1032" s="14"/>
      <c r="B1032" s="73"/>
      <c r="C1032" s="339" t="s">
        <v>687</v>
      </c>
      <c r="D1032" s="1530" t="s">
        <v>1686</v>
      </c>
      <c r="E1032" s="1531"/>
      <c r="F1032" s="1531"/>
      <c r="G1032" s="1531"/>
      <c r="H1032" s="1531"/>
      <c r="I1032" s="1531"/>
      <c r="J1032" s="1531"/>
      <c r="K1032" s="1531"/>
      <c r="L1032" s="1531"/>
      <c r="M1032" s="1531"/>
      <c r="N1032" s="1531"/>
      <c r="O1032" s="1531"/>
      <c r="P1032" s="1531"/>
      <c r="Q1032" s="1531"/>
      <c r="R1032" s="1531"/>
      <c r="S1032" s="1531"/>
      <c r="T1032" s="1531"/>
      <c r="U1032" s="1531"/>
      <c r="V1032" s="1531"/>
      <c r="W1032" s="1531"/>
      <c r="X1032" s="1531"/>
      <c r="Y1032" s="1531"/>
      <c r="Z1032" s="1531"/>
      <c r="AA1032" s="1531"/>
      <c r="AB1032" s="1531"/>
      <c r="AC1032" s="1531"/>
      <c r="AD1032" s="1531"/>
      <c r="AE1032" s="1532"/>
      <c r="AF1032" s="79"/>
      <c r="AG1032" s="1538" t="s">
        <v>669</v>
      </c>
      <c r="AH1032" s="1539"/>
      <c r="AI1032" s="87"/>
      <c r="AJ1032" s="1367">
        <f>ROUND(IF(AG1032="yes",(AJ992*0.15),0),0)</f>
        <v>0</v>
      </c>
      <c r="AK1032" s="1368"/>
      <c r="AL1032" s="1368"/>
      <c r="AM1032" s="1368"/>
      <c r="AN1032" s="1368"/>
      <c r="AO1032" s="1368"/>
      <c r="AP1032" s="1368"/>
      <c r="AQ1032" s="1369"/>
      <c r="AR1032" s="68"/>
      <c r="AS1032" s="68"/>
      <c r="AT1032" s="68"/>
      <c r="AU1032" s="68"/>
      <c r="AV1032" s="68"/>
      <c r="AW1032" s="68"/>
      <c r="AX1032" s="68"/>
      <c r="AY1032" s="68"/>
    </row>
    <row r="1033" spans="1:57" ht="12.95" customHeight="1">
      <c r="A1033" s="14"/>
      <c r="B1033" s="73"/>
      <c r="C1033" s="74"/>
      <c r="D1033" s="1558" t="s">
        <v>1687</v>
      </c>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559"/>
      <c r="AF1033" s="915"/>
      <c r="AG1033" s="916"/>
      <c r="AH1033" s="916"/>
      <c r="AI1033" s="917"/>
      <c r="AJ1033" s="1370"/>
      <c r="AK1033" s="1371"/>
      <c r="AL1033" s="1371"/>
      <c r="AM1033" s="1371"/>
      <c r="AN1033" s="1371"/>
      <c r="AO1033" s="1371"/>
      <c r="AP1033" s="1371"/>
      <c r="AQ1033" s="1372"/>
      <c r="AR1033" s="68"/>
      <c r="AS1033" s="68"/>
      <c r="AT1033" s="68"/>
      <c r="AU1033" s="68"/>
      <c r="AV1033" s="68"/>
      <c r="AW1033" s="68"/>
      <c r="AX1033" s="68"/>
      <c r="AY1033" s="68"/>
    </row>
    <row r="1034" spans="1:57" ht="12.95" customHeight="1">
      <c r="A1034" s="14"/>
      <c r="B1034" s="73"/>
      <c r="C1034" s="74"/>
      <c r="D1034" s="1558"/>
      <c r="E1034" s="1269"/>
      <c r="F1034" s="1269"/>
      <c r="G1034" s="1269"/>
      <c r="H1034" s="1269"/>
      <c r="I1034" s="1269"/>
      <c r="J1034" s="1269"/>
      <c r="K1034" s="1269"/>
      <c r="L1034" s="1269"/>
      <c r="M1034" s="1269"/>
      <c r="N1034" s="1269"/>
      <c r="O1034" s="1269"/>
      <c r="P1034" s="1269"/>
      <c r="Q1034" s="1269"/>
      <c r="R1034" s="1269"/>
      <c r="S1034" s="1269"/>
      <c r="T1034" s="1269"/>
      <c r="U1034" s="1269"/>
      <c r="V1034" s="1269"/>
      <c r="W1034" s="1269"/>
      <c r="X1034" s="1269"/>
      <c r="Y1034" s="1269"/>
      <c r="Z1034" s="1269"/>
      <c r="AA1034" s="1269"/>
      <c r="AB1034" s="1269"/>
      <c r="AC1034" s="1269"/>
      <c r="AD1034" s="1269"/>
      <c r="AE1034" s="1559"/>
      <c r="AF1034" s="915"/>
      <c r="AG1034" s="916"/>
      <c r="AH1034" s="916"/>
      <c r="AI1034" s="917"/>
      <c r="AJ1034" s="1370"/>
      <c r="AK1034" s="1371"/>
      <c r="AL1034" s="1371"/>
      <c r="AM1034" s="1371"/>
      <c r="AN1034" s="1371"/>
      <c r="AO1034" s="1371"/>
      <c r="AP1034" s="1371"/>
      <c r="AQ1034" s="1372"/>
      <c r="AR1034" s="68"/>
      <c r="AS1034" s="68"/>
      <c r="AT1034" s="68"/>
      <c r="AU1034" s="68"/>
      <c r="AV1034" s="68"/>
      <c r="AW1034" s="68"/>
      <c r="AX1034" s="68"/>
      <c r="AY1034" s="68"/>
    </row>
    <row r="1035" spans="1:57" ht="12.95" customHeight="1">
      <c r="A1035" s="14"/>
      <c r="B1035" s="73"/>
      <c r="C1035" s="74"/>
      <c r="D1035" s="1560"/>
      <c r="E1035" s="1561"/>
      <c r="F1035" s="1561"/>
      <c r="G1035" s="1561"/>
      <c r="H1035" s="1561"/>
      <c r="I1035" s="1561"/>
      <c r="J1035" s="1561"/>
      <c r="K1035" s="1561"/>
      <c r="L1035" s="1561"/>
      <c r="M1035" s="1561"/>
      <c r="N1035" s="1561"/>
      <c r="O1035" s="1561"/>
      <c r="P1035" s="1561"/>
      <c r="Q1035" s="1561"/>
      <c r="R1035" s="1561"/>
      <c r="S1035" s="1561"/>
      <c r="T1035" s="1561"/>
      <c r="U1035" s="1561"/>
      <c r="V1035" s="1561"/>
      <c r="W1035" s="1561"/>
      <c r="X1035" s="1561"/>
      <c r="Y1035" s="1561"/>
      <c r="Z1035" s="1561"/>
      <c r="AA1035" s="1561"/>
      <c r="AB1035" s="1561"/>
      <c r="AC1035" s="1561"/>
      <c r="AD1035" s="1561"/>
      <c r="AE1035" s="1562"/>
      <c r="AF1035" s="918"/>
      <c r="AG1035" s="919"/>
      <c r="AH1035" s="919"/>
      <c r="AI1035" s="920"/>
      <c r="AJ1035" s="1373"/>
      <c r="AK1035" s="1374"/>
      <c r="AL1035" s="1374"/>
      <c r="AM1035" s="1374"/>
      <c r="AN1035" s="1374"/>
      <c r="AO1035" s="1374"/>
      <c r="AP1035" s="1374"/>
      <c r="AQ1035" s="1375"/>
      <c r="AR1035" s="68"/>
      <c r="AS1035" s="68"/>
      <c r="AT1035" s="68"/>
      <c r="AU1035" s="68"/>
      <c r="AV1035" s="68"/>
      <c r="AW1035" s="68"/>
      <c r="AX1035" s="68"/>
      <c r="AY1035" s="68"/>
    </row>
    <row r="1036" spans="1:57" ht="12.95" customHeight="1">
      <c r="A1036" s="14"/>
      <c r="B1036" s="73"/>
      <c r="C1036" s="339" t="s">
        <v>687</v>
      </c>
      <c r="D1036" s="1588" t="s">
        <v>1688</v>
      </c>
      <c r="E1036" s="1589"/>
      <c r="F1036" s="1589"/>
      <c r="G1036" s="1589"/>
      <c r="H1036" s="1589"/>
      <c r="I1036" s="1589"/>
      <c r="J1036" s="1589"/>
      <c r="K1036" s="1589"/>
      <c r="L1036" s="1589"/>
      <c r="M1036" s="1589"/>
      <c r="N1036" s="1589"/>
      <c r="O1036" s="1589"/>
      <c r="P1036" s="1589"/>
      <c r="Q1036" s="1589"/>
      <c r="R1036" s="1589"/>
      <c r="S1036" s="1589"/>
      <c r="T1036" s="1589"/>
      <c r="U1036" s="1589"/>
      <c r="V1036" s="1589"/>
      <c r="W1036" s="1589"/>
      <c r="X1036" s="1589"/>
      <c r="Y1036" s="1589"/>
      <c r="Z1036" s="1589"/>
      <c r="AA1036" s="1589"/>
      <c r="AB1036" s="1589"/>
      <c r="AC1036" s="1589"/>
      <c r="AD1036" s="1589"/>
      <c r="AE1036" s="1590"/>
      <c r="AF1036" s="73"/>
      <c r="AG1036" s="1594" t="s">
        <v>669</v>
      </c>
      <c r="AH1036" s="1595"/>
      <c r="AI1036" s="83"/>
      <c r="AJ1036" s="1367">
        <f>ROUND(IF(AND(AG1036="yes",AJ1032=0),(AJ992*0.1),0),0)</f>
        <v>0</v>
      </c>
      <c r="AK1036" s="1368"/>
      <c r="AL1036" s="1368"/>
      <c r="AM1036" s="1368"/>
      <c r="AN1036" s="1368"/>
      <c r="AO1036" s="1368"/>
      <c r="AP1036" s="1368"/>
      <c r="AQ1036" s="1369"/>
      <c r="AR1036" s="68"/>
      <c r="AS1036" s="68"/>
      <c r="AT1036" s="68"/>
      <c r="AU1036" s="68"/>
      <c r="AV1036" s="68"/>
      <c r="AW1036" s="68"/>
      <c r="AX1036" s="68"/>
      <c r="AY1036" s="68"/>
    </row>
    <row r="1037" spans="1:57" ht="12.95" customHeight="1">
      <c r="A1037" s="14"/>
      <c r="B1037" s="73"/>
      <c r="C1037" s="74"/>
      <c r="D1037" s="1558" t="s">
        <v>1689</v>
      </c>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559"/>
      <c r="AF1037" s="73"/>
      <c r="AG1037" s="14"/>
      <c r="AH1037" s="14"/>
      <c r="AI1037" s="83"/>
      <c r="AJ1037" s="1370"/>
      <c r="AK1037" s="1371"/>
      <c r="AL1037" s="1371"/>
      <c r="AM1037" s="1371"/>
      <c r="AN1037" s="1371"/>
      <c r="AO1037" s="1371"/>
      <c r="AP1037" s="1371"/>
      <c r="AQ1037" s="1372"/>
      <c r="AR1037" s="68"/>
      <c r="AS1037" s="68"/>
      <c r="AT1037" s="68"/>
      <c r="AU1037" s="68"/>
      <c r="AV1037" s="68"/>
      <c r="AW1037" s="68"/>
      <c r="AX1037" s="68"/>
      <c r="AY1037" s="68"/>
    </row>
    <row r="1038" spans="1:57" ht="12.95" customHeight="1">
      <c r="A1038" s="14"/>
      <c r="B1038" s="73"/>
      <c r="C1038" s="74"/>
      <c r="D1038" s="1558"/>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559"/>
      <c r="AF1038" s="73"/>
      <c r="AG1038" s="14"/>
      <c r="AH1038" s="14"/>
      <c r="AI1038" s="83"/>
      <c r="AJ1038" s="1370"/>
      <c r="AK1038" s="1371"/>
      <c r="AL1038" s="1371"/>
      <c r="AM1038" s="1371"/>
      <c r="AN1038" s="1371"/>
      <c r="AO1038" s="1371"/>
      <c r="AP1038" s="1371"/>
      <c r="AQ1038" s="1372"/>
      <c r="AR1038" s="68"/>
      <c r="AS1038" s="68"/>
      <c r="AT1038" s="68"/>
      <c r="AU1038" s="68"/>
      <c r="AV1038" s="68"/>
      <c r="AW1038" s="68"/>
      <c r="AX1038" s="68"/>
      <c r="AY1038" s="68"/>
      <c r="BA1038" s="1183">
        <f>IFERROR(('Sources and Uses Budget'!$C$17+'Sources and Uses Budget'!$C$18+'Sources and Uses Budget'!$C$22)/$AG$437,0)</f>
        <v>0</v>
      </c>
      <c r="BB1038" s="1183" t="s">
        <v>2487</v>
      </c>
      <c r="BC1038" s="1183"/>
      <c r="BD1038" s="1183"/>
      <c r="BE1038" s="1183"/>
    </row>
    <row r="1039" spans="1:57" ht="12.95" customHeight="1">
      <c r="A1039" s="14"/>
      <c r="B1039" s="73"/>
      <c r="C1039" s="74"/>
      <c r="D1039" s="1558"/>
      <c r="E1039" s="1269"/>
      <c r="F1039" s="1269"/>
      <c r="G1039" s="1269"/>
      <c r="H1039" s="1269"/>
      <c r="I1039" s="1269"/>
      <c r="J1039" s="1269"/>
      <c r="K1039" s="1269"/>
      <c r="L1039" s="1269"/>
      <c r="M1039" s="1269"/>
      <c r="N1039" s="1269"/>
      <c r="O1039" s="1269"/>
      <c r="P1039" s="1269"/>
      <c r="Q1039" s="1269"/>
      <c r="R1039" s="1269"/>
      <c r="S1039" s="1269"/>
      <c r="T1039" s="1269"/>
      <c r="U1039" s="1269"/>
      <c r="V1039" s="1269"/>
      <c r="W1039" s="1269"/>
      <c r="X1039" s="1269"/>
      <c r="Y1039" s="1269"/>
      <c r="Z1039" s="1269"/>
      <c r="AA1039" s="1269"/>
      <c r="AB1039" s="1269"/>
      <c r="AC1039" s="1269"/>
      <c r="AD1039" s="1269"/>
      <c r="AE1039" s="1559"/>
      <c r="AF1039" s="73"/>
      <c r="AG1039" s="14"/>
      <c r="AH1039" s="14"/>
      <c r="AI1039" s="83"/>
      <c r="AJ1039" s="1370"/>
      <c r="AK1039" s="1371"/>
      <c r="AL1039" s="1371"/>
      <c r="AM1039" s="1371"/>
      <c r="AN1039" s="1371"/>
      <c r="AO1039" s="1371"/>
      <c r="AP1039" s="1371"/>
      <c r="AQ1039" s="1372"/>
      <c r="AR1039" s="68"/>
      <c r="AS1039" s="68"/>
      <c r="AT1039" s="68"/>
      <c r="AU1039" s="68"/>
      <c r="AV1039" s="68"/>
      <c r="AW1039" s="68"/>
      <c r="AX1039" s="68"/>
      <c r="AY1039" s="68"/>
      <c r="BA1039">
        <f>IFERROR((($CI$753+$CM$753)/$AG$440),0)</f>
        <v>0.50806451612903225</v>
      </c>
      <c r="BB1039" s="3" t="s">
        <v>2491</v>
      </c>
    </row>
    <row r="1040" spans="1:57" ht="12.95" customHeight="1">
      <c r="A1040" s="14"/>
      <c r="B1040" s="73"/>
      <c r="C1040" s="74"/>
      <c r="D1040" s="1560"/>
      <c r="E1040" s="1561"/>
      <c r="F1040" s="1561"/>
      <c r="G1040" s="1561"/>
      <c r="H1040" s="1561"/>
      <c r="I1040" s="1561"/>
      <c r="J1040" s="1561"/>
      <c r="K1040" s="1561"/>
      <c r="L1040" s="1561"/>
      <c r="M1040" s="1561"/>
      <c r="N1040" s="1561"/>
      <c r="O1040" s="1561"/>
      <c r="P1040" s="1561"/>
      <c r="Q1040" s="1561"/>
      <c r="R1040" s="1561"/>
      <c r="S1040" s="1561"/>
      <c r="T1040" s="1561"/>
      <c r="U1040" s="1561"/>
      <c r="V1040" s="1561"/>
      <c r="W1040" s="1561"/>
      <c r="X1040" s="1561"/>
      <c r="Y1040" s="1561"/>
      <c r="Z1040" s="1561"/>
      <c r="AA1040" s="1561"/>
      <c r="AB1040" s="1561"/>
      <c r="AC1040" s="1561"/>
      <c r="AD1040" s="1561"/>
      <c r="AE1040" s="1562"/>
      <c r="AF1040" s="73"/>
      <c r="AG1040" s="14"/>
      <c r="AH1040" s="14"/>
      <c r="AI1040" s="83"/>
      <c r="AJ1040" s="1370"/>
      <c r="AK1040" s="1371"/>
      <c r="AL1040" s="1371"/>
      <c r="AM1040" s="1371"/>
      <c r="AN1040" s="1371"/>
      <c r="AO1040" s="1371"/>
      <c r="AP1040" s="1371"/>
      <c r="AQ1040" s="1372"/>
      <c r="AR1040" s="68"/>
      <c r="AS1040" s="68"/>
      <c r="AT1040" s="68"/>
      <c r="AU1040" s="68"/>
      <c r="AV1040" s="68"/>
      <c r="AW1040" s="68"/>
      <c r="AX1040" s="68"/>
      <c r="AY1040" s="68"/>
      <c r="BA1040" t="b">
        <f>'Points System'!AJ164="Yes"</f>
        <v>0</v>
      </c>
      <c r="BB1040" s="3" t="s">
        <v>2488</v>
      </c>
    </row>
    <row r="1041" spans="1:56" ht="12.95" customHeight="1">
      <c r="A1041" s="14"/>
      <c r="B1041" s="79"/>
      <c r="C1041" s="131" t="s">
        <v>1010</v>
      </c>
      <c r="D1041" s="1530" t="s">
        <v>1297</v>
      </c>
      <c r="E1041" s="1531"/>
      <c r="F1041" s="1531"/>
      <c r="G1041" s="1531"/>
      <c r="H1041" s="1531"/>
      <c r="I1041" s="1531"/>
      <c r="J1041" s="1531"/>
      <c r="K1041" s="1531"/>
      <c r="L1041" s="1531"/>
      <c r="M1041" s="1531"/>
      <c r="N1041" s="1531"/>
      <c r="O1041" s="1531"/>
      <c r="P1041" s="1531"/>
      <c r="Q1041" s="1531"/>
      <c r="R1041" s="1531"/>
      <c r="S1041" s="1531"/>
      <c r="T1041" s="1531"/>
      <c r="U1041" s="1531"/>
      <c r="V1041" s="1531"/>
      <c r="W1041" s="1531"/>
      <c r="X1041" s="1531"/>
      <c r="Y1041" s="1531"/>
      <c r="Z1041" s="1531"/>
      <c r="AA1041" s="1531"/>
      <c r="AB1041" s="1531"/>
      <c r="AC1041" s="1531"/>
      <c r="AD1041" s="1531"/>
      <c r="AE1041" s="1532"/>
      <c r="AF1041" s="79"/>
      <c r="AG1041" s="1538" t="s">
        <v>545</v>
      </c>
      <c r="AH1041" s="1539"/>
      <c r="AI1041" s="87"/>
      <c r="AJ1041" s="1367">
        <f>ROUND(IF(AG1041="yes",(AJ992*0.1),0),0)</f>
        <v>6747603</v>
      </c>
      <c r="AK1041" s="1368"/>
      <c r="AL1041" s="1368"/>
      <c r="AM1041" s="1368"/>
      <c r="AN1041" s="1368"/>
      <c r="AO1041" s="1368"/>
      <c r="AP1041" s="1368"/>
      <c r="AQ1041" s="1369"/>
      <c r="AR1041" s="68"/>
      <c r="AS1041" s="68"/>
      <c r="AT1041" s="68"/>
      <c r="AU1041" s="68"/>
      <c r="AV1041" s="68"/>
      <c r="AW1041" s="68"/>
      <c r="AX1041" s="68"/>
      <c r="AY1041" s="68"/>
      <c r="BA1041">
        <f>Q212</f>
        <v>0</v>
      </c>
      <c r="BB1041" s="3" t="s">
        <v>2489</v>
      </c>
    </row>
    <row r="1042" spans="1:56" ht="12.95" customHeight="1">
      <c r="A1042" s="14"/>
      <c r="B1042" s="73"/>
      <c r="C1042" s="74"/>
      <c r="D1042" s="1563" t="s">
        <v>2145</v>
      </c>
      <c r="E1042" s="1564"/>
      <c r="F1042" s="1564"/>
      <c r="G1042" s="1564"/>
      <c r="H1042" s="1564"/>
      <c r="I1042" s="1564"/>
      <c r="J1042" s="1564"/>
      <c r="K1042" s="1564"/>
      <c r="L1042" s="1564"/>
      <c r="M1042" s="1564"/>
      <c r="N1042" s="1564"/>
      <c r="O1042" s="1564"/>
      <c r="P1042" s="1564"/>
      <c r="Q1042" s="1564"/>
      <c r="R1042" s="1564"/>
      <c r="S1042" s="1564"/>
      <c r="T1042" s="1564"/>
      <c r="U1042" s="1564"/>
      <c r="V1042" s="1564"/>
      <c r="W1042" s="1564"/>
      <c r="X1042" s="1564"/>
      <c r="Y1042" s="1564"/>
      <c r="Z1042" s="1564"/>
      <c r="AA1042" s="1564"/>
      <c r="AB1042" s="1564"/>
      <c r="AC1042" s="1564"/>
      <c r="AD1042" s="1564"/>
      <c r="AE1042" s="1565"/>
      <c r="AF1042" s="73"/>
      <c r="AG1042" s="14"/>
      <c r="AH1042" s="14"/>
      <c r="AI1042" s="83"/>
      <c r="AJ1042" s="1370"/>
      <c r="AK1042" s="1371"/>
      <c r="AL1042" s="1371"/>
      <c r="AM1042" s="1371"/>
      <c r="AN1042" s="1371"/>
      <c r="AO1042" s="1371"/>
      <c r="AP1042" s="1371"/>
      <c r="AQ1042" s="1372"/>
      <c r="AR1042" s="68"/>
      <c r="AS1042" s="68"/>
      <c r="AT1042" s="68"/>
      <c r="AU1042" s="68"/>
      <c r="AV1042" s="68"/>
      <c r="AW1042" s="68"/>
      <c r="AX1042" s="68"/>
      <c r="AY1042" s="68"/>
      <c r="BA1042" s="1184">
        <f>T212</f>
        <v>0</v>
      </c>
      <c r="BB1042" s="3" t="s">
        <v>2490</v>
      </c>
    </row>
    <row r="1043" spans="1:56" ht="12.95" customHeight="1">
      <c r="A1043" s="14"/>
      <c r="B1043" s="73"/>
      <c r="C1043" s="74"/>
      <c r="D1043" s="1563"/>
      <c r="E1043" s="1564"/>
      <c r="F1043" s="1564"/>
      <c r="G1043" s="1564"/>
      <c r="H1043" s="1564"/>
      <c r="I1043" s="1564"/>
      <c r="J1043" s="1564"/>
      <c r="K1043" s="1564"/>
      <c r="L1043" s="1564"/>
      <c r="M1043" s="1564"/>
      <c r="N1043" s="1564"/>
      <c r="O1043" s="1564"/>
      <c r="P1043" s="1564"/>
      <c r="Q1043" s="1564"/>
      <c r="R1043" s="1564"/>
      <c r="S1043" s="1564"/>
      <c r="T1043" s="1564"/>
      <c r="U1043" s="1564"/>
      <c r="V1043" s="1564"/>
      <c r="W1043" s="1564"/>
      <c r="X1043" s="1564"/>
      <c r="Y1043" s="1564"/>
      <c r="Z1043" s="1564"/>
      <c r="AA1043" s="1564"/>
      <c r="AB1043" s="1564"/>
      <c r="AC1043" s="1564"/>
      <c r="AD1043" s="1564"/>
      <c r="AE1043" s="1565"/>
      <c r="AF1043" s="73"/>
      <c r="AG1043" s="14"/>
      <c r="AH1043" s="14"/>
      <c r="AI1043" s="83"/>
      <c r="AJ1043" s="1370"/>
      <c r="AK1043" s="1371"/>
      <c r="AL1043" s="1371"/>
      <c r="AM1043" s="1371"/>
      <c r="AN1043" s="1371"/>
      <c r="AO1043" s="1371"/>
      <c r="AP1043" s="1371"/>
      <c r="AQ1043" s="1372"/>
      <c r="AR1043" s="68"/>
      <c r="AS1043" s="68"/>
      <c r="AT1043" s="68"/>
      <c r="AU1043" s="68"/>
      <c r="AV1043" s="68"/>
      <c r="AW1043" s="68"/>
      <c r="AX1043" s="68"/>
      <c r="AY1043" s="68"/>
    </row>
    <row r="1044" spans="1:56" ht="12.95" customHeight="1">
      <c r="A1044" s="14"/>
      <c r="B1044" s="73"/>
      <c r="C1044" s="74"/>
      <c r="D1044" s="1566"/>
      <c r="E1044" s="1567"/>
      <c r="F1044" s="1567"/>
      <c r="G1044" s="1567"/>
      <c r="H1044" s="1567"/>
      <c r="I1044" s="1567"/>
      <c r="J1044" s="1567"/>
      <c r="K1044" s="1567"/>
      <c r="L1044" s="1567"/>
      <c r="M1044" s="1567"/>
      <c r="N1044" s="1567"/>
      <c r="O1044" s="1567"/>
      <c r="P1044" s="1567"/>
      <c r="Q1044" s="1567"/>
      <c r="R1044" s="1567"/>
      <c r="S1044" s="1567"/>
      <c r="T1044" s="1567"/>
      <c r="U1044" s="1567"/>
      <c r="V1044" s="1567"/>
      <c r="W1044" s="1567"/>
      <c r="X1044" s="1567"/>
      <c r="Y1044" s="1567"/>
      <c r="Z1044" s="1567"/>
      <c r="AA1044" s="1567"/>
      <c r="AB1044" s="1567"/>
      <c r="AC1044" s="1567"/>
      <c r="AD1044" s="1567"/>
      <c r="AE1044" s="1568"/>
      <c r="AF1044" s="73"/>
      <c r="AG1044" s="14"/>
      <c r="AH1044" s="14"/>
      <c r="AI1044" s="83"/>
      <c r="AJ1044" s="1373"/>
      <c r="AK1044" s="1374"/>
      <c r="AL1044" s="1374"/>
      <c r="AM1044" s="1374"/>
      <c r="AN1044" s="1374"/>
      <c r="AO1044" s="1374"/>
      <c r="AP1044" s="1374"/>
      <c r="AQ1044" s="1375"/>
      <c r="AR1044" s="68"/>
      <c r="AS1044" s="68"/>
      <c r="AT1044" s="68"/>
      <c r="AU1044" s="68"/>
      <c r="AV1044" s="68"/>
      <c r="AW1044" s="68"/>
      <c r="AX1044" s="68"/>
      <c r="AY1044" s="68"/>
    </row>
    <row r="1045" spans="1:56" ht="12.95" customHeight="1">
      <c r="A1045" s="14"/>
      <c r="B1045" s="79"/>
      <c r="C1045" s="131" t="s">
        <v>1684</v>
      </c>
      <c r="D1045" s="1588" t="s">
        <v>1865</v>
      </c>
      <c r="E1045" s="1589"/>
      <c r="F1045" s="1589"/>
      <c r="G1045" s="1589"/>
      <c r="H1045" s="1589"/>
      <c r="I1045" s="1589"/>
      <c r="J1045" s="1589"/>
      <c r="K1045" s="1589"/>
      <c r="L1045" s="1589"/>
      <c r="M1045" s="1589"/>
      <c r="N1045" s="1589"/>
      <c r="O1045" s="1589"/>
      <c r="P1045" s="1589"/>
      <c r="Q1045" s="1589"/>
      <c r="R1045" s="1589"/>
      <c r="S1045" s="1589"/>
      <c r="T1045" s="1589"/>
      <c r="U1045" s="1589"/>
      <c r="V1045" s="1589"/>
      <c r="W1045" s="1589"/>
      <c r="X1045" s="1589"/>
      <c r="Y1045" s="1589"/>
      <c r="Z1045" s="1589"/>
      <c r="AA1045" s="1589"/>
      <c r="AB1045" s="1589"/>
      <c r="AC1045" s="1589"/>
      <c r="AD1045" s="1589"/>
      <c r="AE1045" s="1590"/>
      <c r="AF1045" s="79"/>
      <c r="AG1045" s="1586" t="str">
        <f>IF(X1048&gt;0,"Yes","No")</f>
        <v>Yes</v>
      </c>
      <c r="AH1045" s="1587"/>
      <c r="AI1045" s="87"/>
      <c r="AJ1045" s="1367">
        <f>IF((X1048=0),0,AY1005*AJ992)</f>
        <v>26315653.260000002</v>
      </c>
      <c r="AK1045" s="1368"/>
      <c r="AL1045" s="1368"/>
      <c r="AM1045" s="1368"/>
      <c r="AN1045" s="1368"/>
      <c r="AO1045" s="1368"/>
      <c r="AP1045" s="1368"/>
      <c r="AQ1045" s="1369"/>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150000</v>
      </c>
      <c r="BA1045" s="3" t="s">
        <v>2476</v>
      </c>
      <c r="BB1045" s="3"/>
      <c r="BC1045" s="3"/>
      <c r="BD1045" s="3"/>
    </row>
    <row r="1046" spans="1:56" ht="12.95" customHeight="1">
      <c r="A1046" s="14"/>
      <c r="B1046" s="73"/>
      <c r="C1046" s="442"/>
      <c r="D1046" s="1563" t="s">
        <v>1299</v>
      </c>
      <c r="E1046" s="1564"/>
      <c r="F1046" s="1564"/>
      <c r="G1046" s="1564"/>
      <c r="H1046" s="1564"/>
      <c r="I1046" s="1564"/>
      <c r="J1046" s="1564"/>
      <c r="K1046" s="1564"/>
      <c r="L1046" s="1564"/>
      <c r="M1046" s="1564"/>
      <c r="N1046" s="1564"/>
      <c r="O1046" s="1564"/>
      <c r="P1046" s="1564"/>
      <c r="Q1046" s="1564"/>
      <c r="R1046" s="1564"/>
      <c r="S1046" s="1564"/>
      <c r="T1046" s="1564"/>
      <c r="U1046" s="1564"/>
      <c r="V1046" s="1564"/>
      <c r="W1046" s="1564"/>
      <c r="X1046" s="1564"/>
      <c r="Y1046" s="1564"/>
      <c r="Z1046" s="1564"/>
      <c r="AA1046" s="1564"/>
      <c r="AB1046" s="1564"/>
      <c r="AC1046" s="1564"/>
      <c r="AD1046" s="1564"/>
      <c r="AE1046" s="1565"/>
      <c r="AF1046" s="73"/>
      <c r="AG1046" s="443"/>
      <c r="AH1046" s="443"/>
      <c r="AI1046" s="83"/>
      <c r="AJ1046" s="1370"/>
      <c r="AK1046" s="1371"/>
      <c r="AL1046" s="1371"/>
      <c r="AM1046" s="1371"/>
      <c r="AN1046" s="1371"/>
      <c r="AO1046" s="1371"/>
      <c r="AP1046" s="1371"/>
      <c r="AQ1046" s="1372"/>
      <c r="AR1046" s="68"/>
      <c r="AS1046" s="68"/>
      <c r="AT1046" s="68"/>
      <c r="AU1046" s="13"/>
      <c r="AV1046" s="68"/>
      <c r="AW1046" s="68"/>
      <c r="AX1046" s="68"/>
      <c r="AY1046" s="68"/>
      <c r="AZ1046" s="962">
        <f>'Sources and Uses Budget'!S97*BA1046</f>
        <v>7839269.0999999996</v>
      </c>
      <c r="BA1046" s="1182">
        <f>IF(BA1040,20%,15%)</f>
        <v>0.15</v>
      </c>
      <c r="BB1046" s="3" t="s">
        <v>2477</v>
      </c>
      <c r="BC1046" s="3" t="s">
        <v>2478</v>
      </c>
      <c r="BD1046" s="3"/>
    </row>
    <row r="1047" spans="1:56" ht="12.95" customHeight="1">
      <c r="A1047" s="14"/>
      <c r="B1047" s="73"/>
      <c r="C1047" s="442"/>
      <c r="D1047" s="1563"/>
      <c r="E1047" s="1564"/>
      <c r="F1047" s="1564"/>
      <c r="G1047" s="1564"/>
      <c r="H1047" s="1564"/>
      <c r="I1047" s="1564"/>
      <c r="J1047" s="1564"/>
      <c r="K1047" s="1564"/>
      <c r="L1047" s="1564"/>
      <c r="M1047" s="1564"/>
      <c r="N1047" s="1564"/>
      <c r="O1047" s="1564"/>
      <c r="P1047" s="1564"/>
      <c r="Q1047" s="1564"/>
      <c r="R1047" s="1564"/>
      <c r="S1047" s="1564"/>
      <c r="T1047" s="1564"/>
      <c r="U1047" s="1564"/>
      <c r="V1047" s="1564"/>
      <c r="W1047" s="1564"/>
      <c r="X1047" s="1564"/>
      <c r="Y1047" s="1564"/>
      <c r="Z1047" s="1564"/>
      <c r="AA1047" s="1564"/>
      <c r="AB1047" s="1564"/>
      <c r="AC1047" s="1564"/>
      <c r="AD1047" s="1564"/>
      <c r="AE1047" s="1565"/>
      <c r="AF1047" s="73"/>
      <c r="AG1047" s="443"/>
      <c r="AH1047" s="443"/>
      <c r="AI1047" s="83"/>
      <c r="AJ1047" s="1370"/>
      <c r="AK1047" s="1371"/>
      <c r="AL1047" s="1371"/>
      <c r="AM1047" s="1371"/>
      <c r="AN1047" s="1371"/>
      <c r="AO1047" s="1371"/>
      <c r="AP1047" s="1371"/>
      <c r="AQ1047" s="1372"/>
      <c r="AR1047" s="68"/>
      <c r="AS1047" s="68"/>
      <c r="AT1047" s="68"/>
      <c r="AU1047" s="13"/>
      <c r="AV1047" s="68"/>
      <c r="AW1047" s="68"/>
      <c r="AX1047" s="68"/>
      <c r="AY1047" s="68"/>
      <c r="AZ1047" s="962">
        <f>IF(M356="N/A",0,'Sources and Uses Budget'!T97*BA1047)</f>
        <v>0</v>
      </c>
      <c r="BA1047" s="1182">
        <v>0.15</v>
      </c>
      <c r="BB1047" s="3" t="s">
        <v>2477</v>
      </c>
      <c r="BC1047" s="3" t="s">
        <v>2479</v>
      </c>
      <c r="BD1047" s="3"/>
    </row>
    <row r="1048" spans="1:56" ht="12.95" customHeight="1">
      <c r="A1048" s="14"/>
      <c r="B1048" s="77"/>
      <c r="C1048" s="78"/>
      <c r="D1048" s="132" t="s">
        <v>972</v>
      </c>
      <c r="E1048" s="133"/>
      <c r="F1048" s="133"/>
      <c r="G1048" s="133"/>
      <c r="H1048" s="133"/>
      <c r="I1048" s="1584">
        <f>AY1003</f>
        <v>124</v>
      </c>
      <c r="J1048" s="1585"/>
      <c r="K1048" s="7"/>
      <c r="L1048" s="133"/>
      <c r="M1048" s="133"/>
      <c r="N1048" s="133"/>
      <c r="O1048" s="133"/>
      <c r="P1048" s="133"/>
      <c r="Q1048" s="133"/>
      <c r="R1048" s="133"/>
      <c r="S1048" s="133"/>
      <c r="T1048" s="133"/>
      <c r="U1048" s="133"/>
      <c r="V1048" s="134" t="s">
        <v>973</v>
      </c>
      <c r="W1048" s="48"/>
      <c r="X1048" s="1582">
        <f>CI753</f>
        <v>49</v>
      </c>
      <c r="Y1048" s="1583"/>
      <c r="Z1048" s="48"/>
      <c r="AA1048" s="48"/>
      <c r="AB1048" s="48"/>
      <c r="AC1048" s="48"/>
      <c r="AD1048" s="48"/>
      <c r="AE1048" s="49"/>
      <c r="AF1048" s="924"/>
      <c r="AG1048" s="925"/>
      <c r="AH1048" s="925"/>
      <c r="AI1048" s="926"/>
      <c r="AJ1048" s="1373"/>
      <c r="AK1048" s="1374"/>
      <c r="AL1048" s="1374"/>
      <c r="AM1048" s="1374"/>
      <c r="AN1048" s="1374"/>
      <c r="AO1048" s="1374"/>
      <c r="AP1048" s="1374"/>
      <c r="AQ1048" s="1375"/>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2477</v>
      </c>
      <c r="BC1048" s="3" t="s">
        <v>2480</v>
      </c>
      <c r="BD1048" s="3"/>
    </row>
    <row r="1049" spans="1:56" ht="12.95" customHeight="1">
      <c r="A1049" s="14"/>
      <c r="B1049" s="79"/>
      <c r="C1049" s="131" t="s">
        <v>1685</v>
      </c>
      <c r="D1049" s="1530" t="s">
        <v>2171</v>
      </c>
      <c r="E1049" s="1531"/>
      <c r="F1049" s="1531"/>
      <c r="G1049" s="1531"/>
      <c r="H1049" s="1531"/>
      <c r="I1049" s="1531"/>
      <c r="J1049" s="1531"/>
      <c r="K1049" s="1531"/>
      <c r="L1049" s="1531"/>
      <c r="M1049" s="1531"/>
      <c r="N1049" s="1531"/>
      <c r="O1049" s="1531"/>
      <c r="P1049" s="1531"/>
      <c r="Q1049" s="1531"/>
      <c r="R1049" s="1531"/>
      <c r="S1049" s="1531"/>
      <c r="T1049" s="1531"/>
      <c r="U1049" s="1531"/>
      <c r="V1049" s="1531"/>
      <c r="W1049" s="1531"/>
      <c r="X1049" s="1531"/>
      <c r="Y1049" s="1531"/>
      <c r="Z1049" s="1531"/>
      <c r="AA1049" s="1531"/>
      <c r="AB1049" s="1531"/>
      <c r="AC1049" s="1531"/>
      <c r="AD1049" s="1531"/>
      <c r="AE1049" s="1532"/>
      <c r="AF1049" s="73"/>
      <c r="AG1049" s="1586" t="str">
        <f>IF(X1052&gt;0,"Yes","No")</f>
        <v>Yes</v>
      </c>
      <c r="AH1049" s="1587"/>
      <c r="AI1049" s="83"/>
      <c r="AJ1049" s="1367">
        <f>IF((X1052=0),0,(2*AY1006)*AJ992)</f>
        <v>14844727.48</v>
      </c>
      <c r="AK1049" s="1368"/>
      <c r="AL1049" s="1368"/>
      <c r="AM1049" s="1368"/>
      <c r="AN1049" s="1368"/>
      <c r="AO1049" s="1368"/>
      <c r="AP1049" s="1368"/>
      <c r="AQ1049" s="1369"/>
      <c r="AR1049" s="68"/>
      <c r="AS1049" s="68"/>
      <c r="AT1049" s="68"/>
      <c r="AU1049" s="14"/>
      <c r="AV1049" s="68"/>
      <c r="AW1049" s="68"/>
      <c r="AX1049" s="68"/>
      <c r="AY1049" s="68"/>
      <c r="AZ1049" s="962">
        <f>AZ1045*BA1049</f>
        <v>22500</v>
      </c>
      <c r="BA1049" s="1182">
        <v>0.15</v>
      </c>
      <c r="BB1049" s="3" t="s">
        <v>2477</v>
      </c>
      <c r="BC1049" s="3" t="s">
        <v>2481</v>
      </c>
      <c r="BD1049" s="3"/>
    </row>
    <row r="1050" spans="1:56" ht="12.95" customHeight="1">
      <c r="A1050" s="14"/>
      <c r="B1050" s="73"/>
      <c r="C1050" s="442"/>
      <c r="D1050" s="1563" t="s">
        <v>1298</v>
      </c>
      <c r="E1050" s="1564"/>
      <c r="F1050" s="1564"/>
      <c r="G1050" s="1564"/>
      <c r="H1050" s="1564"/>
      <c r="I1050" s="1564"/>
      <c r="J1050" s="1564"/>
      <c r="K1050" s="1564"/>
      <c r="L1050" s="1564"/>
      <c r="M1050" s="1564"/>
      <c r="N1050" s="1564"/>
      <c r="O1050" s="1564"/>
      <c r="P1050" s="1564"/>
      <c r="Q1050" s="1564"/>
      <c r="R1050" s="1564"/>
      <c r="S1050" s="1564"/>
      <c r="T1050" s="1564"/>
      <c r="U1050" s="1564"/>
      <c r="V1050" s="1564"/>
      <c r="W1050" s="1564"/>
      <c r="X1050" s="1564"/>
      <c r="Y1050" s="1564"/>
      <c r="Z1050" s="1564"/>
      <c r="AA1050" s="1564"/>
      <c r="AB1050" s="1564"/>
      <c r="AC1050" s="1564"/>
      <c r="AD1050" s="1564"/>
      <c r="AE1050" s="1565"/>
      <c r="AF1050" s="73"/>
      <c r="AG1050" s="443"/>
      <c r="AH1050" s="443"/>
      <c r="AI1050" s="83"/>
      <c r="AJ1050" s="1370"/>
      <c r="AK1050" s="1371"/>
      <c r="AL1050" s="1371"/>
      <c r="AM1050" s="1371"/>
      <c r="AN1050" s="1371"/>
      <c r="AO1050" s="1371"/>
      <c r="AP1050" s="1371"/>
      <c r="AQ1050" s="1372"/>
      <c r="AR1050" s="68"/>
      <c r="AS1050" s="68"/>
      <c r="AT1050" s="68"/>
      <c r="AU1050" s="68"/>
      <c r="AV1050" s="68"/>
      <c r="AW1050" s="68"/>
      <c r="AX1050" s="68"/>
      <c r="AY1050" s="68"/>
      <c r="AZ1050" s="962"/>
      <c r="BA1050" s="3"/>
      <c r="BB1050" s="3"/>
      <c r="BC1050" s="3"/>
      <c r="BD1050" s="3"/>
    </row>
    <row r="1051" spans="1:56" ht="12.95" customHeight="1">
      <c r="A1051" s="14"/>
      <c r="B1051" s="73"/>
      <c r="C1051" s="83"/>
      <c r="D1051" s="1563"/>
      <c r="E1051" s="1564"/>
      <c r="F1051" s="1564"/>
      <c r="G1051" s="1564"/>
      <c r="H1051" s="1564"/>
      <c r="I1051" s="1564"/>
      <c r="J1051" s="1564"/>
      <c r="K1051" s="1564"/>
      <c r="L1051" s="1564"/>
      <c r="M1051" s="1564"/>
      <c r="N1051" s="1564"/>
      <c r="O1051" s="1564"/>
      <c r="P1051" s="1564"/>
      <c r="Q1051" s="1564"/>
      <c r="R1051" s="1564"/>
      <c r="S1051" s="1564"/>
      <c r="T1051" s="1564"/>
      <c r="U1051" s="1564"/>
      <c r="V1051" s="1564"/>
      <c r="W1051" s="1564"/>
      <c r="X1051" s="1564"/>
      <c r="Y1051" s="1564"/>
      <c r="Z1051" s="1564"/>
      <c r="AA1051" s="1564"/>
      <c r="AB1051" s="1564"/>
      <c r="AC1051" s="1564"/>
      <c r="AD1051" s="1564"/>
      <c r="AE1051" s="1565"/>
      <c r="AF1051" s="921"/>
      <c r="AG1051" s="922"/>
      <c r="AH1051" s="922"/>
      <c r="AI1051" s="923"/>
      <c r="AJ1051" s="1370"/>
      <c r="AK1051" s="1371"/>
      <c r="AL1051" s="1371"/>
      <c r="AM1051" s="1371"/>
      <c r="AN1051" s="1371"/>
      <c r="AO1051" s="1371"/>
      <c r="AP1051" s="1371"/>
      <c r="AQ1051" s="1372"/>
      <c r="AR1051" s="68"/>
      <c r="AS1051" s="68"/>
      <c r="AT1051" s="68"/>
      <c r="AU1051" s="68"/>
      <c r="AV1051" s="68"/>
      <c r="AW1051" s="68"/>
      <c r="AX1051" s="68"/>
      <c r="AY1051" s="68"/>
      <c r="AZ1051" s="962">
        <f>ROUNDDOWN(MIN(SUM(AZ1046,AZ1047,AZ1048,AZ1049),BD1051),0)</f>
        <v>2500000</v>
      </c>
      <c r="BA1051" s="3" t="s">
        <v>2482</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84">
        <f>AY1003</f>
        <v>124</v>
      </c>
      <c r="J1052" s="1585"/>
      <c r="K1052" s="14"/>
      <c r="L1052" s="133"/>
      <c r="M1052" s="133"/>
      <c r="N1052" s="133"/>
      <c r="O1052" s="133"/>
      <c r="P1052" s="133"/>
      <c r="Q1052" s="133"/>
      <c r="R1052" s="133"/>
      <c r="S1052" s="133"/>
      <c r="T1052" s="133"/>
      <c r="U1052" s="133"/>
      <c r="V1052" s="134" t="s">
        <v>974</v>
      </c>
      <c r="X1052" s="1582">
        <f>CM753</f>
        <v>14</v>
      </c>
      <c r="Y1052" s="1583"/>
      <c r="AF1052" s="924"/>
      <c r="AG1052" s="925"/>
      <c r="AH1052" s="925"/>
      <c r="AI1052" s="926"/>
      <c r="AJ1052" s="1373"/>
      <c r="AK1052" s="1374"/>
      <c r="AL1052" s="1374"/>
      <c r="AM1052" s="1374"/>
      <c r="AN1052" s="1374"/>
      <c r="AO1052" s="1374"/>
      <c r="AP1052" s="1374"/>
      <c r="AQ1052" s="1375"/>
      <c r="AR1052" s="68"/>
      <c r="AS1052" s="68"/>
      <c r="AT1052" s="68"/>
      <c r="AU1052" s="68"/>
      <c r="AV1052" s="68"/>
      <c r="AW1052" s="68"/>
      <c r="AX1052" s="68"/>
      <c r="AY1052" s="68"/>
      <c r="AZ1052" s="962">
        <f>ROUNDDOWN(MAX(0,BA1052*(SUM(AG1093,AL1093,AZ1045)-BD1052))+BF1052,0)</f>
        <v>0</v>
      </c>
      <c r="BA1052" s="1182">
        <f>IF(L1042,7%,5%)</f>
        <v>0.05</v>
      </c>
      <c r="BB1052" s="3" t="s">
        <v>2483</v>
      </c>
      <c r="BC1052" s="3"/>
      <c r="BD1052" s="3">
        <v>6666667</v>
      </c>
    </row>
    <row r="1053" spans="1:56" ht="12.95" customHeight="1">
      <c r="A1053" s="14"/>
      <c r="B1053" s="102"/>
      <c r="C1053" s="103"/>
      <c r="D1053" s="1580" t="s">
        <v>513</v>
      </c>
      <c r="E1053" s="1580"/>
      <c r="F1053" s="1580"/>
      <c r="G1053" s="1580"/>
      <c r="H1053" s="1580"/>
      <c r="I1053" s="1580"/>
      <c r="J1053" s="1580"/>
      <c r="K1053" s="1580"/>
      <c r="L1053" s="1580"/>
      <c r="M1053" s="1580"/>
      <c r="N1053" s="1580"/>
      <c r="O1053" s="1580"/>
      <c r="P1053" s="1580"/>
      <c r="Q1053" s="1580"/>
      <c r="R1053" s="1580"/>
      <c r="S1053" s="1580"/>
      <c r="T1053" s="1580"/>
      <c r="U1053" s="1580"/>
      <c r="V1053" s="1580"/>
      <c r="W1053" s="1580"/>
      <c r="X1053" s="1580"/>
      <c r="Y1053" s="1580"/>
      <c r="Z1053" s="1580"/>
      <c r="AA1053" s="1580"/>
      <c r="AB1053" s="1580"/>
      <c r="AC1053" s="1580"/>
      <c r="AD1053" s="1580"/>
      <c r="AE1053" s="1580"/>
      <c r="AF1053" s="1580"/>
      <c r="AG1053" s="1580"/>
      <c r="AH1053" s="1580"/>
      <c r="AI1053" s="1581"/>
      <c r="AJ1053" s="1555">
        <f>SUM(AJ992:AQ1052)</f>
        <v>119432579.78000002</v>
      </c>
      <c r="AK1053" s="1556"/>
      <c r="AL1053" s="1556"/>
      <c r="AM1053" s="1556"/>
      <c r="AN1053" s="1556"/>
      <c r="AO1053" s="1556"/>
      <c r="AP1053" s="1556"/>
      <c r="AQ1053" s="1557"/>
      <c r="AR1053" s="68"/>
      <c r="AS1053" s="68"/>
      <c r="AT1053" s="68"/>
      <c r="AU1053" s="68"/>
      <c r="AV1053" s="68"/>
      <c r="AW1053" s="68"/>
      <c r="AX1053" s="68"/>
      <c r="AY1053" s="68"/>
      <c r="AZ1053" s="1181">
        <v>6000000</v>
      </c>
      <c r="BA1053" s="3" t="s">
        <v>2484</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2469</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2485</v>
      </c>
      <c r="BC1055" s="3"/>
      <c r="BD1055" s="3"/>
    </row>
    <row r="1056" spans="1:56" ht="12.95" customHeight="1">
      <c r="A1056" s="14"/>
      <c r="B1056" s="68"/>
      <c r="C1056" s="68"/>
      <c r="D1056" s="68"/>
      <c r="E1056" s="68"/>
      <c r="F1056" s="68"/>
      <c r="G1056" s="1176" t="s">
        <v>2470</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3">
        <f>'Sources and Uses Budget'!S107+'Sources and Uses Budget'!T107</f>
        <v>60101062</v>
      </c>
      <c r="AB1056" s="1853"/>
      <c r="AC1056" s="1853"/>
      <c r="AD1056" s="1853"/>
      <c r="AE1056" s="1853"/>
      <c r="AF1056" s="1853"/>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7861769.0999999996</v>
      </c>
      <c r="BB1056" s="3" t="s">
        <v>2486</v>
      </c>
      <c r="BC1056" s="3"/>
      <c r="BD1056" s="3"/>
    </row>
    <row r="1057" spans="1:54" ht="12.95" customHeight="1">
      <c r="A1057" s="14"/>
      <c r="B1057" s="68"/>
      <c r="C1057" s="68"/>
      <c r="D1057" s="68"/>
      <c r="E1057" s="68"/>
      <c r="F1057" s="68"/>
      <c r="G1057" s="1176"/>
      <c r="H1057" s="1176" t="s">
        <v>2471</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4">
        <f>IFERROR((AA1056-BA1059)/(AJ1053-AJ1045-AJ1049),"")</f>
        <v>0.69963275175154704</v>
      </c>
      <c r="AB1057" s="1855"/>
      <c r="AC1057" s="1855"/>
      <c r="AD1057" s="1855"/>
      <c r="AE1057" s="1855"/>
      <c r="AF1057" s="1856"/>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7"/>
      <c r="I1058" s="1857"/>
      <c r="J1058" s="1857"/>
      <c r="K1058" s="1857"/>
      <c r="L1058" s="1857"/>
      <c r="M1058" s="1857"/>
      <c r="N1058" s="1857"/>
      <c r="O1058" s="1857"/>
      <c r="P1058" s="1857"/>
      <c r="Q1058" s="1857"/>
      <c r="R1058" s="1857"/>
      <c r="S1058" s="1857"/>
      <c r="T1058" s="1857"/>
      <c r="U1058" s="1857"/>
      <c r="V1058" s="1857"/>
      <c r="W1058" s="1857"/>
      <c r="X1058" s="1857"/>
      <c r="Y1058" s="1857"/>
      <c r="Z1058" s="1857"/>
      <c r="AA1058" s="1857"/>
      <c r="AB1058" s="1857"/>
      <c r="AC1058" s="1857"/>
      <c r="AD1058" s="1857"/>
      <c r="AE1058" s="1857"/>
      <c r="AF1058" s="1857"/>
      <c r="AG1058" s="1857"/>
      <c r="AH1058" s="1857"/>
      <c r="AI1058" s="1857"/>
      <c r="AJ1058" s="1857"/>
      <c r="AK1058" s="1857"/>
      <c r="AL1058" s="1857"/>
      <c r="AM1058" s="1857"/>
      <c r="AN1058" s="1857"/>
      <c r="AO1058" s="68"/>
      <c r="AP1058" s="68"/>
      <c r="AQ1058" s="68"/>
      <c r="AR1058" s="68"/>
      <c r="AS1058" s="68"/>
      <c r="AT1058" s="68"/>
      <c r="AU1058" s="68"/>
      <c r="AV1058" s="14"/>
      <c r="AW1058" s="14"/>
      <c r="AX1058" s="14"/>
      <c r="AY1058" s="14"/>
      <c r="BA1058" s="1185">
        <f>'Sources and Uses Budget'!$S$104+'Sources and Uses Budget'!$T$104</f>
        <v>7839268</v>
      </c>
      <c r="BB1058" s="3" t="s">
        <v>2492</v>
      </c>
    </row>
    <row r="1059" spans="1:54" ht="12.95" customHeight="1">
      <c r="A1059" s="14"/>
      <c r="B1059" s="14"/>
      <c r="C1059" s="208"/>
      <c r="D1059" s="858"/>
      <c r="E1059" s="858"/>
      <c r="F1059" s="858"/>
      <c r="G1059" s="1857"/>
      <c r="H1059" s="1857"/>
      <c r="I1059" s="1857"/>
      <c r="J1059" s="1857"/>
      <c r="K1059" s="1857"/>
      <c r="L1059" s="1857"/>
      <c r="M1059" s="1857"/>
      <c r="N1059" s="1857"/>
      <c r="O1059" s="1857"/>
      <c r="P1059" s="1857"/>
      <c r="Q1059" s="1857"/>
      <c r="R1059" s="1857"/>
      <c r="S1059" s="1857"/>
      <c r="T1059" s="1857"/>
      <c r="U1059" s="1857"/>
      <c r="V1059" s="1857"/>
      <c r="W1059" s="1857"/>
      <c r="X1059" s="1857"/>
      <c r="Y1059" s="1857"/>
      <c r="Z1059" s="1857"/>
      <c r="AA1059" s="1857"/>
      <c r="AB1059" s="1857"/>
      <c r="AC1059" s="1857"/>
      <c r="AD1059" s="1857"/>
      <c r="AE1059" s="1857"/>
      <c r="AF1059" s="1857"/>
      <c r="AG1059" s="1857"/>
      <c r="AH1059" s="1857"/>
      <c r="AI1059" s="1857"/>
      <c r="AJ1059" s="1857"/>
      <c r="AK1059" s="1857"/>
      <c r="AL1059" s="1857"/>
      <c r="AM1059" s="1857"/>
      <c r="AN1059" s="1857"/>
      <c r="AO1059" s="68"/>
      <c r="AP1059" s="68"/>
      <c r="AQ1059" s="68"/>
      <c r="AR1059" s="68"/>
      <c r="AS1059" s="68"/>
      <c r="AT1059" s="68"/>
      <c r="AU1059" s="68"/>
      <c r="AV1059" s="14"/>
      <c r="AW1059" s="14"/>
      <c r="AX1059" s="14"/>
      <c r="AY1059" s="14"/>
      <c r="BA1059" s="1186">
        <f>MAX($BA$1058-$BA$1055,0)</f>
        <v>5339268</v>
      </c>
      <c r="BB1059" s="3" t="s">
        <v>2493</v>
      </c>
    </row>
    <row r="1060" spans="1:54" ht="12.95" customHeight="1">
      <c r="A1060" s="88"/>
      <c r="B1060" s="1172"/>
      <c r="C1060" s="1172"/>
      <c r="D1060" s="1172"/>
      <c r="E1060" s="1172"/>
      <c r="F1060" s="1172"/>
      <c r="G1060" s="1857"/>
      <c r="H1060" s="1857"/>
      <c r="I1060" s="1857"/>
      <c r="J1060" s="1857"/>
      <c r="K1060" s="1857"/>
      <c r="L1060" s="1857"/>
      <c r="M1060" s="1857"/>
      <c r="N1060" s="1857"/>
      <c r="O1060" s="1857"/>
      <c r="P1060" s="1857"/>
      <c r="Q1060" s="1857"/>
      <c r="R1060" s="1857"/>
      <c r="S1060" s="1857"/>
      <c r="T1060" s="1857"/>
      <c r="U1060" s="1857"/>
      <c r="V1060" s="1857"/>
      <c r="W1060" s="1857"/>
      <c r="X1060" s="1857"/>
      <c r="Y1060" s="1857"/>
      <c r="Z1060" s="1857"/>
      <c r="AA1060" s="1857"/>
      <c r="AB1060" s="1857"/>
      <c r="AC1060" s="1857"/>
      <c r="AD1060" s="1857"/>
      <c r="AE1060" s="1857"/>
      <c r="AF1060" s="1857"/>
      <c r="AG1060" s="1857"/>
      <c r="AH1060" s="1857"/>
      <c r="AI1060" s="1857"/>
      <c r="AJ1060" s="1857"/>
      <c r="AK1060" s="1857"/>
      <c r="AL1060" s="1857"/>
      <c r="AM1060" s="1857"/>
      <c r="AN1060" s="1857"/>
      <c r="AO1060" s="1172"/>
      <c r="AP1060" s="1172"/>
      <c r="AQ1060" s="68"/>
      <c r="AR1060" s="68"/>
      <c r="AS1060" s="68"/>
      <c r="AT1060" s="68"/>
      <c r="AU1060" s="68"/>
      <c r="AV1060" s="68"/>
      <c r="AW1060" s="68"/>
      <c r="AX1060" s="68"/>
      <c r="AY1060" s="68"/>
    </row>
    <row r="1061" spans="1:54" ht="12.95" customHeight="1">
      <c r="A1061" s="1335" t="s">
        <v>794</v>
      </c>
      <c r="B1061" s="1335"/>
      <c r="C1061" s="1335"/>
      <c r="D1061" s="1335"/>
      <c r="E1061" s="1335"/>
      <c r="F1061" s="1335"/>
      <c r="G1061" s="1335"/>
      <c r="H1061" s="1335"/>
      <c r="I1061" s="1335"/>
      <c r="J1061" s="1335"/>
      <c r="K1061" s="1335"/>
      <c r="L1061" s="1335"/>
      <c r="M1061" s="1335"/>
      <c r="N1061" s="1335"/>
      <c r="O1061" s="1335"/>
      <c r="P1061" s="1335"/>
      <c r="Q1061" s="1335"/>
      <c r="R1061" s="1335"/>
      <c r="S1061" s="1335"/>
      <c r="T1061" s="1335"/>
      <c r="U1061" s="1335"/>
      <c r="V1061" s="1335"/>
      <c r="W1061" s="1335"/>
      <c r="X1061" s="1335"/>
      <c r="Y1061" s="1335"/>
      <c r="Z1061" s="1335"/>
      <c r="AA1061" s="1335"/>
      <c r="AB1061" s="1335"/>
      <c r="AC1061" s="1335"/>
      <c r="AD1061" s="1335"/>
      <c r="AE1061" s="1335"/>
      <c r="AF1061" s="1335"/>
      <c r="AG1061" s="1335"/>
      <c r="AH1061" s="1335"/>
      <c r="AI1061" s="1335"/>
      <c r="AJ1061" s="1335"/>
      <c r="AK1061" s="1335"/>
      <c r="AL1061" s="1335"/>
      <c r="AM1061" s="1335"/>
      <c r="AN1061" s="1335"/>
      <c r="AO1061" s="1335"/>
      <c r="AP1061" s="1335"/>
      <c r="AQ1061" s="1335"/>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51" t="s">
        <v>545</v>
      </c>
      <c r="B1065" s="1351"/>
      <c r="C1065" s="1352">
        <v>1</v>
      </c>
      <c r="D1065" s="1352"/>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52"/>
      <c r="D1066" s="1352"/>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51" t="s">
        <v>591</v>
      </c>
      <c r="B1067" s="1351"/>
      <c r="C1067" s="1352">
        <v>2</v>
      </c>
      <c r="D1067" s="1352"/>
      <c r="E1067" s="1354" t="s">
        <v>2239</v>
      </c>
      <c r="F1067" s="1354"/>
      <c r="G1067" s="1354"/>
      <c r="H1067" s="1354"/>
      <c r="I1067" s="1354"/>
      <c r="J1067" s="1354"/>
      <c r="K1067" s="1354"/>
      <c r="L1067" s="1354"/>
      <c r="M1067" s="1354"/>
      <c r="N1067" s="1354"/>
      <c r="O1067" s="1354"/>
      <c r="P1067" s="1354"/>
      <c r="Q1067" s="1354"/>
      <c r="R1067" s="1354"/>
      <c r="S1067" s="1354"/>
      <c r="T1067" s="1354"/>
      <c r="U1067" s="1354"/>
      <c r="V1067" s="1354"/>
      <c r="W1067" s="1354"/>
      <c r="X1067" s="1354"/>
      <c r="Y1067" s="1354"/>
      <c r="Z1067" s="1354"/>
      <c r="AA1067" s="1354"/>
      <c r="AB1067" s="1354"/>
      <c r="AC1067" s="1354"/>
      <c r="AD1067" s="1354"/>
      <c r="AE1067" s="1354"/>
      <c r="AF1067" s="1354"/>
      <c r="AG1067" s="1354"/>
      <c r="AH1067" s="1354"/>
      <c r="AI1067" s="1354"/>
      <c r="AJ1067" s="1354"/>
      <c r="AK1067" s="1354"/>
      <c r="AL1067" s="1354"/>
      <c r="AM1067" s="1354"/>
      <c r="AN1067" s="1354"/>
      <c r="AO1067" s="1354"/>
      <c r="AP1067" s="1354"/>
      <c r="AQ1067" s="1354"/>
      <c r="AR1067" s="1354"/>
      <c r="AS1067" s="14"/>
      <c r="AT1067" s="14"/>
      <c r="AV1067" s="68"/>
      <c r="AW1067" s="68"/>
      <c r="AX1067" s="68"/>
      <c r="AY1067" s="68"/>
    </row>
    <row r="1068" spans="1:54" ht="12.95" customHeight="1">
      <c r="A1068" s="198"/>
      <c r="B1068" s="67"/>
      <c r="C1068" s="1352"/>
      <c r="D1068" s="1352"/>
      <c r="E1068" s="1354"/>
      <c r="F1068" s="1354"/>
      <c r="G1068" s="1354"/>
      <c r="H1068" s="1354"/>
      <c r="I1068" s="1354"/>
      <c r="J1068" s="1354"/>
      <c r="K1068" s="1354"/>
      <c r="L1068" s="1354"/>
      <c r="M1068" s="1354"/>
      <c r="N1068" s="1354"/>
      <c r="O1068" s="1354"/>
      <c r="P1068" s="1354"/>
      <c r="Q1068" s="1354"/>
      <c r="R1068" s="1354"/>
      <c r="S1068" s="1354"/>
      <c r="T1068" s="1354"/>
      <c r="U1068" s="1354"/>
      <c r="V1068" s="1354"/>
      <c r="W1068" s="1354"/>
      <c r="X1068" s="1354"/>
      <c r="Y1068" s="1354"/>
      <c r="Z1068" s="1354"/>
      <c r="AA1068" s="1354"/>
      <c r="AB1068" s="1354"/>
      <c r="AC1068" s="1354"/>
      <c r="AD1068" s="1354"/>
      <c r="AE1068" s="1354"/>
      <c r="AF1068" s="1354"/>
      <c r="AG1068" s="1354"/>
      <c r="AH1068" s="1354"/>
      <c r="AI1068" s="1354"/>
      <c r="AJ1068" s="1354"/>
      <c r="AK1068" s="1354"/>
      <c r="AL1068" s="1354"/>
      <c r="AM1068" s="1354"/>
      <c r="AN1068" s="1354"/>
      <c r="AO1068" s="1354"/>
      <c r="AP1068" s="1354"/>
      <c r="AQ1068" s="1354"/>
      <c r="AR1068" s="1354"/>
      <c r="AS1068" s="14"/>
      <c r="AT1068" s="14"/>
      <c r="AV1068" s="68"/>
      <c r="AW1068" s="68"/>
      <c r="AX1068" s="68"/>
      <c r="AY1068" s="68"/>
    </row>
    <row r="1069" spans="1:54" ht="12.95" customHeight="1">
      <c r="A1069" s="198"/>
      <c r="B1069" s="67"/>
      <c r="C1069" s="1352"/>
      <c r="D1069" s="1352"/>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51" t="s">
        <v>545</v>
      </c>
      <c r="B1070" s="1351"/>
      <c r="C1070" s="1334">
        <v>3</v>
      </c>
      <c r="D1070" s="1334"/>
      <c r="E1070" s="1294" t="s">
        <v>1080</v>
      </c>
      <c r="F1070" s="1294"/>
      <c r="G1070" s="1294"/>
      <c r="H1070" s="1294"/>
      <c r="I1070" s="1294"/>
      <c r="J1070" s="1294"/>
      <c r="K1070" s="1294"/>
      <c r="L1070" s="1294"/>
      <c r="M1070" s="1294"/>
      <c r="N1070" s="1294"/>
      <c r="O1070" s="1294"/>
      <c r="P1070" s="1294"/>
      <c r="Q1070" s="1294"/>
      <c r="R1070" s="1294"/>
      <c r="S1070" s="1294"/>
      <c r="T1070" s="1294"/>
      <c r="U1070" s="1294"/>
      <c r="V1070" s="1294"/>
      <c r="W1070" s="1294"/>
      <c r="X1070" s="1294"/>
      <c r="Y1070" s="1294"/>
      <c r="Z1070" s="1294"/>
      <c r="AA1070" s="1294"/>
      <c r="AB1070" s="1294"/>
      <c r="AC1070" s="1294"/>
      <c r="AD1070" s="1294"/>
      <c r="AE1070" s="1294"/>
      <c r="AF1070" s="1294"/>
      <c r="AG1070" s="1294"/>
      <c r="AH1070" s="1294"/>
      <c r="AI1070" s="1294"/>
      <c r="AJ1070" s="1294"/>
      <c r="AK1070" s="1294"/>
      <c r="AL1070" s="1294"/>
      <c r="AM1070" s="1294"/>
      <c r="AN1070" s="1294"/>
      <c r="AO1070" s="1294"/>
      <c r="AP1070" s="1294"/>
      <c r="AQ1070" s="1294"/>
      <c r="AR1070" s="1294"/>
      <c r="AS1070" s="14"/>
      <c r="AT1070" s="68"/>
      <c r="AV1070" s="68"/>
      <c r="AW1070" s="68"/>
      <c r="AX1070" s="68"/>
      <c r="AY1070" s="68"/>
    </row>
    <row r="1071" spans="1:54" ht="12.95" customHeight="1">
      <c r="A1071" s="1"/>
      <c r="B1071" s="1"/>
      <c r="C1071" s="1334"/>
      <c r="D1071" s="1334"/>
      <c r="E1071" s="1294"/>
      <c r="F1071" s="1294"/>
      <c r="G1071" s="1294"/>
      <c r="H1071" s="1294"/>
      <c r="I1071" s="1294"/>
      <c r="J1071" s="1294"/>
      <c r="K1071" s="1294"/>
      <c r="L1071" s="1294"/>
      <c r="M1071" s="1294"/>
      <c r="N1071" s="1294"/>
      <c r="O1071" s="1294"/>
      <c r="P1071" s="1294"/>
      <c r="Q1071" s="1294"/>
      <c r="R1071" s="1294"/>
      <c r="S1071" s="1294"/>
      <c r="T1071" s="1294"/>
      <c r="U1071" s="1294"/>
      <c r="V1071" s="1294"/>
      <c r="W1071" s="1294"/>
      <c r="X1071" s="1294"/>
      <c r="Y1071" s="1294"/>
      <c r="Z1071" s="1294"/>
      <c r="AA1071" s="1294"/>
      <c r="AB1071" s="1294"/>
      <c r="AC1071" s="1294"/>
      <c r="AD1071" s="1294"/>
      <c r="AE1071" s="1294"/>
      <c r="AF1071" s="1294"/>
      <c r="AG1071" s="1294"/>
      <c r="AH1071" s="1294"/>
      <c r="AI1071" s="1294"/>
      <c r="AJ1071" s="1294"/>
      <c r="AK1071" s="1294"/>
      <c r="AL1071" s="1294"/>
      <c r="AM1071" s="1294"/>
      <c r="AN1071" s="1294"/>
      <c r="AO1071" s="1294"/>
      <c r="AP1071" s="1294"/>
      <c r="AQ1071" s="1294"/>
      <c r="AR1071" s="1294"/>
      <c r="AS1071" s="14"/>
      <c r="AT1071" s="68"/>
      <c r="AV1071" s="68"/>
      <c r="AW1071" s="68"/>
      <c r="AX1071" s="68"/>
      <c r="AY1071" s="68"/>
    </row>
    <row r="1072" spans="1:54" ht="12.95" customHeight="1">
      <c r="A1072" s="1"/>
      <c r="B1072" s="1"/>
      <c r="C1072" s="1334"/>
      <c r="D1072" s="1334"/>
      <c r="E1072" s="1294"/>
      <c r="F1072" s="1294"/>
      <c r="G1072" s="1294"/>
      <c r="H1072" s="1294"/>
      <c r="I1072" s="1294"/>
      <c r="J1072" s="1294"/>
      <c r="K1072" s="1294"/>
      <c r="L1072" s="1294"/>
      <c r="M1072" s="1294"/>
      <c r="N1072" s="1294"/>
      <c r="O1072" s="1294"/>
      <c r="P1072" s="1294"/>
      <c r="Q1072" s="1294"/>
      <c r="R1072" s="1294"/>
      <c r="S1072" s="1294"/>
      <c r="T1072" s="1294"/>
      <c r="U1072" s="1294"/>
      <c r="V1072" s="1294"/>
      <c r="W1072" s="1294"/>
      <c r="X1072" s="1294"/>
      <c r="Y1072" s="1294"/>
      <c r="Z1072" s="1294"/>
      <c r="AA1072" s="1294"/>
      <c r="AB1072" s="1294"/>
      <c r="AC1072" s="1294"/>
      <c r="AD1072" s="1294"/>
      <c r="AE1072" s="1294"/>
      <c r="AF1072" s="1294"/>
      <c r="AG1072" s="1294"/>
      <c r="AH1072" s="1294"/>
      <c r="AI1072" s="1294"/>
      <c r="AJ1072" s="1294"/>
      <c r="AK1072" s="1294"/>
      <c r="AL1072" s="1294"/>
      <c r="AM1072" s="1294"/>
      <c r="AN1072" s="1294"/>
      <c r="AO1072" s="1294"/>
      <c r="AP1072" s="1294"/>
      <c r="AQ1072" s="1294"/>
      <c r="AR1072" s="1294"/>
      <c r="AS1072" s="14"/>
      <c r="AT1072" s="68"/>
      <c r="AV1072" s="68"/>
      <c r="AW1072" s="68"/>
      <c r="AX1072" s="68"/>
      <c r="AY1072" s="68"/>
    </row>
    <row r="1073" spans="1:51" ht="12.95" customHeight="1">
      <c r="A1073" s="1"/>
      <c r="B1073" s="1"/>
      <c r="C1073" s="1334"/>
      <c r="D1073" s="1334"/>
      <c r="E1073" s="1294"/>
      <c r="F1073" s="1294"/>
      <c r="G1073" s="1294"/>
      <c r="H1073" s="1294"/>
      <c r="I1073" s="1294"/>
      <c r="J1073" s="1294"/>
      <c r="K1073" s="1294"/>
      <c r="L1073" s="1294"/>
      <c r="M1073" s="1294"/>
      <c r="N1073" s="1294"/>
      <c r="O1073" s="1294"/>
      <c r="P1073" s="1294"/>
      <c r="Q1073" s="1294"/>
      <c r="R1073" s="1294"/>
      <c r="S1073" s="1294"/>
      <c r="T1073" s="1294"/>
      <c r="U1073" s="1294"/>
      <c r="V1073" s="1294"/>
      <c r="W1073" s="1294"/>
      <c r="X1073" s="1294"/>
      <c r="Y1073" s="1294"/>
      <c r="Z1073" s="1294"/>
      <c r="AA1073" s="1294"/>
      <c r="AB1073" s="1294"/>
      <c r="AC1073" s="1294"/>
      <c r="AD1073" s="1294"/>
      <c r="AE1073" s="1294"/>
      <c r="AF1073" s="1294"/>
      <c r="AG1073" s="1294"/>
      <c r="AH1073" s="1294"/>
      <c r="AI1073" s="1294"/>
      <c r="AJ1073" s="1294"/>
      <c r="AK1073" s="1294"/>
      <c r="AL1073" s="1294"/>
      <c r="AM1073" s="1294"/>
      <c r="AN1073" s="1294"/>
      <c r="AO1073" s="1294"/>
      <c r="AP1073" s="1294"/>
      <c r="AQ1073" s="1294"/>
      <c r="AR1073" s="1294"/>
      <c r="AS1073" s="14"/>
      <c r="AT1073" s="68"/>
      <c r="AV1073" s="68"/>
      <c r="AW1073" s="68"/>
      <c r="AX1073" s="68"/>
      <c r="AY1073" s="68"/>
    </row>
    <row r="1074" spans="1:51" ht="12.95" customHeight="1">
      <c r="A1074" s="2"/>
      <c r="B1074" s="25"/>
      <c r="C1074" s="1334"/>
      <c r="D1074" s="1334"/>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51" t="s">
        <v>591</v>
      </c>
      <c r="B1075" s="1351"/>
      <c r="C1075" s="1334">
        <v>4</v>
      </c>
      <c r="D1075" s="1334"/>
      <c r="E1075" s="1294" t="s">
        <v>1079</v>
      </c>
      <c r="F1075" s="1294"/>
      <c r="G1075" s="1294"/>
      <c r="H1075" s="1294"/>
      <c r="I1075" s="1294"/>
      <c r="J1075" s="1294"/>
      <c r="K1075" s="1294"/>
      <c r="L1075" s="1294"/>
      <c r="M1075" s="1294"/>
      <c r="N1075" s="1294"/>
      <c r="O1075" s="1294"/>
      <c r="P1075" s="1294"/>
      <c r="Q1075" s="1294"/>
      <c r="R1075" s="1294"/>
      <c r="S1075" s="1294"/>
      <c r="T1075" s="1294"/>
      <c r="U1075" s="1294"/>
      <c r="V1075" s="1294"/>
      <c r="W1075" s="1294"/>
      <c r="X1075" s="1294"/>
      <c r="Y1075" s="1294"/>
      <c r="Z1075" s="1294"/>
      <c r="AA1075" s="1294"/>
      <c r="AB1075" s="1294"/>
      <c r="AC1075" s="1294"/>
      <c r="AD1075" s="1294"/>
      <c r="AE1075" s="1294"/>
      <c r="AF1075" s="1294"/>
      <c r="AG1075" s="1294"/>
      <c r="AH1075" s="1294"/>
      <c r="AI1075" s="1294"/>
      <c r="AJ1075" s="1294"/>
      <c r="AK1075" s="1294"/>
      <c r="AL1075" s="1294"/>
      <c r="AM1075" s="1294"/>
      <c r="AN1075" s="1294"/>
      <c r="AO1075" s="1294"/>
      <c r="AP1075" s="1294"/>
      <c r="AQ1075" s="1294"/>
      <c r="AR1075" s="1294"/>
      <c r="AS1075" s="14"/>
      <c r="AT1075" s="68"/>
    </row>
    <row r="1076" spans="1:51" ht="12.95" customHeight="1">
      <c r="A1076" s="1"/>
      <c r="B1076" s="1"/>
      <c r="C1076" s="1334"/>
      <c r="D1076" s="1334"/>
      <c r="E1076" s="1294"/>
      <c r="F1076" s="1294"/>
      <c r="G1076" s="1294"/>
      <c r="H1076" s="1294"/>
      <c r="I1076" s="1294"/>
      <c r="J1076" s="1294"/>
      <c r="K1076" s="1294"/>
      <c r="L1076" s="1294"/>
      <c r="M1076" s="1294"/>
      <c r="N1076" s="1294"/>
      <c r="O1076" s="1294"/>
      <c r="P1076" s="1294"/>
      <c r="Q1076" s="1294"/>
      <c r="R1076" s="1294"/>
      <c r="S1076" s="1294"/>
      <c r="T1076" s="1294"/>
      <c r="U1076" s="1294"/>
      <c r="V1076" s="1294"/>
      <c r="W1076" s="1294"/>
      <c r="X1076" s="1294"/>
      <c r="Y1076" s="1294"/>
      <c r="Z1076" s="1294"/>
      <c r="AA1076" s="1294"/>
      <c r="AB1076" s="1294"/>
      <c r="AC1076" s="1294"/>
      <c r="AD1076" s="1294"/>
      <c r="AE1076" s="1294"/>
      <c r="AF1076" s="1294"/>
      <c r="AG1076" s="1294"/>
      <c r="AH1076" s="1294"/>
      <c r="AI1076" s="1294"/>
      <c r="AJ1076" s="1294"/>
      <c r="AK1076" s="1294"/>
      <c r="AL1076" s="1294"/>
      <c r="AM1076" s="1294"/>
      <c r="AN1076" s="1294"/>
      <c r="AO1076" s="1294"/>
      <c r="AP1076" s="1294"/>
      <c r="AQ1076" s="1294"/>
      <c r="AR1076" s="1294"/>
      <c r="AS1076" s="14"/>
      <c r="AT1076" s="68"/>
    </row>
    <row r="1077" spans="1:51" ht="12.95" customHeight="1">
      <c r="A1077" s="1"/>
      <c r="B1077" s="1"/>
      <c r="C1077" s="1334"/>
      <c r="D1077" s="1334"/>
      <c r="E1077" s="1294"/>
      <c r="F1077" s="1294"/>
      <c r="G1077" s="1294"/>
      <c r="H1077" s="1294"/>
      <c r="I1077" s="1294"/>
      <c r="J1077" s="1294"/>
      <c r="K1077" s="1294"/>
      <c r="L1077" s="1294"/>
      <c r="M1077" s="1294"/>
      <c r="N1077" s="1294"/>
      <c r="O1077" s="1294"/>
      <c r="P1077" s="1294"/>
      <c r="Q1077" s="1294"/>
      <c r="R1077" s="1294"/>
      <c r="S1077" s="1294"/>
      <c r="T1077" s="1294"/>
      <c r="U1077" s="1294"/>
      <c r="V1077" s="1294"/>
      <c r="W1077" s="1294"/>
      <c r="X1077" s="1294"/>
      <c r="Y1077" s="1294"/>
      <c r="Z1077" s="1294"/>
      <c r="AA1077" s="1294"/>
      <c r="AB1077" s="1294"/>
      <c r="AC1077" s="1294"/>
      <c r="AD1077" s="1294"/>
      <c r="AE1077" s="1294"/>
      <c r="AF1077" s="1294"/>
      <c r="AG1077" s="1294"/>
      <c r="AH1077" s="1294"/>
      <c r="AI1077" s="1294"/>
      <c r="AJ1077" s="1294"/>
      <c r="AK1077" s="1294"/>
      <c r="AL1077" s="1294"/>
      <c r="AM1077" s="1294"/>
      <c r="AN1077" s="1294"/>
      <c r="AO1077" s="1294"/>
      <c r="AP1077" s="1294"/>
      <c r="AQ1077" s="1294"/>
      <c r="AR1077" s="1294"/>
      <c r="AS1077" s="14"/>
      <c r="AT1077" s="68"/>
    </row>
    <row r="1078" spans="1:51" ht="12.95" customHeight="1">
      <c r="A1078" s="1"/>
      <c r="B1078" s="1"/>
      <c r="C1078" s="1334"/>
      <c r="D1078" s="1334"/>
      <c r="E1078" s="1294"/>
      <c r="F1078" s="1294"/>
      <c r="G1078" s="1294"/>
      <c r="H1078" s="1294"/>
      <c r="I1078" s="1294"/>
      <c r="J1078" s="1294"/>
      <c r="K1078" s="1294"/>
      <c r="L1078" s="1294"/>
      <c r="M1078" s="1294"/>
      <c r="N1078" s="1294"/>
      <c r="O1078" s="1294"/>
      <c r="P1078" s="1294"/>
      <c r="Q1078" s="1294"/>
      <c r="R1078" s="1294"/>
      <c r="S1078" s="1294"/>
      <c r="T1078" s="1294"/>
      <c r="U1078" s="1294"/>
      <c r="V1078" s="1294"/>
      <c r="W1078" s="1294"/>
      <c r="X1078" s="1294"/>
      <c r="Y1078" s="1294"/>
      <c r="Z1078" s="1294"/>
      <c r="AA1078" s="1294"/>
      <c r="AB1078" s="1294"/>
      <c r="AC1078" s="1294"/>
      <c r="AD1078" s="1294"/>
      <c r="AE1078" s="1294"/>
      <c r="AF1078" s="1294"/>
      <c r="AG1078" s="1294"/>
      <c r="AH1078" s="1294"/>
      <c r="AI1078" s="1294"/>
      <c r="AJ1078" s="1294"/>
      <c r="AK1078" s="1294"/>
      <c r="AL1078" s="1294"/>
      <c r="AM1078" s="1294"/>
      <c r="AN1078" s="1294"/>
      <c r="AO1078" s="1294"/>
      <c r="AP1078" s="1294"/>
      <c r="AQ1078" s="1294"/>
      <c r="AR1078" s="1294"/>
      <c r="AS1078" s="14"/>
      <c r="AT1078" s="68"/>
    </row>
    <row r="1079" spans="1:51" ht="12.95" customHeight="1">
      <c r="A1079" s="1"/>
      <c r="B1079" s="1"/>
      <c r="C1079" s="1334"/>
      <c r="D1079" s="1334"/>
      <c r="E1079" s="1294"/>
      <c r="F1079" s="1294"/>
      <c r="G1079" s="1294"/>
      <c r="H1079" s="1294"/>
      <c r="I1079" s="1294"/>
      <c r="J1079" s="1294"/>
      <c r="K1079" s="1294"/>
      <c r="L1079" s="1294"/>
      <c r="M1079" s="1294"/>
      <c r="N1079" s="1294"/>
      <c r="O1079" s="1294"/>
      <c r="P1079" s="1294"/>
      <c r="Q1079" s="1294"/>
      <c r="R1079" s="1294"/>
      <c r="S1079" s="1294"/>
      <c r="T1079" s="1294"/>
      <c r="U1079" s="1294"/>
      <c r="V1079" s="1294"/>
      <c r="W1079" s="1294"/>
      <c r="X1079" s="1294"/>
      <c r="Y1079" s="1294"/>
      <c r="Z1079" s="1294"/>
      <c r="AA1079" s="1294"/>
      <c r="AB1079" s="1294"/>
      <c r="AC1079" s="1294"/>
      <c r="AD1079" s="1294"/>
      <c r="AE1079" s="1294"/>
      <c r="AF1079" s="1294"/>
      <c r="AG1079" s="1294"/>
      <c r="AH1079" s="1294"/>
      <c r="AI1079" s="1294"/>
      <c r="AJ1079" s="1294"/>
      <c r="AK1079" s="1294"/>
      <c r="AL1079" s="1294"/>
      <c r="AM1079" s="1294"/>
      <c r="AN1079" s="1294"/>
      <c r="AO1079" s="1294"/>
      <c r="AP1079" s="1294"/>
      <c r="AQ1079" s="1294"/>
      <c r="AR1079" s="1294"/>
      <c r="AS1079" s="14"/>
      <c r="AT1079" s="68"/>
    </row>
    <row r="1080" spans="1:51" ht="12.95" customHeight="1">
      <c r="A1080" s="1"/>
      <c r="B1080" s="1"/>
      <c r="C1080" s="1334"/>
      <c r="D1080" s="1334"/>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51" t="s">
        <v>591</v>
      </c>
      <c r="B1081" s="1351"/>
      <c r="C1081" s="1334">
        <v>5</v>
      </c>
      <c r="D1081" s="1334"/>
      <c r="E1081" s="1294" t="s">
        <v>2243</v>
      </c>
      <c r="F1081" s="1294"/>
      <c r="G1081" s="1294"/>
      <c r="H1081" s="1294"/>
      <c r="I1081" s="1294"/>
      <c r="J1081" s="1294"/>
      <c r="K1081" s="1294"/>
      <c r="L1081" s="1294"/>
      <c r="M1081" s="1294"/>
      <c r="N1081" s="1294"/>
      <c r="O1081" s="1294"/>
      <c r="P1081" s="1294"/>
      <c r="Q1081" s="1294"/>
      <c r="R1081" s="1294"/>
      <c r="S1081" s="1294"/>
      <c r="T1081" s="1294"/>
      <c r="U1081" s="1294"/>
      <c r="V1081" s="1294"/>
      <c r="W1081" s="1294"/>
      <c r="X1081" s="1294"/>
      <c r="Y1081" s="1294"/>
      <c r="Z1081" s="1294"/>
      <c r="AA1081" s="1294"/>
      <c r="AB1081" s="1294"/>
      <c r="AC1081" s="1294"/>
      <c r="AD1081" s="1294"/>
      <c r="AE1081" s="1294"/>
      <c r="AF1081" s="1294"/>
      <c r="AG1081" s="1294"/>
      <c r="AH1081" s="1294"/>
      <c r="AI1081" s="1294"/>
      <c r="AJ1081" s="1294"/>
      <c r="AK1081" s="1294"/>
      <c r="AL1081" s="1294"/>
      <c r="AM1081" s="1294"/>
      <c r="AN1081" s="1294"/>
      <c r="AO1081" s="1294"/>
      <c r="AP1081" s="1294"/>
      <c r="AQ1081" s="1294"/>
      <c r="AR1081" s="1294"/>
      <c r="AS1081" s="14"/>
    </row>
    <row r="1082" spans="1:51" ht="12.95" customHeight="1">
      <c r="A1082" s="4"/>
      <c r="B1082" s="4"/>
      <c r="C1082" s="1334"/>
      <c r="D1082" s="1334"/>
      <c r="E1082" s="1294"/>
      <c r="F1082" s="1294"/>
      <c r="G1082" s="1294"/>
      <c r="H1082" s="1294"/>
      <c r="I1082" s="1294"/>
      <c r="J1082" s="1294"/>
      <c r="K1082" s="1294"/>
      <c r="L1082" s="1294"/>
      <c r="M1082" s="1294"/>
      <c r="N1082" s="1294"/>
      <c r="O1082" s="1294"/>
      <c r="P1082" s="1294"/>
      <c r="Q1082" s="1294"/>
      <c r="R1082" s="1294"/>
      <c r="S1082" s="1294"/>
      <c r="T1082" s="1294"/>
      <c r="U1082" s="1294"/>
      <c r="V1082" s="1294"/>
      <c r="W1082" s="1294"/>
      <c r="X1082" s="1294"/>
      <c r="Y1082" s="1294"/>
      <c r="Z1082" s="1294"/>
      <c r="AA1082" s="1294"/>
      <c r="AB1082" s="1294"/>
      <c r="AC1082" s="1294"/>
      <c r="AD1082" s="1294"/>
      <c r="AE1082" s="1294"/>
      <c r="AF1082" s="1294"/>
      <c r="AG1082" s="1294"/>
      <c r="AH1082" s="1294"/>
      <c r="AI1082" s="1294"/>
      <c r="AJ1082" s="1294"/>
      <c r="AK1082" s="1294"/>
      <c r="AL1082" s="1294"/>
      <c r="AM1082" s="1294"/>
      <c r="AN1082" s="1294"/>
      <c r="AO1082" s="1294"/>
      <c r="AP1082" s="1294"/>
      <c r="AQ1082" s="1294"/>
      <c r="AR1082" s="1294"/>
      <c r="AS1082" s="14"/>
    </row>
    <row r="1083" spans="1:51" ht="12.95" customHeight="1">
      <c r="A1083" s="4"/>
      <c r="B1083" s="4"/>
      <c r="C1083" s="1334"/>
      <c r="D1083" s="1334"/>
      <c r="E1083" s="1294"/>
      <c r="F1083" s="1294"/>
      <c r="G1083" s="1294"/>
      <c r="H1083" s="1294"/>
      <c r="I1083" s="1294"/>
      <c r="J1083" s="1294"/>
      <c r="K1083" s="1294"/>
      <c r="L1083" s="1294"/>
      <c r="M1083" s="1294"/>
      <c r="N1083" s="1294"/>
      <c r="O1083" s="1294"/>
      <c r="P1083" s="1294"/>
      <c r="Q1083" s="1294"/>
      <c r="R1083" s="1294"/>
      <c r="S1083" s="1294"/>
      <c r="T1083" s="1294"/>
      <c r="U1083" s="1294"/>
      <c r="V1083" s="1294"/>
      <c r="W1083" s="1294"/>
      <c r="X1083" s="1294"/>
      <c r="Y1083" s="1294"/>
      <c r="Z1083" s="1294"/>
      <c r="AA1083" s="1294"/>
      <c r="AB1083" s="1294"/>
      <c r="AC1083" s="1294"/>
      <c r="AD1083" s="1294"/>
      <c r="AE1083" s="1294"/>
      <c r="AF1083" s="1294"/>
      <c r="AG1083" s="1294"/>
      <c r="AH1083" s="1294"/>
      <c r="AI1083" s="1294"/>
      <c r="AJ1083" s="1294"/>
      <c r="AK1083" s="1294"/>
      <c r="AL1083" s="1294"/>
      <c r="AM1083" s="1294"/>
      <c r="AN1083" s="1294"/>
      <c r="AO1083" s="1294"/>
      <c r="AP1083" s="1294"/>
      <c r="AQ1083" s="1294"/>
      <c r="AR1083" s="1294"/>
      <c r="AS1083" s="14"/>
    </row>
    <row r="1084" spans="1:51" ht="12.95" customHeight="1">
      <c r="A1084" s="35"/>
      <c r="B1084" s="25"/>
      <c r="C1084" s="1334"/>
      <c r="D1084" s="1334"/>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51" t="s">
        <v>591</v>
      </c>
      <c r="B1085" s="1351"/>
      <c r="C1085" s="1334">
        <v>6</v>
      </c>
      <c r="D1085" s="1334"/>
      <c r="E1085" s="1294" t="s">
        <v>2244</v>
      </c>
      <c r="F1085" s="1294"/>
      <c r="G1085" s="1294"/>
      <c r="H1085" s="1294"/>
      <c r="I1085" s="1294"/>
      <c r="J1085" s="1294"/>
      <c r="K1085" s="1294"/>
      <c r="L1085" s="1294"/>
      <c r="M1085" s="1294"/>
      <c r="N1085" s="1294"/>
      <c r="O1085" s="1294"/>
      <c r="P1085" s="1294"/>
      <c r="Q1085" s="1294"/>
      <c r="R1085" s="1294"/>
      <c r="S1085" s="1294"/>
      <c r="T1085" s="1294"/>
      <c r="U1085" s="1294"/>
      <c r="V1085" s="1294"/>
      <c r="W1085" s="1294"/>
      <c r="X1085" s="1294"/>
      <c r="Y1085" s="1294"/>
      <c r="Z1085" s="1294"/>
      <c r="AA1085" s="1294"/>
      <c r="AB1085" s="1294"/>
      <c r="AC1085" s="1294"/>
      <c r="AD1085" s="1294"/>
      <c r="AE1085" s="1294"/>
      <c r="AF1085" s="1294"/>
      <c r="AG1085" s="1294"/>
      <c r="AH1085" s="1294"/>
      <c r="AI1085" s="1294"/>
      <c r="AJ1085" s="1294"/>
      <c r="AK1085" s="1294"/>
      <c r="AL1085" s="1294"/>
      <c r="AM1085" s="1294"/>
      <c r="AN1085" s="1294"/>
      <c r="AO1085" s="1294"/>
      <c r="AP1085" s="1294"/>
      <c r="AQ1085" s="1294"/>
      <c r="AR1085" s="1294"/>
      <c r="AS1085" s="14"/>
    </row>
    <row r="1086" spans="1:51" ht="12.95" customHeight="1">
      <c r="A1086" s="1"/>
      <c r="B1086" s="1"/>
      <c r="C1086" s="1"/>
      <c r="D1086" s="1"/>
      <c r="E1086" s="1294"/>
      <c r="F1086" s="1294"/>
      <c r="G1086" s="1294"/>
      <c r="H1086" s="1294"/>
      <c r="I1086" s="1294"/>
      <c r="J1086" s="1294"/>
      <c r="K1086" s="1294"/>
      <c r="L1086" s="1294"/>
      <c r="M1086" s="1294"/>
      <c r="N1086" s="1294"/>
      <c r="O1086" s="1294"/>
      <c r="P1086" s="1294"/>
      <c r="Q1086" s="1294"/>
      <c r="R1086" s="1294"/>
      <c r="S1086" s="1294"/>
      <c r="T1086" s="1294"/>
      <c r="U1086" s="1294"/>
      <c r="V1086" s="1294"/>
      <c r="W1086" s="1294"/>
      <c r="X1086" s="1294"/>
      <c r="Y1086" s="1294"/>
      <c r="Z1086" s="1294"/>
      <c r="AA1086" s="1294"/>
      <c r="AB1086" s="1294"/>
      <c r="AC1086" s="1294"/>
      <c r="AD1086" s="1294"/>
      <c r="AE1086" s="1294"/>
      <c r="AF1086" s="1294"/>
      <c r="AG1086" s="1294"/>
      <c r="AH1086" s="1294"/>
      <c r="AI1086" s="1294"/>
      <c r="AJ1086" s="1294"/>
      <c r="AK1086" s="1294"/>
      <c r="AL1086" s="1294"/>
      <c r="AM1086" s="1294"/>
      <c r="AN1086" s="1294"/>
      <c r="AO1086" s="1294"/>
      <c r="AP1086" s="1294"/>
      <c r="AQ1086" s="1294"/>
      <c r="AR1086" s="1294"/>
      <c r="AS1086" s="14"/>
    </row>
    <row r="1087" spans="1:51" ht="12.95" customHeight="1">
      <c r="A1087" s="1"/>
      <c r="B1087" s="1"/>
      <c r="C1087" s="1334"/>
      <c r="D1087" s="1334"/>
      <c r="E1087" s="1294"/>
      <c r="F1087" s="1294"/>
      <c r="G1087" s="1294"/>
      <c r="H1087" s="1294"/>
      <c r="I1087" s="1294"/>
      <c r="J1087" s="1294"/>
      <c r="K1087" s="1294"/>
      <c r="L1087" s="1294"/>
      <c r="M1087" s="1294"/>
      <c r="N1087" s="1294"/>
      <c r="O1087" s="1294"/>
      <c r="P1087" s="1294"/>
      <c r="Q1087" s="1294"/>
      <c r="R1087" s="1294"/>
      <c r="S1087" s="1294"/>
      <c r="T1087" s="1294"/>
      <c r="U1087" s="1294"/>
      <c r="V1087" s="1294"/>
      <c r="W1087" s="1294"/>
      <c r="X1087" s="1294"/>
      <c r="Y1087" s="1294"/>
      <c r="Z1087" s="1294"/>
      <c r="AA1087" s="1294"/>
      <c r="AB1087" s="1294"/>
      <c r="AC1087" s="1294"/>
      <c r="AD1087" s="1294"/>
      <c r="AE1087" s="1294"/>
      <c r="AF1087" s="1294"/>
      <c r="AG1087" s="1294"/>
      <c r="AH1087" s="1294"/>
      <c r="AI1087" s="1294"/>
      <c r="AJ1087" s="1294"/>
      <c r="AK1087" s="1294"/>
      <c r="AL1087" s="1294"/>
      <c r="AM1087" s="1294"/>
      <c r="AN1087" s="1294"/>
      <c r="AO1087" s="1294"/>
      <c r="AP1087" s="1294"/>
      <c r="AQ1087" s="1294"/>
      <c r="AR1087" s="1294"/>
      <c r="AS1087" s="14"/>
    </row>
    <row r="1088" spans="1:51" ht="12.95" customHeight="1">
      <c r="A1088" s="35"/>
      <c r="B1088" s="25"/>
      <c r="C1088" s="1334"/>
      <c r="D1088" s="1334"/>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51" t="s">
        <v>545</v>
      </c>
      <c r="B1089" s="1351"/>
      <c r="C1089" s="1334">
        <v>7</v>
      </c>
      <c r="D1089" s="1334"/>
      <c r="E1089" s="1294" t="s">
        <v>2139</v>
      </c>
      <c r="F1089" s="1294"/>
      <c r="G1089" s="1294"/>
      <c r="H1089" s="1294"/>
      <c r="I1089" s="1294"/>
      <c r="J1089" s="1294"/>
      <c r="K1089" s="1294"/>
      <c r="L1089" s="1294"/>
      <c r="M1089" s="1294"/>
      <c r="N1089" s="1294"/>
      <c r="O1089" s="1294"/>
      <c r="P1089" s="1294"/>
      <c r="Q1089" s="1294"/>
      <c r="R1089" s="1294"/>
      <c r="S1089" s="1294"/>
      <c r="T1089" s="1294"/>
      <c r="U1089" s="1294"/>
      <c r="V1089" s="1294"/>
      <c r="W1089" s="1294"/>
      <c r="X1089" s="1294"/>
      <c r="Y1089" s="1294"/>
      <c r="Z1089" s="1294"/>
      <c r="AA1089" s="1294"/>
      <c r="AB1089" s="1294"/>
      <c r="AC1089" s="1294"/>
      <c r="AD1089" s="1294"/>
      <c r="AE1089" s="1294"/>
      <c r="AF1089" s="1294"/>
      <c r="AG1089" s="1294"/>
      <c r="AH1089" s="1294"/>
      <c r="AI1089" s="1294"/>
      <c r="AJ1089" s="1294"/>
      <c r="AK1089" s="1294"/>
      <c r="AL1089" s="1294"/>
      <c r="AM1089" s="1294"/>
      <c r="AN1089" s="1294"/>
      <c r="AO1089" s="1294"/>
      <c r="AP1089" s="1294"/>
      <c r="AQ1089" s="1294"/>
      <c r="AR1089" s="1294"/>
      <c r="AS1089" s="14"/>
    </row>
    <row r="1090" spans="1:45" ht="12.95" customHeight="1">
      <c r="A1090" s="1"/>
      <c r="B1090" s="1"/>
      <c r="C1090" s="1334"/>
      <c r="D1090" s="1334"/>
      <c r="E1090" s="1294"/>
      <c r="F1090" s="1294"/>
      <c r="G1090" s="1294"/>
      <c r="H1090" s="1294"/>
      <c r="I1090" s="1294"/>
      <c r="J1090" s="1294"/>
      <c r="K1090" s="1294"/>
      <c r="L1090" s="1294"/>
      <c r="M1090" s="1294"/>
      <c r="N1090" s="1294"/>
      <c r="O1090" s="1294"/>
      <c r="P1090" s="1294"/>
      <c r="Q1090" s="1294"/>
      <c r="R1090" s="1294"/>
      <c r="S1090" s="1294"/>
      <c r="T1090" s="1294"/>
      <c r="U1090" s="1294"/>
      <c r="V1090" s="1294"/>
      <c r="W1090" s="1294"/>
      <c r="X1090" s="1294"/>
      <c r="Y1090" s="1294"/>
      <c r="Z1090" s="1294"/>
      <c r="AA1090" s="1294"/>
      <c r="AB1090" s="1294"/>
      <c r="AC1090" s="1294"/>
      <c r="AD1090" s="1294"/>
      <c r="AE1090" s="1294"/>
      <c r="AF1090" s="1294"/>
      <c r="AG1090" s="1294"/>
      <c r="AH1090" s="1294"/>
      <c r="AI1090" s="1294"/>
      <c r="AJ1090" s="1294"/>
      <c r="AK1090" s="1294"/>
      <c r="AL1090" s="1294"/>
      <c r="AM1090" s="1294"/>
      <c r="AN1090" s="1294"/>
      <c r="AO1090" s="1294"/>
      <c r="AP1090" s="1294"/>
      <c r="AQ1090" s="1294"/>
      <c r="AR1090" s="1294"/>
      <c r="AS1090" s="14"/>
    </row>
    <row r="1091" spans="1:45" ht="12.95" customHeight="1">
      <c r="A1091" s="1"/>
      <c r="B1091" s="1"/>
      <c r="C1091" s="1334"/>
      <c r="D1091" s="1334"/>
      <c r="E1091" s="1294"/>
      <c r="F1091" s="1294"/>
      <c r="G1091" s="1294"/>
      <c r="H1091" s="1294"/>
      <c r="I1091" s="1294"/>
      <c r="J1091" s="1294"/>
      <c r="K1091" s="1294"/>
      <c r="L1091" s="1294"/>
      <c r="M1091" s="1294"/>
      <c r="N1091" s="1294"/>
      <c r="O1091" s="1294"/>
      <c r="P1091" s="1294"/>
      <c r="Q1091" s="1294"/>
      <c r="R1091" s="1294"/>
      <c r="S1091" s="1294"/>
      <c r="T1091" s="1294"/>
      <c r="U1091" s="1294"/>
      <c r="V1091" s="1294"/>
      <c r="W1091" s="1294"/>
      <c r="X1091" s="1294"/>
      <c r="Y1091" s="1294"/>
      <c r="Z1091" s="1294"/>
      <c r="AA1091" s="1294"/>
      <c r="AB1091" s="1294"/>
      <c r="AC1091" s="1294"/>
      <c r="AD1091" s="1294"/>
      <c r="AE1091" s="1294"/>
      <c r="AF1091" s="1294"/>
      <c r="AG1091" s="1294"/>
      <c r="AH1091" s="1294"/>
      <c r="AI1091" s="1294"/>
      <c r="AJ1091" s="1294"/>
      <c r="AK1091" s="1294"/>
      <c r="AL1091" s="1294"/>
      <c r="AM1091" s="1294"/>
      <c r="AN1091" s="1294"/>
      <c r="AO1091" s="1294"/>
      <c r="AP1091" s="1294"/>
      <c r="AQ1091" s="1294"/>
      <c r="AR1091" s="1294"/>
      <c r="AS1091" s="14"/>
    </row>
    <row r="1092" spans="1:45" ht="12.95" customHeight="1">
      <c r="A1092" s="1"/>
      <c r="B1092" s="1"/>
      <c r="C1092" s="1334"/>
      <c r="D1092" s="1334"/>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4"/>
      <c r="D1093" s="1334"/>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51" t="s">
        <v>591</v>
      </c>
      <c r="B1094" s="1351"/>
      <c r="C1094" s="1334">
        <v>8</v>
      </c>
      <c r="D1094" s="1334"/>
      <c r="E1094" s="1294" t="s">
        <v>1073</v>
      </c>
      <c r="F1094" s="1294"/>
      <c r="G1094" s="1294"/>
      <c r="H1094" s="1294"/>
      <c r="I1094" s="1294"/>
      <c r="J1094" s="1294"/>
      <c r="K1094" s="1294"/>
      <c r="L1094" s="1294"/>
      <c r="M1094" s="1294"/>
      <c r="N1094" s="1294"/>
      <c r="O1094" s="1294"/>
      <c r="P1094" s="1294"/>
      <c r="Q1094" s="1294"/>
      <c r="R1094" s="1294"/>
      <c r="S1094" s="1294"/>
      <c r="T1094" s="1294"/>
      <c r="U1094" s="1294"/>
      <c r="V1094" s="1294"/>
      <c r="W1094" s="1294"/>
      <c r="X1094" s="1294"/>
      <c r="Y1094" s="1294"/>
      <c r="Z1094" s="1294"/>
      <c r="AA1094" s="1294"/>
      <c r="AB1094" s="1294"/>
      <c r="AC1094" s="1294"/>
      <c r="AD1094" s="1294"/>
      <c r="AE1094" s="1294"/>
      <c r="AF1094" s="1294"/>
      <c r="AG1094" s="1294"/>
      <c r="AH1094" s="1294"/>
      <c r="AI1094" s="1294"/>
      <c r="AJ1094" s="1294"/>
      <c r="AK1094" s="1294"/>
      <c r="AL1094" s="1294"/>
      <c r="AM1094" s="1294"/>
      <c r="AN1094" s="1294"/>
      <c r="AO1094" s="1294"/>
      <c r="AP1094" s="1294"/>
      <c r="AQ1094" s="1294"/>
      <c r="AR1094" s="1294"/>
    </row>
    <row r="1095" spans="1:45" ht="12.95" customHeight="1">
      <c r="A1095" s="35"/>
      <c r="B1095" s="25"/>
      <c r="C1095" s="1334"/>
      <c r="D1095" s="1334"/>
      <c r="E1095" s="1294"/>
      <c r="F1095" s="1294"/>
      <c r="G1095" s="1294"/>
      <c r="H1095" s="1294"/>
      <c r="I1095" s="1294"/>
      <c r="J1095" s="1294"/>
      <c r="K1095" s="1294"/>
      <c r="L1095" s="1294"/>
      <c r="M1095" s="1294"/>
      <c r="N1095" s="1294"/>
      <c r="O1095" s="1294"/>
      <c r="P1095" s="1294"/>
      <c r="Q1095" s="1294"/>
      <c r="R1095" s="1294"/>
      <c r="S1095" s="1294"/>
      <c r="T1095" s="1294"/>
      <c r="U1095" s="1294"/>
      <c r="V1095" s="1294"/>
      <c r="W1095" s="1294"/>
      <c r="X1095" s="1294"/>
      <c r="Y1095" s="1294"/>
      <c r="Z1095" s="1294"/>
      <c r="AA1095" s="1294"/>
      <c r="AB1095" s="1294"/>
      <c r="AC1095" s="1294"/>
      <c r="AD1095" s="1294"/>
      <c r="AE1095" s="1294"/>
      <c r="AF1095" s="1294"/>
      <c r="AG1095" s="1294"/>
      <c r="AH1095" s="1294"/>
      <c r="AI1095" s="1294"/>
      <c r="AJ1095" s="1294"/>
      <c r="AK1095" s="1294"/>
      <c r="AL1095" s="1294"/>
      <c r="AM1095" s="1294"/>
      <c r="AN1095" s="1294"/>
      <c r="AO1095" s="1294"/>
      <c r="AP1095" s="1294"/>
      <c r="AQ1095" s="1294"/>
      <c r="AR1095" s="1294"/>
    </row>
    <row r="1096" spans="1:45" ht="12.95" customHeight="1">
      <c r="A1096" s="35"/>
      <c r="B1096" s="25"/>
      <c r="C1096" s="1334"/>
      <c r="D1096" s="1334"/>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51" t="s">
        <v>591</v>
      </c>
      <c r="B1097" s="1351"/>
      <c r="C1097" s="1352">
        <v>9</v>
      </c>
      <c r="D1097" s="1352"/>
      <c r="E1097" s="1294" t="s">
        <v>1075</v>
      </c>
      <c r="F1097" s="1294"/>
      <c r="G1097" s="1294"/>
      <c r="H1097" s="1294"/>
      <c r="I1097" s="1294"/>
      <c r="J1097" s="1294"/>
      <c r="K1097" s="1294"/>
      <c r="L1097" s="1294"/>
      <c r="M1097" s="1294"/>
      <c r="N1097" s="1294"/>
      <c r="O1097" s="1294"/>
      <c r="P1097" s="1294"/>
      <c r="Q1097" s="1294"/>
      <c r="R1097" s="1294"/>
      <c r="S1097" s="1294"/>
      <c r="T1097" s="1294"/>
      <c r="U1097" s="1294"/>
      <c r="V1097" s="1294"/>
      <c r="W1097" s="1294"/>
      <c r="X1097" s="1294"/>
      <c r="Y1097" s="1294"/>
      <c r="Z1097" s="1294"/>
      <c r="AA1097" s="1294"/>
      <c r="AB1097" s="1294"/>
      <c r="AC1097" s="1294"/>
      <c r="AD1097" s="1294"/>
      <c r="AE1097" s="1294"/>
      <c r="AF1097" s="1294"/>
      <c r="AG1097" s="1294"/>
      <c r="AH1097" s="1294"/>
      <c r="AI1097" s="1294"/>
      <c r="AJ1097" s="1294"/>
      <c r="AK1097" s="1294"/>
      <c r="AL1097" s="1294"/>
      <c r="AM1097" s="1294"/>
      <c r="AN1097" s="1294"/>
      <c r="AO1097" s="1294"/>
      <c r="AP1097" s="1294"/>
      <c r="AQ1097" s="1294"/>
      <c r="AR1097" s="1294"/>
    </row>
    <row r="1098" spans="1:45" ht="12.95" customHeight="1">
      <c r="A1098" s="1"/>
      <c r="B1098" s="1"/>
      <c r="C1098" s="1352"/>
      <c r="D1098" s="1352"/>
      <c r="E1098" s="1294"/>
      <c r="F1098" s="1294"/>
      <c r="G1098" s="1294"/>
      <c r="H1098" s="1294"/>
      <c r="I1098" s="1294"/>
      <c r="J1098" s="1294"/>
      <c r="K1098" s="1294"/>
      <c r="L1098" s="1294"/>
      <c r="M1098" s="1294"/>
      <c r="N1098" s="1294"/>
      <c r="O1098" s="1294"/>
      <c r="P1098" s="1294"/>
      <c r="Q1098" s="1294"/>
      <c r="R1098" s="1294"/>
      <c r="S1098" s="1294"/>
      <c r="T1098" s="1294"/>
      <c r="U1098" s="1294"/>
      <c r="V1098" s="1294"/>
      <c r="W1098" s="1294"/>
      <c r="X1098" s="1294"/>
      <c r="Y1098" s="1294"/>
      <c r="Z1098" s="1294"/>
      <c r="AA1098" s="1294"/>
      <c r="AB1098" s="1294"/>
      <c r="AC1098" s="1294"/>
      <c r="AD1098" s="1294"/>
      <c r="AE1098" s="1294"/>
      <c r="AF1098" s="1294"/>
      <c r="AG1098" s="1294"/>
      <c r="AH1098" s="1294"/>
      <c r="AI1098" s="1294"/>
      <c r="AJ1098" s="1294"/>
      <c r="AK1098" s="1294"/>
      <c r="AL1098" s="1294"/>
      <c r="AM1098" s="1294"/>
      <c r="AN1098" s="1294"/>
      <c r="AO1098" s="1294"/>
      <c r="AP1098" s="1294"/>
      <c r="AQ1098" s="1294"/>
      <c r="AR1098" s="1294"/>
    </row>
    <row r="1099" spans="1:45" ht="12.95" customHeight="1">
      <c r="A1099" s="35"/>
      <c r="B1099" s="25"/>
      <c r="C1099" s="1352"/>
      <c r="D1099" s="1352"/>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51" t="s">
        <v>591</v>
      </c>
      <c r="B1100" s="1351"/>
      <c r="C1100" s="1352">
        <v>10</v>
      </c>
      <c r="D1100" s="1352"/>
      <c r="E1100" s="1353" t="s">
        <v>2240</v>
      </c>
      <c r="F1100" s="1353"/>
      <c r="G1100" s="1353"/>
      <c r="H1100" s="1353"/>
      <c r="I1100" s="1353"/>
      <c r="J1100" s="1353"/>
      <c r="K1100" s="1353"/>
      <c r="L1100" s="1353"/>
      <c r="M1100" s="1353"/>
      <c r="N1100" s="1353"/>
      <c r="O1100" s="1353"/>
      <c r="P1100" s="1353"/>
      <c r="Q1100" s="1353"/>
      <c r="R1100" s="1353"/>
      <c r="S1100" s="1353"/>
      <c r="T1100" s="1353"/>
      <c r="U1100" s="1353"/>
      <c r="V1100" s="1353"/>
      <c r="W1100" s="1353"/>
      <c r="X1100" s="1353"/>
      <c r="Y1100" s="1353"/>
      <c r="Z1100" s="1353"/>
      <c r="AA1100" s="1353"/>
      <c r="AB1100" s="1353"/>
      <c r="AC1100" s="1353"/>
      <c r="AD1100" s="1353"/>
      <c r="AE1100" s="1353"/>
      <c r="AF1100" s="1353"/>
      <c r="AG1100" s="1353"/>
      <c r="AH1100" s="1353"/>
      <c r="AI1100" s="1353"/>
      <c r="AJ1100" s="1353"/>
      <c r="AK1100" s="1353"/>
      <c r="AL1100" s="1353"/>
      <c r="AM1100" s="1353"/>
      <c r="AN1100" s="1353"/>
      <c r="AO1100" s="1353"/>
      <c r="AP1100" s="1353"/>
      <c r="AQ1100" s="1353"/>
      <c r="AR1100" s="1353"/>
    </row>
    <row r="1101" spans="1:45" ht="12.95" customHeight="1">
      <c r="A1101" s="1"/>
      <c r="B1101" s="1"/>
      <c r="C1101" s="199"/>
      <c r="D1101" s="1161"/>
      <c r="E1101" s="1353"/>
      <c r="F1101" s="1353"/>
      <c r="G1101" s="1353"/>
      <c r="H1101" s="1353"/>
      <c r="I1101" s="1353"/>
      <c r="J1101" s="1353"/>
      <c r="K1101" s="1353"/>
      <c r="L1101" s="1353"/>
      <c r="M1101" s="1353"/>
      <c r="N1101" s="1353"/>
      <c r="O1101" s="1353"/>
      <c r="P1101" s="1353"/>
      <c r="Q1101" s="1353"/>
      <c r="R1101" s="1353"/>
      <c r="S1101" s="1353"/>
      <c r="T1101" s="1353"/>
      <c r="U1101" s="1353"/>
      <c r="V1101" s="1353"/>
      <c r="W1101" s="1353"/>
      <c r="X1101" s="1353"/>
      <c r="Y1101" s="1353"/>
      <c r="Z1101" s="1353"/>
      <c r="AA1101" s="1353"/>
      <c r="AB1101" s="1353"/>
      <c r="AC1101" s="1353"/>
      <c r="AD1101" s="1353"/>
      <c r="AE1101" s="1353"/>
      <c r="AF1101" s="1353"/>
      <c r="AG1101" s="1353"/>
      <c r="AH1101" s="1353"/>
      <c r="AI1101" s="1353"/>
      <c r="AJ1101" s="1353"/>
      <c r="AK1101" s="1353"/>
      <c r="AL1101" s="1353"/>
      <c r="AM1101" s="1353"/>
      <c r="AN1101" s="1353"/>
      <c r="AO1101" s="1353"/>
      <c r="AP1101" s="1353"/>
      <c r="AQ1101" s="1353"/>
      <c r="AR1101" s="1353"/>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51" t="s">
        <v>591</v>
      </c>
      <c r="B1103" s="1351"/>
      <c r="C1103" s="1352">
        <v>11</v>
      </c>
      <c r="D1103" s="1352"/>
      <c r="E1103" s="1353" t="s">
        <v>2242</v>
      </c>
      <c r="F1103" s="1353"/>
      <c r="G1103" s="1353"/>
      <c r="H1103" s="1353"/>
      <c r="I1103" s="1353"/>
      <c r="J1103" s="1353"/>
      <c r="K1103" s="1353"/>
      <c r="L1103" s="1353"/>
      <c r="M1103" s="1353"/>
      <c r="N1103" s="1353"/>
      <c r="O1103" s="1353"/>
      <c r="P1103" s="1353"/>
      <c r="Q1103" s="1353"/>
      <c r="R1103" s="1353"/>
      <c r="S1103" s="1353"/>
      <c r="T1103" s="1353"/>
      <c r="U1103" s="1353"/>
      <c r="V1103" s="1353"/>
      <c r="W1103" s="1353"/>
      <c r="X1103" s="1353"/>
      <c r="Y1103" s="1353"/>
      <c r="Z1103" s="1353"/>
      <c r="AA1103" s="1353"/>
      <c r="AB1103" s="1353"/>
      <c r="AC1103" s="1353"/>
      <c r="AD1103" s="1353"/>
      <c r="AE1103" s="1353"/>
      <c r="AF1103" s="1353"/>
      <c r="AG1103" s="1353"/>
      <c r="AH1103" s="1353"/>
      <c r="AI1103" s="1353"/>
      <c r="AJ1103" s="1353"/>
      <c r="AK1103" s="1353"/>
      <c r="AL1103" s="1353"/>
      <c r="AM1103" s="1353"/>
      <c r="AN1103" s="1353"/>
      <c r="AO1103" s="1353"/>
      <c r="AP1103" s="1353"/>
      <c r="AQ1103" s="1353"/>
      <c r="AR1103" s="1353"/>
    </row>
    <row r="1104" spans="1:45" ht="12.95" customHeight="1">
      <c r="A1104" s="1"/>
      <c r="B1104" s="1"/>
      <c r="C1104" s="199"/>
      <c r="D1104" s="1161"/>
      <c r="E1104" s="1353"/>
      <c r="F1104" s="1353"/>
      <c r="G1104" s="1353"/>
      <c r="H1104" s="1353"/>
      <c r="I1104" s="1353"/>
      <c r="J1104" s="1353"/>
      <c r="K1104" s="1353"/>
      <c r="L1104" s="1353"/>
      <c r="M1104" s="1353"/>
      <c r="N1104" s="1353"/>
      <c r="O1104" s="1353"/>
      <c r="P1104" s="1353"/>
      <c r="Q1104" s="1353"/>
      <c r="R1104" s="1353"/>
      <c r="S1104" s="1353"/>
      <c r="T1104" s="1353"/>
      <c r="U1104" s="1353"/>
      <c r="V1104" s="1353"/>
      <c r="W1104" s="1353"/>
      <c r="X1104" s="1353"/>
      <c r="Y1104" s="1353"/>
      <c r="Z1104" s="1353"/>
      <c r="AA1104" s="1353"/>
      <c r="AB1104" s="1353"/>
      <c r="AC1104" s="1353"/>
      <c r="AD1104" s="1353"/>
      <c r="AE1104" s="1353"/>
      <c r="AF1104" s="1353"/>
      <c r="AG1104" s="1353"/>
      <c r="AH1104" s="1353"/>
      <c r="AI1104" s="1353"/>
      <c r="AJ1104" s="1353"/>
      <c r="AK1104" s="1353"/>
      <c r="AL1104" s="1353"/>
      <c r="AM1104" s="1353"/>
      <c r="AN1104" s="1353"/>
      <c r="AO1104" s="1353"/>
      <c r="AP1104" s="1353"/>
      <c r="AQ1104" s="1353"/>
      <c r="AR1104" s="1353"/>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51" t="s">
        <v>591</v>
      </c>
      <c r="B1125" s="1351"/>
      <c r="C1125" s="199">
        <v>9</v>
      </c>
      <c r="D1125" s="1264" t="s">
        <v>1074</v>
      </c>
      <c r="E1125" s="1264"/>
      <c r="F1125" s="1264"/>
      <c r="G1125" s="1264"/>
      <c r="H1125" s="1264"/>
      <c r="I1125" s="1264"/>
      <c r="J1125" s="1264"/>
      <c r="K1125" s="1264"/>
      <c r="L1125" s="1264"/>
      <c r="M1125" s="1264"/>
      <c r="N1125" s="1264"/>
      <c r="O1125" s="1264"/>
      <c r="P1125" s="1264"/>
      <c r="Q1125" s="1264"/>
      <c r="R1125" s="1264"/>
      <c r="S1125" s="1264"/>
      <c r="T1125" s="1264"/>
      <c r="U1125" s="1264"/>
      <c r="V1125" s="1264"/>
      <c r="W1125" s="1264"/>
      <c r="X1125" s="1264"/>
      <c r="Y1125" s="1264"/>
      <c r="Z1125" s="1264"/>
      <c r="AA1125" s="1264"/>
      <c r="AB1125" s="1264"/>
      <c r="AC1125" s="1264"/>
      <c r="AD1125" s="1264"/>
      <c r="AE1125" s="1264"/>
      <c r="AF1125" s="1264"/>
      <c r="AG1125" s="1264"/>
      <c r="AH1125" s="1264"/>
      <c r="AI1125" s="1264"/>
      <c r="AJ1125" s="1264"/>
      <c r="AK1125" s="1264"/>
    </row>
    <row r="1126" spans="1:37" ht="0" hidden="1" customHeight="1">
      <c r="A1126" s="35"/>
      <c r="B1126" s="25"/>
      <c r="C1126" s="199"/>
      <c r="D1126" s="1264"/>
      <c r="E1126" s="1264"/>
      <c r="F1126" s="1264"/>
      <c r="G1126" s="1264"/>
      <c r="H1126" s="1264"/>
      <c r="I1126" s="1264"/>
      <c r="J1126" s="1264"/>
      <c r="K1126" s="1264"/>
      <c r="L1126" s="1264"/>
      <c r="M1126" s="1264"/>
      <c r="N1126" s="1264"/>
      <c r="O1126" s="1264"/>
      <c r="P1126" s="1264"/>
      <c r="Q1126" s="1264"/>
      <c r="R1126" s="1264"/>
      <c r="S1126" s="1264"/>
      <c r="T1126" s="1264"/>
      <c r="U1126" s="1264"/>
      <c r="V1126" s="1264"/>
      <c r="W1126" s="1264"/>
      <c r="X1126" s="1264"/>
      <c r="Y1126" s="1264"/>
      <c r="Z1126" s="1264"/>
      <c r="AA1126" s="1264"/>
      <c r="AB1126" s="1264"/>
      <c r="AC1126" s="1264"/>
      <c r="AD1126" s="1264"/>
      <c r="AE1126" s="1264"/>
      <c r="AF1126" s="1264"/>
      <c r="AG1126" s="1264"/>
      <c r="AH1126" s="1264"/>
      <c r="AI1126" s="1264"/>
      <c r="AJ1126" s="1264"/>
      <c r="AK1126" s="1264"/>
    </row>
    <row r="1127" spans="1:37" ht="0" hidden="1" customHeight="1">
      <c r="D1127" s="1264"/>
      <c r="E1127" s="1264"/>
      <c r="F1127" s="1264"/>
      <c r="G1127" s="1264"/>
      <c r="H1127" s="1264"/>
      <c r="I1127" s="1264"/>
      <c r="J1127" s="1264"/>
      <c r="K1127" s="1264"/>
      <c r="L1127" s="1264"/>
      <c r="M1127" s="1264"/>
      <c r="N1127" s="1264"/>
      <c r="O1127" s="1264"/>
      <c r="P1127" s="1264"/>
      <c r="Q1127" s="1264"/>
      <c r="R1127" s="1264"/>
      <c r="S1127" s="1264"/>
      <c r="T1127" s="1264"/>
      <c r="U1127" s="1264"/>
      <c r="V1127" s="1264"/>
      <c r="W1127" s="1264"/>
      <c r="X1127" s="1264"/>
      <c r="Y1127" s="1264"/>
      <c r="Z1127" s="1264"/>
      <c r="AA1127" s="1264"/>
      <c r="AB1127" s="1264"/>
      <c r="AC1127" s="1264"/>
      <c r="AD1127" s="1264"/>
      <c r="AE1127" s="1264"/>
      <c r="AF1127" s="1264"/>
      <c r="AG1127" s="1264"/>
      <c r="AH1127" s="1264"/>
      <c r="AI1127" s="1264"/>
      <c r="AJ1127" s="1264"/>
      <c r="AK1127" s="1264"/>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6:EN796"/>
    <mergeCell ref="EJ797:EN797"/>
    <mergeCell ref="DJ794:DN794"/>
    <mergeCell ref="DJ795:DN795"/>
    <mergeCell ref="DJ796:DN796"/>
    <mergeCell ref="DJ797:DN797"/>
    <mergeCell ref="DZ790:ED790"/>
    <mergeCell ref="DZ791:ED791"/>
    <mergeCell ref="DZ792:ED792"/>
    <mergeCell ref="DZ793:ED793"/>
    <mergeCell ref="DZ794:ED794"/>
    <mergeCell ref="DZ795:ED795"/>
    <mergeCell ref="DZ796:ED796"/>
    <mergeCell ref="DZ797:ED797"/>
    <mergeCell ref="DJ790:DN790"/>
    <mergeCell ref="DJ791:DN791"/>
    <mergeCell ref="DJ792:DN792"/>
    <mergeCell ref="DJ793:DN793"/>
    <mergeCell ref="DO791:DS791"/>
    <mergeCell ref="DO796:DS796"/>
    <mergeCell ref="DO797:DS797"/>
    <mergeCell ref="DU795:DY795"/>
    <mergeCell ref="DO795:DS795"/>
    <mergeCell ref="C829:H829"/>
    <mergeCell ref="U829:X829"/>
    <mergeCell ref="DO787:DS787"/>
    <mergeCell ref="DO788:DS788"/>
    <mergeCell ref="DO789:DS789"/>
    <mergeCell ref="DO790:DS790"/>
    <mergeCell ref="EO795:ES795"/>
    <mergeCell ref="DO792:DS792"/>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DU796:DY796"/>
    <mergeCell ref="DE789:DI789"/>
    <mergeCell ref="EO797:ES797"/>
    <mergeCell ref="DZ787:ED787"/>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CZ795:DD795"/>
    <mergeCell ref="CZ796:DD796"/>
    <mergeCell ref="CZ797:DD797"/>
    <mergeCell ref="DE787:DI787"/>
    <mergeCell ref="CP797:CT797"/>
    <mergeCell ref="U828:X828"/>
    <mergeCell ref="AG828:AJ828"/>
    <mergeCell ref="Z807:AE807"/>
    <mergeCell ref="CU787:CY787"/>
    <mergeCell ref="CU788:CY788"/>
    <mergeCell ref="CM720:CN720"/>
    <mergeCell ref="CP720:CT720"/>
    <mergeCell ref="CU729:CY729"/>
    <mergeCell ref="CP733:CT733"/>
    <mergeCell ref="DE788:DI788"/>
    <mergeCell ref="EJ790:EN790"/>
    <mergeCell ref="EJ791:EN791"/>
    <mergeCell ref="EJ792:EN792"/>
    <mergeCell ref="EJ793:EN793"/>
    <mergeCell ref="EJ794:EN794"/>
    <mergeCell ref="EJ795:EN795"/>
    <mergeCell ref="DO793:DS793"/>
    <mergeCell ref="DO794:DS794"/>
    <mergeCell ref="DE792:DI792"/>
    <mergeCell ref="DE793:DI793"/>
    <mergeCell ref="DE794:DI794"/>
    <mergeCell ref="DU788:DY788"/>
    <mergeCell ref="DU789:DY789"/>
    <mergeCell ref="DU790:DY790"/>
    <mergeCell ref="DU791:DY791"/>
    <mergeCell ref="DU792:DY792"/>
    <mergeCell ref="DU793:DY793"/>
    <mergeCell ref="DU794:DY794"/>
    <mergeCell ref="DZ788:ED788"/>
    <mergeCell ref="DZ789:ED789"/>
    <mergeCell ref="CU795:CY795"/>
    <mergeCell ref="CU796:CY796"/>
    <mergeCell ref="CU797:CY797"/>
    <mergeCell ref="CZ787:DD787"/>
    <mergeCell ref="CZ788:DD788"/>
    <mergeCell ref="CZ789:DD789"/>
    <mergeCell ref="CZ790:DD790"/>
    <mergeCell ref="CZ791:DD791"/>
    <mergeCell ref="CZ792:DD792"/>
    <mergeCell ref="DJ787:DN787"/>
    <mergeCell ref="DJ788:DN788"/>
    <mergeCell ref="DJ789:DN789"/>
    <mergeCell ref="CU751:CY751"/>
    <mergeCell ref="CM751:CN751"/>
    <mergeCell ref="DE790:DI790"/>
    <mergeCell ref="DE791:DI791"/>
    <mergeCell ref="DE795:DI795"/>
    <mergeCell ref="DE796:DI796"/>
    <mergeCell ref="DE797:DI797"/>
    <mergeCell ref="CZ793:DD793"/>
    <mergeCell ref="CZ794:DD794"/>
    <mergeCell ref="CZ775:DD775"/>
    <mergeCell ref="CZ776:DD776"/>
    <mergeCell ref="CI751:CJ751"/>
    <mergeCell ref="CI753:CJ753"/>
    <mergeCell ref="CZ777:DD777"/>
    <mergeCell ref="CP794:CT794"/>
    <mergeCell ref="CI752:CJ752"/>
    <mergeCell ref="CU743:CY743"/>
    <mergeCell ref="CZ743:DD743"/>
    <mergeCell ref="CG749:CH749"/>
    <mergeCell ref="CG748:CH748"/>
    <mergeCell ref="CG746:CH746"/>
    <mergeCell ref="X774:AB774"/>
    <mergeCell ref="CK751:CL751"/>
    <mergeCell ref="CP776:CT776"/>
    <mergeCell ref="CG747:CH747"/>
    <mergeCell ref="CI747:CJ747"/>
    <mergeCell ref="CK747:CL747"/>
    <mergeCell ref="CM747:CN747"/>
    <mergeCell ref="CU789:CY789"/>
    <mergeCell ref="CU790:CY790"/>
    <mergeCell ref="CU791:CY791"/>
    <mergeCell ref="CU792:CY792"/>
    <mergeCell ref="CU793:CY793"/>
    <mergeCell ref="CU794:CY794"/>
    <mergeCell ref="CP746:CT746"/>
    <mergeCell ref="CG750:CH750"/>
    <mergeCell ref="CU748:CY748"/>
    <mergeCell ref="CK746:CL746"/>
    <mergeCell ref="CM746:CN746"/>
    <mergeCell ref="CK744:CL744"/>
    <mergeCell ref="CM744:CN744"/>
    <mergeCell ref="CI742:CJ742"/>
    <mergeCell ref="CK742:CL742"/>
    <mergeCell ref="EJ744:EN744"/>
    <mergeCell ref="EO744:ES744"/>
    <mergeCell ref="DU742:DY742"/>
    <mergeCell ref="DZ742:ED742"/>
    <mergeCell ref="ET742:EX742"/>
    <mergeCell ref="AK743:AO743"/>
    <mergeCell ref="AK744:AO744"/>
    <mergeCell ref="X743:AB743"/>
    <mergeCell ref="X744:AB744"/>
    <mergeCell ref="AH743:AJ743"/>
    <mergeCell ref="AH744:AJ744"/>
    <mergeCell ref="CI748:CJ748"/>
    <mergeCell ref="CZ744:DD744"/>
    <mergeCell ref="CI743:CJ743"/>
    <mergeCell ref="CK743:CL743"/>
    <mergeCell ref="CM743:CN743"/>
    <mergeCell ref="FE751:FI751"/>
    <mergeCell ref="FJ751:FN751"/>
    <mergeCell ref="CZ750:DD750"/>
    <mergeCell ref="CK752:CL752"/>
    <mergeCell ref="FO752:FS752"/>
    <mergeCell ref="CI750:CJ750"/>
    <mergeCell ref="CP742:CT742"/>
    <mergeCell ref="DO743:DS743"/>
    <mergeCell ref="DO744:DS744"/>
    <mergeCell ref="DO750:DS750"/>
    <mergeCell ref="DJ745:DN745"/>
    <mergeCell ref="CU742:CY742"/>
    <mergeCell ref="CZ742:DD742"/>
    <mergeCell ref="DE742:DI742"/>
    <mergeCell ref="DJ742:DN742"/>
    <mergeCell ref="DO742:DS742"/>
    <mergeCell ref="CP743:CT743"/>
    <mergeCell ref="DJ743:DN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O753:FS753"/>
    <mergeCell ref="FE748:FI748"/>
    <mergeCell ref="FJ748:FN748"/>
    <mergeCell ref="FO748:FS748"/>
    <mergeCell ref="EZ745:FD745"/>
    <mergeCell ref="FJ750:FN750"/>
    <mergeCell ref="FO750:FS750"/>
    <mergeCell ref="EM659:EQ659"/>
    <mergeCell ref="ER659:EV659"/>
    <mergeCell ref="EW659:FA659"/>
    <mergeCell ref="DX660:EB660"/>
    <mergeCell ref="EC660:EG660"/>
    <mergeCell ref="EH660:EL660"/>
    <mergeCell ref="DX665:EB665"/>
    <mergeCell ref="FY747:GC747"/>
    <mergeCell ref="EZ748:FD748"/>
    <mergeCell ref="FY749:GC749"/>
    <mergeCell ref="FE746:FI746"/>
    <mergeCell ref="FJ746:FN746"/>
    <mergeCell ref="FO746:FS746"/>
    <mergeCell ref="FT750:FX750"/>
    <mergeCell ref="FY750:GC750"/>
    <mergeCell ref="EJ745:EN745"/>
    <mergeCell ref="EZ741:FD741"/>
    <mergeCell ref="FE741:FI741"/>
    <mergeCell ref="FJ741:FN741"/>
    <mergeCell ref="FO741:FS741"/>
    <mergeCell ref="FY741:GC741"/>
    <mergeCell ref="EZ742:FD742"/>
    <mergeCell ref="FT742:FX742"/>
    <mergeCell ref="FY742:GC742"/>
    <mergeCell ref="EZ743:FD743"/>
    <mergeCell ref="FE743:FI743"/>
    <mergeCell ref="FJ743:FN743"/>
    <mergeCell ref="FO743:FS743"/>
    <mergeCell ref="EO747:ES747"/>
    <mergeCell ref="FY743:GC743"/>
    <mergeCell ref="FJ744:FN744"/>
    <mergeCell ref="FO744:FS744"/>
    <mergeCell ref="FT744:FX744"/>
    <mergeCell ref="FY744:GC744"/>
    <mergeCell ref="DU744:DY744"/>
    <mergeCell ref="DZ744:ED744"/>
    <mergeCell ref="EE744:EI744"/>
    <mergeCell ref="ET744:EX744"/>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R662:EV662"/>
    <mergeCell ref="FE750:FI750"/>
    <mergeCell ref="ET747:EX747"/>
    <mergeCell ref="DU748:DY748"/>
    <mergeCell ref="DZ748:ED748"/>
    <mergeCell ref="EE748:EI748"/>
    <mergeCell ref="EJ748:EN748"/>
    <mergeCell ref="EO748:ES748"/>
    <mergeCell ref="ET748:EX748"/>
    <mergeCell ref="EZ744:FD744"/>
    <mergeCell ref="FE744:FI744"/>
    <mergeCell ref="DU743:DY743"/>
    <mergeCell ref="DZ743:ED743"/>
    <mergeCell ref="EE743:EI743"/>
    <mergeCell ref="EJ743:EN743"/>
    <mergeCell ref="EO743:ES743"/>
    <mergeCell ref="ET743:EX743"/>
    <mergeCell ref="EM660:EQ660"/>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E742:FI742"/>
    <mergeCell ref="FJ742:FN742"/>
    <mergeCell ref="FO742:FS742"/>
    <mergeCell ref="FT741:FX741"/>
    <mergeCell ref="EE749:EI749"/>
    <mergeCell ref="EJ749:EN749"/>
    <mergeCell ref="EO749:ES749"/>
    <mergeCell ref="EE747:EI747"/>
    <mergeCell ref="EJ747:EN747"/>
    <mergeCell ref="EE742:EI742"/>
    <mergeCell ref="EJ742:EN742"/>
    <mergeCell ref="EO742:ES742"/>
    <mergeCell ref="FT748:FX748"/>
    <mergeCell ref="FT749:FX749"/>
    <mergeCell ref="FT743:FX743"/>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CP748:CT748"/>
    <mergeCell ref="CK748:CL748"/>
    <mergeCell ref="CM748:CN748"/>
    <mergeCell ref="CP747:CT747"/>
    <mergeCell ref="CI746:CJ746"/>
    <mergeCell ref="CU741:CY741"/>
    <mergeCell ref="DE743:DI743"/>
    <mergeCell ref="CZ741:DD741"/>
    <mergeCell ref="DO745:DS745"/>
    <mergeCell ref="CI744:CJ744"/>
    <mergeCell ref="CU745:CY745"/>
    <mergeCell ref="D472:V472"/>
    <mergeCell ref="W472:Y472"/>
    <mergeCell ref="AE551:AH553"/>
    <mergeCell ref="AI551:AL553"/>
    <mergeCell ref="CZ732:DD732"/>
    <mergeCell ref="G721:J721"/>
    <mergeCell ref="G722:J722"/>
    <mergeCell ref="DE741:DI741"/>
    <mergeCell ref="CK733:CL733"/>
    <mergeCell ref="CU744:CY744"/>
    <mergeCell ref="L508:AB508"/>
    <mergeCell ref="N583:O583"/>
    <mergeCell ref="Q554:S554"/>
    <mergeCell ref="AH529:AK529"/>
    <mergeCell ref="AH534:AK534"/>
    <mergeCell ref="O523:AA523"/>
    <mergeCell ref="G731:J731"/>
    <mergeCell ref="X738:AB738"/>
    <mergeCell ref="X729:AB729"/>
    <mergeCell ref="B729:F729"/>
    <mergeCell ref="Q556:S556"/>
    <mergeCell ref="M554:P554"/>
    <mergeCell ref="O529:AA529"/>
    <mergeCell ref="AH533:AK533"/>
    <mergeCell ref="AH528:AK528"/>
    <mergeCell ref="DE718:DI718"/>
    <mergeCell ref="AH513:AK513"/>
    <mergeCell ref="AC531:AF531"/>
    <mergeCell ref="AC539:AF539"/>
    <mergeCell ref="D449:AF449"/>
    <mergeCell ref="AC510:AF510"/>
    <mergeCell ref="B501:H502"/>
    <mergeCell ref="D473:V473"/>
    <mergeCell ref="AC515:AF515"/>
    <mergeCell ref="B489:P490"/>
    <mergeCell ref="AH505:AK505"/>
    <mergeCell ref="AC526:AF526"/>
    <mergeCell ref="W469:Y469"/>
    <mergeCell ref="AC503:AF503"/>
    <mergeCell ref="A480:AT481"/>
    <mergeCell ref="AM551:AS553"/>
    <mergeCell ref="M495:P495"/>
    <mergeCell ref="AC501:AF501"/>
    <mergeCell ref="B503:H508"/>
    <mergeCell ref="B551:L553"/>
    <mergeCell ref="Q551:S553"/>
    <mergeCell ref="T551:V553"/>
    <mergeCell ref="AC521:AF521"/>
    <mergeCell ref="AH527:AK527"/>
    <mergeCell ref="AC517:AF517"/>
    <mergeCell ref="AC518:AF518"/>
    <mergeCell ref="CM718:CN718"/>
    <mergeCell ref="AG441:AJ441"/>
    <mergeCell ref="AC538:AF538"/>
    <mergeCell ref="AC514:AF514"/>
    <mergeCell ref="AH538:AK538"/>
    <mergeCell ref="AH535:AK535"/>
    <mergeCell ref="AC532:AF532"/>
    <mergeCell ref="AH518:AK518"/>
    <mergeCell ref="AH514:AK514"/>
    <mergeCell ref="AH539:AK539"/>
    <mergeCell ref="AH541:AK541"/>
    <mergeCell ref="AC535:AF535"/>
    <mergeCell ref="AC504:AF504"/>
    <mergeCell ref="B520:H542"/>
    <mergeCell ref="D447:AF447"/>
    <mergeCell ref="W466:Y466"/>
    <mergeCell ref="Q494:AK494"/>
    <mergeCell ref="AC455:AF455"/>
    <mergeCell ref="AG449:AJ449"/>
    <mergeCell ref="Q493:AK493"/>
    <mergeCell ref="AC502:AF502"/>
    <mergeCell ref="AC505:AF505"/>
    <mergeCell ref="AC541:AF541"/>
    <mergeCell ref="AH506:AK506"/>
    <mergeCell ref="AH508:AK508"/>
    <mergeCell ref="AC540:AF540"/>
    <mergeCell ref="AC508:AF508"/>
    <mergeCell ref="AH537:AK537"/>
    <mergeCell ref="AC534:AF534"/>
    <mergeCell ref="AC529:AF529"/>
    <mergeCell ref="AH530:AK530"/>
    <mergeCell ref="AH542:AK542"/>
    <mergeCell ref="AH507:AK507"/>
    <mergeCell ref="AH515:AK515"/>
    <mergeCell ref="AC516:AF516"/>
    <mergeCell ref="AC513:AF513"/>
    <mergeCell ref="O532:AA532"/>
    <mergeCell ref="AC507:AF507"/>
    <mergeCell ref="AC509:AF509"/>
    <mergeCell ref="AC525:AF525"/>
    <mergeCell ref="AC512:AF512"/>
    <mergeCell ref="AC542:AF542"/>
    <mergeCell ref="O520:AA520"/>
    <mergeCell ref="AH522:AK522"/>
    <mergeCell ref="AG450:AJ450"/>
    <mergeCell ref="D467:V467"/>
    <mergeCell ref="AM554:AS554"/>
    <mergeCell ref="AO639:AS639"/>
    <mergeCell ref="AO629:AS629"/>
    <mergeCell ref="AO638:AS638"/>
    <mergeCell ref="AC519:AF519"/>
    <mergeCell ref="AC523:AF523"/>
    <mergeCell ref="AH516:AK516"/>
    <mergeCell ref="Z628:AB628"/>
    <mergeCell ref="AA582:AK582"/>
    <mergeCell ref="AC522:AF522"/>
    <mergeCell ref="G594:R594"/>
    <mergeCell ref="Z594:AK594"/>
    <mergeCell ref="Z610:AK610"/>
    <mergeCell ref="T564:V564"/>
    <mergeCell ref="H606:R606"/>
    <mergeCell ref="Z578:AK578"/>
    <mergeCell ref="M574:R574"/>
    <mergeCell ref="Z577:AK577"/>
    <mergeCell ref="M559:P559"/>
    <mergeCell ref="Z554:AD554"/>
    <mergeCell ref="AH531:AK531"/>
    <mergeCell ref="AH540:AK540"/>
    <mergeCell ref="AK624:AN626"/>
    <mergeCell ref="AG599:AH599"/>
    <mergeCell ref="Z551:AD553"/>
    <mergeCell ref="P572:R572"/>
    <mergeCell ref="AI558:AL558"/>
    <mergeCell ref="Z557:AD557"/>
    <mergeCell ref="T559:V559"/>
    <mergeCell ref="C562:L562"/>
    <mergeCell ref="T562:V562"/>
    <mergeCell ref="G577:R577"/>
    <mergeCell ref="CM738:CN738"/>
    <mergeCell ref="AI562:AL562"/>
    <mergeCell ref="AK742:AO742"/>
    <mergeCell ref="CP745:CT745"/>
    <mergeCell ref="AM555:AS555"/>
    <mergeCell ref="AI557:AL557"/>
    <mergeCell ref="CI724:CJ724"/>
    <mergeCell ref="CG724:CH724"/>
    <mergeCell ref="CG730:CH730"/>
    <mergeCell ref="CG728:CH728"/>
    <mergeCell ref="X742:AB742"/>
    <mergeCell ref="AH742:AJ742"/>
    <mergeCell ref="AK739:AO739"/>
    <mergeCell ref="CM745:CN745"/>
    <mergeCell ref="CG744:CH744"/>
    <mergeCell ref="CG742:CH742"/>
    <mergeCell ref="AM560:AS560"/>
    <mergeCell ref="AM557:AS557"/>
    <mergeCell ref="AI655:AK655"/>
    <mergeCell ref="W558:Y558"/>
    <mergeCell ref="AE558:AH558"/>
    <mergeCell ref="Z570:AK570"/>
    <mergeCell ref="CI717:CJ717"/>
    <mergeCell ref="Z652:AK652"/>
    <mergeCell ref="AK732:AO732"/>
    <mergeCell ref="AK733:AO733"/>
    <mergeCell ref="AK734:AO734"/>
    <mergeCell ref="AK735:AO735"/>
    <mergeCell ref="CP740:CT740"/>
    <mergeCell ref="Z559:AD559"/>
    <mergeCell ref="AE556:AH556"/>
    <mergeCell ref="W556:Y556"/>
    <mergeCell ref="CK721:CL721"/>
    <mergeCell ref="T742:W742"/>
    <mergeCell ref="X745:AB745"/>
    <mergeCell ref="X746:AB746"/>
    <mergeCell ref="K724:N724"/>
    <mergeCell ref="AG665:AH665"/>
    <mergeCell ref="T729:W729"/>
    <mergeCell ref="B741:F741"/>
    <mergeCell ref="P597:R597"/>
    <mergeCell ref="G597:L597"/>
    <mergeCell ref="G602:R602"/>
    <mergeCell ref="AI597:AK597"/>
    <mergeCell ref="Z595:AK595"/>
    <mergeCell ref="N673:O673"/>
    <mergeCell ref="G687:L687"/>
    <mergeCell ref="K729:N729"/>
    <mergeCell ref="Z677:AK677"/>
    <mergeCell ref="B718:F718"/>
    <mergeCell ref="G720:J720"/>
    <mergeCell ref="CK718:CL718"/>
    <mergeCell ref="T741:W741"/>
    <mergeCell ref="G647:L647"/>
    <mergeCell ref="C638:L638"/>
    <mergeCell ref="AI679:AK679"/>
    <mergeCell ref="T724:W724"/>
    <mergeCell ref="AC637:AE637"/>
    <mergeCell ref="X714:AB717"/>
    <mergeCell ref="AE694:AF694"/>
    <mergeCell ref="CG734:CH734"/>
    <mergeCell ref="CG743:CH743"/>
    <mergeCell ref="G660:R660"/>
    <mergeCell ref="T634:V634"/>
    <mergeCell ref="AF634:AJ634"/>
    <mergeCell ref="W637:Y637"/>
    <mergeCell ref="AJ356:AK356"/>
    <mergeCell ref="AD377:AE377"/>
    <mergeCell ref="AC371:AF371"/>
    <mergeCell ref="Y364:Z364"/>
    <mergeCell ref="N378:P378"/>
    <mergeCell ref="AG438:AJ438"/>
    <mergeCell ref="R411:S411"/>
    <mergeCell ref="H414:AE415"/>
    <mergeCell ref="B566:AL566"/>
    <mergeCell ref="AE560:AH560"/>
    <mergeCell ref="N575:O575"/>
    <mergeCell ref="AI560:AL560"/>
    <mergeCell ref="G571:R571"/>
    <mergeCell ref="Q559:S559"/>
    <mergeCell ref="P581:R581"/>
    <mergeCell ref="N591:O591"/>
    <mergeCell ref="Q560:S560"/>
    <mergeCell ref="Q565:S565"/>
    <mergeCell ref="M558:P558"/>
    <mergeCell ref="AH510:AK510"/>
    <mergeCell ref="AC454:AF454"/>
    <mergeCell ref="T565:V565"/>
    <mergeCell ref="C560:L560"/>
    <mergeCell ref="Z560:AD560"/>
    <mergeCell ref="AI563:AL563"/>
    <mergeCell ref="Z563:AD563"/>
    <mergeCell ref="T560:V560"/>
    <mergeCell ref="Z633:AB633"/>
    <mergeCell ref="G570:R570"/>
    <mergeCell ref="AH532:AK532"/>
    <mergeCell ref="M565:P565"/>
    <mergeCell ref="J386:U386"/>
    <mergeCell ref="T398:AJ398"/>
    <mergeCell ref="AG440:AJ440"/>
    <mergeCell ref="S401:U401"/>
    <mergeCell ref="AG401:AJ401"/>
    <mergeCell ref="AC387:AJ387"/>
    <mergeCell ref="V388:AJ388"/>
    <mergeCell ref="D443:AF443"/>
    <mergeCell ref="AG395:AJ395"/>
    <mergeCell ref="AI392:AJ392"/>
    <mergeCell ref="E420:AJ420"/>
    <mergeCell ref="S392:U392"/>
    <mergeCell ref="AG390:AJ390"/>
    <mergeCell ref="Q391:U391"/>
    <mergeCell ref="AC456:AF456"/>
    <mergeCell ref="D439:AF439"/>
    <mergeCell ref="AG442:AJ442"/>
    <mergeCell ref="E418:G418"/>
    <mergeCell ref="AD411:AE411"/>
    <mergeCell ref="F427:AH428"/>
    <mergeCell ref="J387:U387"/>
    <mergeCell ref="D445:AF445"/>
    <mergeCell ref="D451:AJ452"/>
    <mergeCell ref="Q558:S558"/>
    <mergeCell ref="AH512:AK512"/>
    <mergeCell ref="M557:P557"/>
    <mergeCell ref="AH520:AK520"/>
    <mergeCell ref="AC537:AF537"/>
    <mergeCell ref="O526:AA526"/>
    <mergeCell ref="V377:W377"/>
    <mergeCell ref="S377:T377"/>
    <mergeCell ref="D437:AF437"/>
    <mergeCell ref="D442:AF442"/>
    <mergeCell ref="AF430:AG430"/>
    <mergeCell ref="AG437:AJ437"/>
    <mergeCell ref="J388:U388"/>
    <mergeCell ref="AG443:AJ443"/>
    <mergeCell ref="D440:AF440"/>
    <mergeCell ref="Q389:U389"/>
    <mergeCell ref="AC370:AF370"/>
    <mergeCell ref="AG394:AJ394"/>
    <mergeCell ref="AE402:AJ402"/>
    <mergeCell ref="AC385:AJ385"/>
    <mergeCell ref="H336:R336"/>
    <mergeCell ref="D441:AF441"/>
    <mergeCell ref="AG447:AJ447"/>
    <mergeCell ref="P425:Q425"/>
    <mergeCell ref="I418:K418"/>
    <mergeCell ref="S413:T413"/>
    <mergeCell ref="H338:R338"/>
    <mergeCell ref="AG393:AJ393"/>
    <mergeCell ref="AG391:AJ391"/>
    <mergeCell ref="K404:AJ404"/>
    <mergeCell ref="AC386:AJ386"/>
    <mergeCell ref="AG439:AJ439"/>
    <mergeCell ref="AE424:AF424"/>
    <mergeCell ref="N371:Q371"/>
    <mergeCell ref="V382:W382"/>
    <mergeCell ref="J367:K367"/>
    <mergeCell ref="S405:AJ405"/>
    <mergeCell ref="AG379:AH379"/>
    <mergeCell ref="N372:Q372"/>
    <mergeCell ref="K403:AJ403"/>
    <mergeCell ref="P346:AE346"/>
    <mergeCell ref="Q390:U390"/>
    <mergeCell ref="I410:AE410"/>
    <mergeCell ref="AI389:AJ389"/>
    <mergeCell ref="P347:Z347"/>
    <mergeCell ref="O160:T160"/>
    <mergeCell ref="AI178:AK178"/>
    <mergeCell ref="AC253:AE253"/>
    <mergeCell ref="AH246:AK246"/>
    <mergeCell ref="T212:U212"/>
    <mergeCell ref="W253:X253"/>
    <mergeCell ref="M252:AE252"/>
    <mergeCell ref="M254:AE254"/>
    <mergeCell ref="AH254:AK254"/>
    <mergeCell ref="M253:T253"/>
    <mergeCell ref="AA257:AK257"/>
    <mergeCell ref="AA292:AF292"/>
    <mergeCell ref="H313:R313"/>
    <mergeCell ref="Q393:U393"/>
    <mergeCell ref="AG380:AH380"/>
    <mergeCell ref="M355:N355"/>
    <mergeCell ref="AI397:AJ397"/>
    <mergeCell ref="T399:AJ399"/>
    <mergeCell ref="AI339:AK339"/>
    <mergeCell ref="P348:Z348"/>
    <mergeCell ref="N373:AF374"/>
    <mergeCell ref="AJ355:AK355"/>
    <mergeCell ref="AG377:AH377"/>
    <mergeCell ref="M249:T249"/>
    <mergeCell ref="Z247:AE247"/>
    <mergeCell ref="AA335:AK335"/>
    <mergeCell ref="AC347:AE347"/>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F259:AK259"/>
    <mergeCell ref="AC261:AE261"/>
    <mergeCell ref="W261:X261"/>
    <mergeCell ref="M257:T257"/>
    <mergeCell ref="M256:AE256"/>
    <mergeCell ref="Z255:AE255"/>
    <mergeCell ref="M255:R255"/>
    <mergeCell ref="A282:AT283"/>
    <mergeCell ref="P331:R331"/>
    <mergeCell ref="AA324:AF324"/>
    <mergeCell ref="H328:R328"/>
    <mergeCell ref="AI323:AK323"/>
    <mergeCell ref="AA320:AK320"/>
    <mergeCell ref="H317:R317"/>
    <mergeCell ref="P323:R323"/>
    <mergeCell ref="AA315:AF315"/>
    <mergeCell ref="AA308:AF308"/>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A83:AT84"/>
    <mergeCell ref="T197:U197"/>
    <mergeCell ref="J173:S173"/>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F150:T150"/>
    <mergeCell ref="O155:AH155"/>
    <mergeCell ref="O153:AH153"/>
    <mergeCell ref="U176:V176"/>
    <mergeCell ref="T199:U199"/>
    <mergeCell ref="AC234:AE234"/>
    <mergeCell ref="D208:M208"/>
    <mergeCell ref="M233:AE233"/>
    <mergeCell ref="N191:AE192"/>
    <mergeCell ref="D211:M211"/>
    <mergeCell ref="AI228:AJ228"/>
    <mergeCell ref="M235:AE235"/>
    <mergeCell ref="I185:AE185"/>
    <mergeCell ref="U236:W236"/>
    <mergeCell ref="T189:AE189"/>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Y120:AK120"/>
    <mergeCell ref="P349:AE349"/>
    <mergeCell ref="AA341:AK341"/>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AA238:AK238"/>
    <mergeCell ref="M251:AE251"/>
    <mergeCell ref="X180:Y180"/>
    <mergeCell ref="AP205:AQ205"/>
    <mergeCell ref="AI229:AJ229"/>
    <mergeCell ref="U175:V175"/>
    <mergeCell ref="R177:S177"/>
    <mergeCell ref="M243:AE243"/>
    <mergeCell ref="D204:M204"/>
    <mergeCell ref="M238:T238"/>
    <mergeCell ref="AA331:AF331"/>
    <mergeCell ref="P315:R315"/>
    <mergeCell ref="N363:O363"/>
    <mergeCell ref="AA337:AK337"/>
    <mergeCell ref="H327:R327"/>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AA330:AK330"/>
    <mergeCell ref="H324:M324"/>
    <mergeCell ref="AA325:AK325"/>
    <mergeCell ref="H315:M315"/>
    <mergeCell ref="H321:R321"/>
    <mergeCell ref="H322:R322"/>
    <mergeCell ref="L276:S276"/>
    <mergeCell ref="L278:Q278"/>
    <mergeCell ref="AA289:AK289"/>
    <mergeCell ref="H295:R295"/>
    <mergeCell ref="H306:R306"/>
    <mergeCell ref="AA311:AK311"/>
    <mergeCell ref="AA306:AK306"/>
    <mergeCell ref="AA303:AK303"/>
    <mergeCell ref="D270:H270"/>
    <mergeCell ref="X270:AC270"/>
    <mergeCell ref="AA295:AK295"/>
    <mergeCell ref="AA299:AF299"/>
    <mergeCell ref="AI299:AK299"/>
    <mergeCell ref="H297:R297"/>
    <mergeCell ref="AA300:AF300"/>
    <mergeCell ref="L277:AD277"/>
    <mergeCell ref="AA298:AK298"/>
    <mergeCell ref="AA290:AK290"/>
    <mergeCell ref="AA297:AK297"/>
    <mergeCell ref="H288:R288"/>
    <mergeCell ref="L274:AJ274"/>
    <mergeCell ref="H289:R289"/>
    <mergeCell ref="H291:M291"/>
    <mergeCell ref="H299:M299"/>
    <mergeCell ref="H300:M300"/>
    <mergeCell ref="M260:AE260"/>
    <mergeCell ref="AA265:AK265"/>
    <mergeCell ref="T267:X267"/>
    <mergeCell ref="AA319:AK319"/>
    <mergeCell ref="AA291:AF291"/>
    <mergeCell ref="AI291:AK291"/>
    <mergeCell ref="AA323:AF323"/>
    <mergeCell ref="H320:R320"/>
    <mergeCell ref="H296:R296"/>
    <mergeCell ref="H323:M323"/>
    <mergeCell ref="M262:AE262"/>
    <mergeCell ref="U263:W263"/>
    <mergeCell ref="AH262:AK262"/>
    <mergeCell ref="Q486:AK486"/>
    <mergeCell ref="AH502:AK502"/>
    <mergeCell ref="AC499:AK499"/>
    <mergeCell ref="W468:Y468"/>
    <mergeCell ref="D450:AF450"/>
    <mergeCell ref="N370:Q370"/>
    <mergeCell ref="AH500:AK500"/>
    <mergeCell ref="H331:M331"/>
    <mergeCell ref="AI307:AK307"/>
    <mergeCell ref="H304:R304"/>
    <mergeCell ref="H303:R303"/>
    <mergeCell ref="D470:V470"/>
    <mergeCell ref="D438:AF438"/>
    <mergeCell ref="H314:R314"/>
    <mergeCell ref="H316:M316"/>
    <mergeCell ref="AA322:AK322"/>
    <mergeCell ref="H292:M292"/>
    <mergeCell ref="H309:R309"/>
    <mergeCell ref="M356:N356"/>
    <mergeCell ref="M259:AE259"/>
    <mergeCell ref="AA293:AK293"/>
    <mergeCell ref="L280:AD280"/>
    <mergeCell ref="L275:AD275"/>
    <mergeCell ref="H290:R290"/>
    <mergeCell ref="V276:W276"/>
    <mergeCell ref="AA301:AK301"/>
    <mergeCell ref="AA296:AK296"/>
    <mergeCell ref="H301:R301"/>
    <mergeCell ref="Q394:U394"/>
    <mergeCell ref="AD412:AE412"/>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G446:AJ446"/>
    <mergeCell ref="W467:Y467"/>
    <mergeCell ref="W470:Y470"/>
    <mergeCell ref="D471:V471"/>
    <mergeCell ref="P424:Q424"/>
    <mergeCell ref="W473:Y473"/>
    <mergeCell ref="M261:T261"/>
    <mergeCell ref="H298:R298"/>
    <mergeCell ref="H312:R312"/>
    <mergeCell ref="H337:R337"/>
    <mergeCell ref="H335:R335"/>
    <mergeCell ref="AA333:AK333"/>
    <mergeCell ref="H339:M339"/>
    <mergeCell ref="P339:R339"/>
    <mergeCell ref="D469:V469"/>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D446:AF446"/>
    <mergeCell ref="H341:R341"/>
    <mergeCell ref="P343:AE343"/>
    <mergeCell ref="AA340:AF340"/>
    <mergeCell ref="W418:Y418"/>
    <mergeCell ref="P344:AE344"/>
    <mergeCell ref="AA336:AK336"/>
    <mergeCell ref="H333:R333"/>
    <mergeCell ref="AA338:AK338"/>
    <mergeCell ref="P345:AE345"/>
    <mergeCell ref="R412:S412"/>
    <mergeCell ref="Z556:AD556"/>
    <mergeCell ref="AI555:AL555"/>
    <mergeCell ref="T558:V558"/>
    <mergeCell ref="AI556:AL556"/>
    <mergeCell ref="T557:V557"/>
    <mergeCell ref="AE425:AF425"/>
    <mergeCell ref="T556:V556"/>
    <mergeCell ref="AC520:AF520"/>
    <mergeCell ref="Q429:R429"/>
    <mergeCell ref="D448:AF448"/>
    <mergeCell ref="AG445:AJ445"/>
    <mergeCell ref="T554:V554"/>
    <mergeCell ref="AC524:AF524"/>
    <mergeCell ref="D468:V468"/>
    <mergeCell ref="AG444:AJ444"/>
    <mergeCell ref="AH503:AK503"/>
    <mergeCell ref="M551:P553"/>
    <mergeCell ref="AC536:AF536"/>
    <mergeCell ref="AC500:AF500"/>
    <mergeCell ref="AC506:AF506"/>
    <mergeCell ref="Q489:R490"/>
    <mergeCell ref="Q488:AK488"/>
    <mergeCell ref="AE555:AH555"/>
    <mergeCell ref="AI554:AL554"/>
    <mergeCell ref="F457:AB458"/>
    <mergeCell ref="D466:V466"/>
    <mergeCell ref="Q491:AK491"/>
    <mergeCell ref="AH495:AK495"/>
    <mergeCell ref="D465:V465"/>
    <mergeCell ref="Q485:AK485"/>
    <mergeCell ref="W474:Y474"/>
    <mergeCell ref="AC533:AF533"/>
    <mergeCell ref="M358:N358"/>
    <mergeCell ref="AH519:AK519"/>
    <mergeCell ref="AH536:AK536"/>
    <mergeCell ref="AG448:AJ448"/>
    <mergeCell ref="Z432:AA432"/>
    <mergeCell ref="Q487:AK487"/>
    <mergeCell ref="AJ357:AK357"/>
    <mergeCell ref="D444:AF444"/>
    <mergeCell ref="AH526:AK526"/>
    <mergeCell ref="Z571:AK571"/>
    <mergeCell ref="AI564:AL564"/>
    <mergeCell ref="C565:L565"/>
    <mergeCell ref="M561:P561"/>
    <mergeCell ref="C561:L561"/>
    <mergeCell ref="W563:Y563"/>
    <mergeCell ref="W564:Y564"/>
    <mergeCell ref="W565:Y565"/>
    <mergeCell ref="Z562:AD562"/>
    <mergeCell ref="W561:Y561"/>
    <mergeCell ref="W562:Y562"/>
    <mergeCell ref="Q561:S561"/>
    <mergeCell ref="AH501:AK501"/>
    <mergeCell ref="G474:V474"/>
    <mergeCell ref="W465:Y465"/>
    <mergeCell ref="T563:V563"/>
    <mergeCell ref="C556:L556"/>
    <mergeCell ref="C558:L558"/>
    <mergeCell ref="C554:L554"/>
    <mergeCell ref="C557:L557"/>
    <mergeCell ref="B514:H516"/>
    <mergeCell ref="B517:H519"/>
    <mergeCell ref="D406:AJ407"/>
    <mergeCell ref="O776:S776"/>
    <mergeCell ref="O769:S772"/>
    <mergeCell ref="B754:AH755"/>
    <mergeCell ref="G750:J750"/>
    <mergeCell ref="G751:J751"/>
    <mergeCell ref="AH728:AJ728"/>
    <mergeCell ref="M627:P627"/>
    <mergeCell ref="M634:P634"/>
    <mergeCell ref="Q634:S634"/>
    <mergeCell ref="G585:R585"/>
    <mergeCell ref="AA606:AK606"/>
    <mergeCell ref="P605:R605"/>
    <mergeCell ref="W633:Y633"/>
    <mergeCell ref="Z630:AB630"/>
    <mergeCell ref="M629:P629"/>
    <mergeCell ref="Q631:S631"/>
    <mergeCell ref="T633:V633"/>
    <mergeCell ref="Z627:AB627"/>
    <mergeCell ref="Z603:AK603"/>
    <mergeCell ref="AI605:AK605"/>
    <mergeCell ref="G595:R595"/>
    <mergeCell ref="G596:R596"/>
    <mergeCell ref="H614:R614"/>
    <mergeCell ref="G613:L613"/>
    <mergeCell ref="Z585:AK585"/>
    <mergeCell ref="G662:R662"/>
    <mergeCell ref="C632:L632"/>
    <mergeCell ref="P687:R687"/>
    <mergeCell ref="R705:T705"/>
    <mergeCell ref="G603:R603"/>
    <mergeCell ref="Z588:AK588"/>
    <mergeCell ref="G604:R604"/>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M825:P825"/>
    <mergeCell ref="T791:W791"/>
    <mergeCell ref="T787:W787"/>
    <mergeCell ref="C825:H825"/>
    <mergeCell ref="G727:J727"/>
    <mergeCell ref="T722:W722"/>
    <mergeCell ref="B753:F753"/>
    <mergeCell ref="O752:S752"/>
    <mergeCell ref="AH726:AJ726"/>
    <mergeCell ref="O718:S718"/>
    <mergeCell ref="Z818:AE818"/>
    <mergeCell ref="T795:W795"/>
    <mergeCell ref="T776:W776"/>
    <mergeCell ref="T774:W774"/>
    <mergeCell ref="J779:K779"/>
    <mergeCell ref="J787:N787"/>
    <mergeCell ref="AE698:AI698"/>
    <mergeCell ref="AC714:AG717"/>
    <mergeCell ref="X727:AB727"/>
    <mergeCell ref="X718:AB718"/>
    <mergeCell ref="T720:W720"/>
    <mergeCell ref="K714:N717"/>
    <mergeCell ref="AK726:AO726"/>
    <mergeCell ref="K727:N727"/>
    <mergeCell ref="K726:N726"/>
    <mergeCell ref="AC724:AG724"/>
    <mergeCell ref="AK728:AO728"/>
    <mergeCell ref="AK747:AO747"/>
    <mergeCell ref="X752:AB752"/>
    <mergeCell ref="B734:F734"/>
    <mergeCell ref="J789:N789"/>
    <mergeCell ref="X795:AB795"/>
    <mergeCell ref="Z813:AE813"/>
    <mergeCell ref="C798:AN799"/>
    <mergeCell ref="J793:N793"/>
    <mergeCell ref="G752:J752"/>
    <mergeCell ref="Y801:AC801"/>
    <mergeCell ref="Y800:AC800"/>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X789:AB789"/>
    <mergeCell ref="O788:S788"/>
    <mergeCell ref="O777:S777"/>
    <mergeCell ref="X788:AB788"/>
    <mergeCell ref="O797:S797"/>
    <mergeCell ref="Q827:T827"/>
    <mergeCell ref="O793:S793"/>
    <mergeCell ref="J790:N790"/>
    <mergeCell ref="AC789:AG789"/>
    <mergeCell ref="AC790:AG790"/>
    <mergeCell ref="Y827:AB827"/>
    <mergeCell ref="AG827:AJ827"/>
    <mergeCell ref="AC791:AG791"/>
    <mergeCell ref="J794:N794"/>
    <mergeCell ref="C828:H828"/>
    <mergeCell ref="Q829:T829"/>
    <mergeCell ref="AH740:AJ740"/>
    <mergeCell ref="G728:J728"/>
    <mergeCell ref="T796:W796"/>
    <mergeCell ref="T749:W749"/>
    <mergeCell ref="O756:R756"/>
    <mergeCell ref="AG756:AJ756"/>
    <mergeCell ref="BD901:BE901"/>
    <mergeCell ref="AC886:AH886"/>
    <mergeCell ref="AC887:AH887"/>
    <mergeCell ref="E885:AB885"/>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M831:P831"/>
    <mergeCell ref="Q831:T831"/>
    <mergeCell ref="Q832:T83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W843:AC843"/>
    <mergeCell ref="W865:AC865"/>
    <mergeCell ref="W879:AC879"/>
    <mergeCell ref="A910:AT911"/>
    <mergeCell ref="U940:Z940"/>
    <mergeCell ref="AA938:AF938"/>
    <mergeCell ref="U923:Z923"/>
    <mergeCell ref="BD902:BE90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U920:Z920"/>
    <mergeCell ref="Z817:AE817"/>
    <mergeCell ref="AC794:AG794"/>
    <mergeCell ref="AC795:AG795"/>
    <mergeCell ref="AA928:AF928"/>
    <mergeCell ref="O730:S730"/>
    <mergeCell ref="AA936:AF936"/>
    <mergeCell ref="U943:Z943"/>
    <mergeCell ref="U941:Z941"/>
    <mergeCell ref="AA943:AF943"/>
    <mergeCell ref="AC885:AH885"/>
    <mergeCell ref="W861:AC861"/>
    <mergeCell ref="F944:T944"/>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M823:P824"/>
    <mergeCell ref="O795:S795"/>
    <mergeCell ref="AC796:AG796"/>
    <mergeCell ref="AC788:AG788"/>
    <mergeCell ref="G738:J738"/>
    <mergeCell ref="B725:F725"/>
    <mergeCell ref="O783:S786"/>
    <mergeCell ref="AK746:AO746"/>
    <mergeCell ref="O735:S735"/>
    <mergeCell ref="T738:W738"/>
    <mergeCell ref="AH745:AJ745"/>
    <mergeCell ref="AH746:AJ746"/>
    <mergeCell ref="T788:W788"/>
    <mergeCell ref="T789:W789"/>
    <mergeCell ref="AH747:AJ747"/>
    <mergeCell ref="AH748:AJ748"/>
    <mergeCell ref="AH752:AJ752"/>
    <mergeCell ref="AH751:AJ751"/>
    <mergeCell ref="B739:F739"/>
    <mergeCell ref="K735:N735"/>
    <mergeCell ref="K736:N736"/>
    <mergeCell ref="AH749:AJ749"/>
    <mergeCell ref="AH739:AJ739"/>
    <mergeCell ref="K744:N744"/>
    <mergeCell ref="O744:S744"/>
    <mergeCell ref="B730:F730"/>
    <mergeCell ref="B752:F752"/>
    <mergeCell ref="B751:F751"/>
    <mergeCell ref="B744:F744"/>
    <mergeCell ref="B745:F745"/>
    <mergeCell ref="G753:J753"/>
    <mergeCell ref="AD759:AF759"/>
    <mergeCell ref="O746:S746"/>
    <mergeCell ref="T746:W746"/>
    <mergeCell ref="P663:R663"/>
    <mergeCell ref="X728:AB728"/>
    <mergeCell ref="O719:S719"/>
    <mergeCell ref="AA680:AK680"/>
    <mergeCell ref="AC731:AG731"/>
    <mergeCell ref="AC736:AG736"/>
    <mergeCell ref="AE702:AF702"/>
    <mergeCell ref="AI663:AK663"/>
    <mergeCell ref="X721:AB721"/>
    <mergeCell ref="X719:AB719"/>
    <mergeCell ref="H664:R664"/>
    <mergeCell ref="G719:J719"/>
    <mergeCell ref="AK714:AO717"/>
    <mergeCell ref="AK730:AO730"/>
    <mergeCell ref="Z687:AE687"/>
    <mergeCell ref="AH718:AJ718"/>
    <mergeCell ref="AC718:AG718"/>
    <mergeCell ref="T721:W721"/>
    <mergeCell ref="AE695:AI695"/>
    <mergeCell ref="K733:N733"/>
    <mergeCell ref="N681:O681"/>
    <mergeCell ref="AG681:AH681"/>
    <mergeCell ref="AI687:AK687"/>
    <mergeCell ref="O722:S722"/>
    <mergeCell ref="A709:AT711"/>
    <mergeCell ref="X724:AB724"/>
    <mergeCell ref="Z663:AE663"/>
    <mergeCell ref="B733:F733"/>
    <mergeCell ref="G714:J717"/>
    <mergeCell ref="G668:R668"/>
    <mergeCell ref="AG689:AH689"/>
    <mergeCell ref="CG729:CH729"/>
    <mergeCell ref="CG723:CH723"/>
    <mergeCell ref="CG720:CH720"/>
    <mergeCell ref="AA664:AK664"/>
    <mergeCell ref="G655:L655"/>
    <mergeCell ref="H656:R656"/>
    <mergeCell ref="H672:R672"/>
    <mergeCell ref="J705:O705"/>
    <mergeCell ref="K719:N719"/>
    <mergeCell ref="B724:F724"/>
    <mergeCell ref="H680:R680"/>
    <mergeCell ref="Z668:AK668"/>
    <mergeCell ref="Z655:AE655"/>
    <mergeCell ref="CG721:CH721"/>
    <mergeCell ref="B722:F722"/>
    <mergeCell ref="AG673:AH673"/>
    <mergeCell ref="AK719:AO719"/>
    <mergeCell ref="Z685:AK685"/>
    <mergeCell ref="W703:AK703"/>
    <mergeCell ref="B723:F723"/>
    <mergeCell ref="G685:R685"/>
    <mergeCell ref="AE696:AI696"/>
    <mergeCell ref="K718:N718"/>
    <mergeCell ref="G718:J718"/>
    <mergeCell ref="G670:R670"/>
    <mergeCell ref="J704:X704"/>
    <mergeCell ref="K720:N720"/>
    <mergeCell ref="T714:W717"/>
    <mergeCell ref="CG740:CH740"/>
    <mergeCell ref="CG741:CH741"/>
    <mergeCell ref="CI741:CJ741"/>
    <mergeCell ref="AK727:AO727"/>
    <mergeCell ref="AH724:AJ724"/>
    <mergeCell ref="CG738:CH738"/>
    <mergeCell ref="CK739:CL739"/>
    <mergeCell ref="CK725:CL725"/>
    <mergeCell ref="CI729:CJ729"/>
    <mergeCell ref="CK737:CL737"/>
    <mergeCell ref="CI732:CJ732"/>
    <mergeCell ref="CG732:CH732"/>
    <mergeCell ref="CK741:CL741"/>
    <mergeCell ref="CG737:CH737"/>
    <mergeCell ref="CG733:CH733"/>
    <mergeCell ref="CI723:CJ723"/>
    <mergeCell ref="G726:J726"/>
    <mergeCell ref="G736:J736"/>
    <mergeCell ref="K737:N737"/>
    <mergeCell ref="CG739:CH739"/>
    <mergeCell ref="CK726:CL726"/>
    <mergeCell ref="CK723:CL723"/>
    <mergeCell ref="CM739:CN739"/>
    <mergeCell ref="CK736:CL736"/>
    <mergeCell ref="CI734:CJ734"/>
    <mergeCell ref="CM733:CN733"/>
    <mergeCell ref="CG731:CH731"/>
    <mergeCell ref="CG735:CH735"/>
    <mergeCell ref="CM724:CN724"/>
    <mergeCell ref="CM726:CN726"/>
    <mergeCell ref="CK735:CL735"/>
    <mergeCell ref="CG726:CH726"/>
    <mergeCell ref="CI720:CJ720"/>
    <mergeCell ref="CU720:CY720"/>
    <mergeCell ref="CU723:CY723"/>
    <mergeCell ref="CM722:CN722"/>
    <mergeCell ref="CI726:CJ726"/>
    <mergeCell ref="CM730:CN730"/>
    <mergeCell ref="CK727:CL727"/>
    <mergeCell ref="CU735:CY735"/>
    <mergeCell ref="CP735:CT735"/>
    <mergeCell ref="CM731:CN731"/>
    <mergeCell ref="CM735:CN735"/>
    <mergeCell ref="CI721:CJ721"/>
    <mergeCell ref="CU733:CY733"/>
    <mergeCell ref="CI722:CJ722"/>
    <mergeCell ref="CK720:CL720"/>
    <mergeCell ref="CP724:CT724"/>
    <mergeCell ref="CK734:CL734"/>
    <mergeCell ref="CM734:CN734"/>
    <mergeCell ref="CI731:CJ731"/>
    <mergeCell ref="CI728:CJ728"/>
    <mergeCell ref="CP725:CT725"/>
    <mergeCell ref="CG722:CH722"/>
    <mergeCell ref="CM723:CN723"/>
    <mergeCell ref="CM725:CN725"/>
    <mergeCell ref="CK730:CL730"/>
    <mergeCell ref="CP731:CT731"/>
    <mergeCell ref="CU726:CY726"/>
    <mergeCell ref="CK722:CL722"/>
    <mergeCell ref="CM728:CN728"/>
    <mergeCell ref="DJ737:DN737"/>
    <mergeCell ref="DJ735:DN735"/>
    <mergeCell ref="CG727:CH727"/>
    <mergeCell ref="CZ728:DD728"/>
    <mergeCell ref="CU730:CY730"/>
    <mergeCell ref="CK728:CL728"/>
    <mergeCell ref="CZ731:DD731"/>
    <mergeCell ref="CK731:CL731"/>
    <mergeCell ref="CK729:CL729"/>
    <mergeCell ref="DE737:DI737"/>
    <mergeCell ref="DJ727:DN727"/>
    <mergeCell ref="CP730:CT730"/>
    <mergeCell ref="CU731:CY731"/>
    <mergeCell ref="CM727:CN727"/>
    <mergeCell ref="DE732:DI732"/>
    <mergeCell ref="CM732:CN732"/>
    <mergeCell ref="DE729:DI729"/>
    <mergeCell ref="DJ730:DN730"/>
    <mergeCell ref="CP727:CT727"/>
    <mergeCell ref="CI727:CJ727"/>
    <mergeCell ref="CU727:CY727"/>
    <mergeCell ref="DE730:DI730"/>
    <mergeCell ref="CM729:CN729"/>
    <mergeCell ref="CI725:CJ725"/>
    <mergeCell ref="CI730:CJ730"/>
    <mergeCell ref="DJ733:DN733"/>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T561:V561"/>
    <mergeCell ref="T555:V555"/>
    <mergeCell ref="W559:Y559"/>
    <mergeCell ref="Z564:AD564"/>
    <mergeCell ref="Z565:AD565"/>
    <mergeCell ref="Q555:S555"/>
    <mergeCell ref="M555:P555"/>
    <mergeCell ref="Q557:S557"/>
    <mergeCell ref="M556:P556"/>
    <mergeCell ref="W557:Y557"/>
    <mergeCell ref="AE557:AH557"/>
    <mergeCell ref="W560:Y560"/>
    <mergeCell ref="AM559:AS559"/>
    <mergeCell ref="AE559:AH559"/>
    <mergeCell ref="CP723:CT723"/>
    <mergeCell ref="CP726:CT726"/>
    <mergeCell ref="AI559:AL559"/>
    <mergeCell ref="AM561:AS561"/>
    <mergeCell ref="Z561:AD561"/>
    <mergeCell ref="AG575:AH575"/>
    <mergeCell ref="Z568:AK568"/>
    <mergeCell ref="X720:AB720"/>
    <mergeCell ref="G654:R654"/>
    <mergeCell ref="G653:R653"/>
    <mergeCell ref="G676:R676"/>
    <mergeCell ref="C559:L559"/>
    <mergeCell ref="C627:L627"/>
    <mergeCell ref="C630:L630"/>
    <mergeCell ref="C631:L631"/>
    <mergeCell ref="C628:L628"/>
    <mergeCell ref="N599:O599"/>
    <mergeCell ref="AA590:AK590"/>
    <mergeCell ref="AI589:AK589"/>
    <mergeCell ref="Z596:AK596"/>
    <mergeCell ref="H598:R598"/>
    <mergeCell ref="AG583:AH583"/>
    <mergeCell ref="G588:R588"/>
    <mergeCell ref="Z580:AK580"/>
    <mergeCell ref="N607:O607"/>
    <mergeCell ref="AI613:AK613"/>
    <mergeCell ref="N657:O657"/>
    <mergeCell ref="Z660:AK660"/>
    <mergeCell ref="G663:L663"/>
    <mergeCell ref="N649:O649"/>
    <mergeCell ref="C564:L564"/>
    <mergeCell ref="M564:P564"/>
    <mergeCell ref="AI572:AK572"/>
    <mergeCell ref="G569:R569"/>
    <mergeCell ref="H582:R582"/>
    <mergeCell ref="G572:L572"/>
    <mergeCell ref="Z581:AE581"/>
    <mergeCell ref="G579:R579"/>
    <mergeCell ref="H573:R573"/>
    <mergeCell ref="Z586:AK586"/>
    <mergeCell ref="G589:L589"/>
    <mergeCell ref="P589:R589"/>
    <mergeCell ref="G586:R586"/>
    <mergeCell ref="H590:R590"/>
    <mergeCell ref="Z602:AK602"/>
    <mergeCell ref="AG591:AH591"/>
    <mergeCell ref="G593:R593"/>
    <mergeCell ref="G611:R611"/>
    <mergeCell ref="G644:R644"/>
    <mergeCell ref="Z643:AK643"/>
    <mergeCell ref="Z572:AE572"/>
    <mergeCell ref="C637:L637"/>
    <mergeCell ref="C635:L635"/>
    <mergeCell ref="Z589:AE589"/>
    <mergeCell ref="W624:Y626"/>
    <mergeCell ref="AC634:AE634"/>
    <mergeCell ref="T630:V630"/>
    <mergeCell ref="T631:V631"/>
    <mergeCell ref="T629:V629"/>
    <mergeCell ref="AF574:AK574"/>
    <mergeCell ref="G580:R580"/>
    <mergeCell ref="AA573:AK573"/>
    <mergeCell ref="G610:R610"/>
    <mergeCell ref="A617:AT618"/>
    <mergeCell ref="B624:L626"/>
    <mergeCell ref="Z613:AE613"/>
    <mergeCell ref="AC629:AE629"/>
    <mergeCell ref="AO633:AS633"/>
    <mergeCell ref="Z609:AK609"/>
    <mergeCell ref="AF636:AJ636"/>
    <mergeCell ref="Z605:AE605"/>
    <mergeCell ref="T632:V632"/>
    <mergeCell ref="AA598:AK598"/>
    <mergeCell ref="T624:V626"/>
    <mergeCell ref="T627:V627"/>
    <mergeCell ref="T628:V628"/>
    <mergeCell ref="AC631:AE631"/>
    <mergeCell ref="AF631:AJ631"/>
    <mergeCell ref="AK633:AN633"/>
    <mergeCell ref="Z629:AB629"/>
    <mergeCell ref="AF629:AJ629"/>
    <mergeCell ref="AO634:AS634"/>
    <mergeCell ref="Z635:AB635"/>
    <mergeCell ref="AO630:AS630"/>
    <mergeCell ref="T636:V636"/>
    <mergeCell ref="Z636:AB636"/>
    <mergeCell ref="Z587:AK587"/>
    <mergeCell ref="AO632:AS632"/>
    <mergeCell ref="AO631:AS631"/>
    <mergeCell ref="W628:Y628"/>
    <mergeCell ref="AA614:AK614"/>
    <mergeCell ref="AC624:AE626"/>
    <mergeCell ref="AC628:AE628"/>
    <mergeCell ref="AK720:AO720"/>
    <mergeCell ref="AK721:AO721"/>
    <mergeCell ref="Z661:AK661"/>
    <mergeCell ref="AO637:AS637"/>
    <mergeCell ref="AI647:AK647"/>
    <mergeCell ref="AK634:AN634"/>
    <mergeCell ref="AK635:AN635"/>
    <mergeCell ref="Z612:AK612"/>
    <mergeCell ref="AC627:AE627"/>
    <mergeCell ref="Z611:AK611"/>
    <mergeCell ref="AF630:AJ630"/>
    <mergeCell ref="Z662:AK662"/>
    <mergeCell ref="Z651:AK651"/>
    <mergeCell ref="AG657:AH657"/>
    <mergeCell ref="Z659:AK659"/>
    <mergeCell ref="AA648:AK648"/>
    <mergeCell ref="AK637:AN637"/>
    <mergeCell ref="AH719:AJ719"/>
    <mergeCell ref="W629:Y629"/>
    <mergeCell ref="W627:Y627"/>
    <mergeCell ref="AO627:AS627"/>
    <mergeCell ref="AK630:AN630"/>
    <mergeCell ref="AK631:AN631"/>
    <mergeCell ref="AK632:AN632"/>
    <mergeCell ref="AF632:AJ632"/>
    <mergeCell ref="CU718:CY718"/>
    <mergeCell ref="AO640:AS640"/>
    <mergeCell ref="W636:Y636"/>
    <mergeCell ref="CP717:CT717"/>
    <mergeCell ref="CK719:CL719"/>
    <mergeCell ref="H688:R688"/>
    <mergeCell ref="CM719:CN719"/>
    <mergeCell ref="AG649:AH649"/>
    <mergeCell ref="AF633:AJ633"/>
    <mergeCell ref="AG615:AH615"/>
    <mergeCell ref="G612:R612"/>
    <mergeCell ref="Q636:S636"/>
    <mergeCell ref="Q637:S637"/>
    <mergeCell ref="C636:L636"/>
    <mergeCell ref="N665:O665"/>
    <mergeCell ref="Z678:AK678"/>
    <mergeCell ref="N615:O615"/>
    <mergeCell ref="M628:P628"/>
    <mergeCell ref="M633:P633"/>
    <mergeCell ref="AC632:AE632"/>
    <mergeCell ref="AK636:AN636"/>
    <mergeCell ref="AF628:AJ628"/>
    <mergeCell ref="AF637:AJ637"/>
    <mergeCell ref="AC636:AE636"/>
    <mergeCell ref="M637:P637"/>
    <mergeCell ref="M638:P638"/>
    <mergeCell ref="W638:Y638"/>
    <mergeCell ref="M636:P636"/>
    <mergeCell ref="M635:P635"/>
    <mergeCell ref="Q638:S638"/>
    <mergeCell ref="H648:R648"/>
    <mergeCell ref="G646:R646"/>
    <mergeCell ref="DO717:DS717"/>
    <mergeCell ref="CZ721:DD721"/>
    <mergeCell ref="CU722:CY722"/>
    <mergeCell ref="DJ719:DN719"/>
    <mergeCell ref="CU717:CY717"/>
    <mergeCell ref="AC635:AE635"/>
    <mergeCell ref="W635:Y635"/>
    <mergeCell ref="CZ722:DD722"/>
    <mergeCell ref="CM721:CN721"/>
    <mergeCell ref="CZ723:DD723"/>
    <mergeCell ref="Z644:AK644"/>
    <mergeCell ref="AO636:AS636"/>
    <mergeCell ref="CZ718:DD718"/>
    <mergeCell ref="AC721:AG721"/>
    <mergeCell ref="AK638:AN638"/>
    <mergeCell ref="CM717:CN717"/>
    <mergeCell ref="Z645:AK645"/>
    <mergeCell ref="AC720:AG720"/>
    <mergeCell ref="AH721:AJ721"/>
    <mergeCell ref="AF638:AJ638"/>
    <mergeCell ref="Z647:AE647"/>
    <mergeCell ref="CZ717:DD717"/>
    <mergeCell ref="CP722:CT722"/>
    <mergeCell ref="CP718:CT718"/>
    <mergeCell ref="CI718:CJ718"/>
    <mergeCell ref="CI719:CJ719"/>
    <mergeCell ref="CG719:CH719"/>
    <mergeCell ref="Z667:AK667"/>
    <mergeCell ref="AC723:AG723"/>
    <mergeCell ref="AF635:AJ635"/>
    <mergeCell ref="Z646:AK646"/>
    <mergeCell ref="AO641:AS641"/>
    <mergeCell ref="ET725:EX725"/>
    <mergeCell ref="DU724:DY724"/>
    <mergeCell ref="EO730:ES730"/>
    <mergeCell ref="ET730:EX730"/>
    <mergeCell ref="EO724:ES724"/>
    <mergeCell ref="ET724:EX724"/>
    <mergeCell ref="EO726:ES726"/>
    <mergeCell ref="ET726:EX726"/>
    <mergeCell ref="CZ725:DD725"/>
    <mergeCell ref="DZ730:ED730"/>
    <mergeCell ref="EO728:ES728"/>
    <mergeCell ref="ET728:EX728"/>
    <mergeCell ref="DO730:DS730"/>
    <mergeCell ref="DO729:DS729"/>
    <mergeCell ref="DJ729:DN729"/>
    <mergeCell ref="CZ729:DD729"/>
    <mergeCell ref="DE725:DI725"/>
    <mergeCell ref="DE726:DI726"/>
    <mergeCell ref="CZ727:DD727"/>
    <mergeCell ref="DJ726:DN726"/>
    <mergeCell ref="DJ725:DN725"/>
    <mergeCell ref="EE726:EI726"/>
    <mergeCell ref="EJ725:EN725"/>
    <mergeCell ref="DZ728:ED728"/>
    <mergeCell ref="DO727:DS727"/>
    <mergeCell ref="DO728:DS728"/>
    <mergeCell ref="DE728:DI728"/>
    <mergeCell ref="EJ726:EN726"/>
    <mergeCell ref="DE727:DI727"/>
    <mergeCell ref="CZ730:DD730"/>
    <mergeCell ref="U946:Z946"/>
    <mergeCell ref="U825:X825"/>
    <mergeCell ref="Z814:AE81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AC829:AF829"/>
    <mergeCell ref="Y826:AB826"/>
    <mergeCell ref="P816:Y816"/>
    <mergeCell ref="DE746:DI746"/>
    <mergeCell ref="U925:Z925"/>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I949:T949"/>
    <mergeCell ref="U938:Z938"/>
    <mergeCell ref="M955:S955"/>
    <mergeCell ref="Z901:AE901"/>
    <mergeCell ref="W878:AC878"/>
    <mergeCell ref="F915:T915"/>
    <mergeCell ref="I946:T946"/>
    <mergeCell ref="AA923:AF923"/>
    <mergeCell ref="AB917:AE917"/>
    <mergeCell ref="AA922:AF922"/>
    <mergeCell ref="AA947:AF947"/>
    <mergeCell ref="AA946:AF946"/>
    <mergeCell ref="C895:AB895"/>
    <mergeCell ref="F946:H946"/>
    <mergeCell ref="AA967:AG967"/>
    <mergeCell ref="F926:T926"/>
    <mergeCell ref="F927:T927"/>
    <mergeCell ref="F928:T928"/>
    <mergeCell ref="P945:T945"/>
    <mergeCell ref="U944:Z944"/>
    <mergeCell ref="AA931:AF931"/>
    <mergeCell ref="U932:Z932"/>
    <mergeCell ref="AA932:AF932"/>
    <mergeCell ref="F938:T938"/>
    <mergeCell ref="U927:Z927"/>
    <mergeCell ref="AA927:AF927"/>
    <mergeCell ref="F929:T929"/>
    <mergeCell ref="F936:T936"/>
    <mergeCell ref="U936:Z936"/>
    <mergeCell ref="F940:T940"/>
    <mergeCell ref="U939:Z939"/>
    <mergeCell ref="U931:Z931"/>
    <mergeCell ref="AA944:AF944"/>
    <mergeCell ref="U933:Z933"/>
    <mergeCell ref="U934:Z934"/>
    <mergeCell ref="F930:T930"/>
    <mergeCell ref="F931:T931"/>
    <mergeCell ref="AA920:AF920"/>
    <mergeCell ref="AA919:AF919"/>
    <mergeCell ref="C826:H826"/>
    <mergeCell ref="K752:N752"/>
    <mergeCell ref="J774:N774"/>
    <mergeCell ref="O727:S727"/>
    <mergeCell ref="T775:W775"/>
    <mergeCell ref="C763:AR765"/>
    <mergeCell ref="AC752:AG752"/>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K748:AO748"/>
    <mergeCell ref="AH730:AJ730"/>
    <mergeCell ref="AC751:AG751"/>
    <mergeCell ref="T752:W752"/>
    <mergeCell ref="A1125:B1125"/>
    <mergeCell ref="G725:J725"/>
    <mergeCell ref="B732:F732"/>
    <mergeCell ref="T745:W745"/>
    <mergeCell ref="AH750:AJ750"/>
    <mergeCell ref="K745:N745"/>
    <mergeCell ref="Y830:AB830"/>
    <mergeCell ref="U922:Z922"/>
    <mergeCell ref="AA924:AF924"/>
    <mergeCell ref="M969:S969"/>
    <mergeCell ref="AA935:AF935"/>
    <mergeCell ref="D1125:AK1127"/>
    <mergeCell ref="A1097:B1097"/>
    <mergeCell ref="AE960:AK960"/>
    <mergeCell ref="AE961:AK961"/>
    <mergeCell ref="AA948:AF948"/>
    <mergeCell ref="M967:S967"/>
    <mergeCell ref="O792:S792"/>
    <mergeCell ref="A1100:B1100"/>
    <mergeCell ref="A1094:B1094"/>
    <mergeCell ref="AJ991:AQ991"/>
    <mergeCell ref="B742:F742"/>
    <mergeCell ref="B743:F743"/>
    <mergeCell ref="G734:J734"/>
    <mergeCell ref="X740:AB740"/>
    <mergeCell ref="B736:F736"/>
    <mergeCell ref="O729:S729"/>
    <mergeCell ref="AK731:AO731"/>
    <mergeCell ref="AK750:AO750"/>
    <mergeCell ref="T736:W736"/>
    <mergeCell ref="O733:S733"/>
    <mergeCell ref="AC729:AG729"/>
    <mergeCell ref="AC750:AG750"/>
    <mergeCell ref="B731:F731"/>
    <mergeCell ref="O743:S743"/>
    <mergeCell ref="T743:W743"/>
    <mergeCell ref="X750:AB750"/>
    <mergeCell ref="AC749:AG749"/>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J792:N792"/>
    <mergeCell ref="Z806:AE806"/>
    <mergeCell ref="X791:AB791"/>
    <mergeCell ref="J788:N788"/>
    <mergeCell ref="K742:N742"/>
    <mergeCell ref="O742:S742"/>
    <mergeCell ref="T744:W744"/>
    <mergeCell ref="K746:N746"/>
    <mergeCell ref="T751:W751"/>
    <mergeCell ref="K748:N748"/>
    <mergeCell ref="C766:AR768"/>
    <mergeCell ref="B737:F737"/>
    <mergeCell ref="K751:N751"/>
    <mergeCell ref="Z637:AB637"/>
    <mergeCell ref="Z638:AB638"/>
    <mergeCell ref="T638:V638"/>
    <mergeCell ref="T637:V637"/>
    <mergeCell ref="Z632:AB632"/>
    <mergeCell ref="W630:Y630"/>
    <mergeCell ref="Z634:AB634"/>
    <mergeCell ref="G686:R686"/>
    <mergeCell ref="N689:O689"/>
    <mergeCell ref="G678:R678"/>
    <mergeCell ref="P679:R679"/>
    <mergeCell ref="G661:R661"/>
    <mergeCell ref="O720:S720"/>
    <mergeCell ref="Z679:AE679"/>
    <mergeCell ref="Z670:AK670"/>
    <mergeCell ref="G684:R684"/>
    <mergeCell ref="AC722:AG722"/>
    <mergeCell ref="K721:N721"/>
    <mergeCell ref="G667:R667"/>
    <mergeCell ref="P655:R655"/>
    <mergeCell ref="AA656:AK656"/>
    <mergeCell ref="G669:R669"/>
    <mergeCell ref="G671:L671"/>
    <mergeCell ref="Z669:AK669"/>
    <mergeCell ref="E707:AK707"/>
    <mergeCell ref="W706:AK706"/>
    <mergeCell ref="Z654:AK654"/>
    <mergeCell ref="AH722:AJ722"/>
    <mergeCell ref="B721:F721"/>
    <mergeCell ref="G659:R659"/>
    <mergeCell ref="G675:R675"/>
    <mergeCell ref="G683:R683"/>
    <mergeCell ref="O751:S751"/>
    <mergeCell ref="T732:W732"/>
    <mergeCell ref="T731:W731"/>
    <mergeCell ref="O731:S731"/>
    <mergeCell ref="M630:P630"/>
    <mergeCell ref="M631:P631"/>
    <mergeCell ref="M632:P632"/>
    <mergeCell ref="Q633:S633"/>
    <mergeCell ref="T718:W718"/>
    <mergeCell ref="O721:S721"/>
    <mergeCell ref="K722:N722"/>
    <mergeCell ref="AO635:AS635"/>
    <mergeCell ref="B641:AN641"/>
    <mergeCell ref="G643:R643"/>
    <mergeCell ref="T635:V635"/>
    <mergeCell ref="G645:R645"/>
    <mergeCell ref="Q630:S630"/>
    <mergeCell ref="G677:R677"/>
    <mergeCell ref="K725:N725"/>
    <mergeCell ref="W631:Y631"/>
    <mergeCell ref="K747:N747"/>
    <mergeCell ref="T740:W740"/>
    <mergeCell ref="G741:J741"/>
    <mergeCell ref="T739:W739"/>
    <mergeCell ref="X732:AB732"/>
    <mergeCell ref="K734:N734"/>
    <mergeCell ref="O748:S748"/>
    <mergeCell ref="P671:R671"/>
    <mergeCell ref="P647:R647"/>
    <mergeCell ref="G679:L679"/>
    <mergeCell ref="G651:R651"/>
    <mergeCell ref="G652:R652"/>
    <mergeCell ref="R988:AA988"/>
    <mergeCell ref="O974:P974"/>
    <mergeCell ref="M962:S962"/>
    <mergeCell ref="AA969:AG969"/>
    <mergeCell ref="M960:S960"/>
    <mergeCell ref="U926:Z926"/>
    <mergeCell ref="AA926:AF926"/>
    <mergeCell ref="AB957:AK957"/>
    <mergeCell ref="AE956:AK956"/>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J776:N776"/>
    <mergeCell ref="K750:N750"/>
    <mergeCell ref="X748:AB748"/>
    <mergeCell ref="X749:AB749"/>
    <mergeCell ref="O750:S750"/>
    <mergeCell ref="T750:W750"/>
    <mergeCell ref="O745:S745"/>
    <mergeCell ref="T748:W748"/>
    <mergeCell ref="X747:AB747"/>
    <mergeCell ref="D1026:AE1028"/>
    <mergeCell ref="D1022:AE1023"/>
    <mergeCell ref="D1008:AE1010"/>
    <mergeCell ref="AF1021:AI1022"/>
    <mergeCell ref="AJ1029:AQ1031"/>
    <mergeCell ref="R990:AA990"/>
    <mergeCell ref="AJ990:AQ990"/>
    <mergeCell ref="D1033:AE1035"/>
    <mergeCell ref="AJ1032:AQ1035"/>
    <mergeCell ref="U915:Z917"/>
    <mergeCell ref="U950:Z950"/>
    <mergeCell ref="AA975:AG975"/>
    <mergeCell ref="AA945:AF945"/>
    <mergeCell ref="U918:Z918"/>
    <mergeCell ref="T973:Z973"/>
    <mergeCell ref="I947:T947"/>
    <mergeCell ref="D1001:AE1001"/>
    <mergeCell ref="B991:AA991"/>
    <mergeCell ref="D994:AE994"/>
    <mergeCell ref="D1000:AE1000"/>
    <mergeCell ref="AA918:AF918"/>
    <mergeCell ref="AA970:AG970"/>
    <mergeCell ref="M970:S970"/>
    <mergeCell ref="AA971:AG971"/>
    <mergeCell ref="T972:Z972"/>
    <mergeCell ref="J957:S957"/>
    <mergeCell ref="AE959:AK959"/>
    <mergeCell ref="W974:AG974"/>
    <mergeCell ref="M973:S973"/>
    <mergeCell ref="AA949:AF949"/>
    <mergeCell ref="D988:Q988"/>
    <mergeCell ref="D989:Q989"/>
    <mergeCell ref="X1052:Y1052"/>
    <mergeCell ref="I1048:J1048"/>
    <mergeCell ref="I1052:J1052"/>
    <mergeCell ref="AG1049:AH1049"/>
    <mergeCell ref="AG1025:AH1025"/>
    <mergeCell ref="AG1016:AH1016"/>
    <mergeCell ref="AG1020:AH1020"/>
    <mergeCell ref="D1016:AE1016"/>
    <mergeCell ref="D1025:AE1025"/>
    <mergeCell ref="D1046:AE1047"/>
    <mergeCell ref="AA973:AG973"/>
    <mergeCell ref="R985:AA985"/>
    <mergeCell ref="A979:AT981"/>
    <mergeCell ref="AJ985:AQ985"/>
    <mergeCell ref="AJ1013:AQ1015"/>
    <mergeCell ref="AJ1016:AQ1019"/>
    <mergeCell ref="AJ1025:AQ1028"/>
    <mergeCell ref="AJ987:AQ987"/>
    <mergeCell ref="AJ988:AQ988"/>
    <mergeCell ref="B992:AI992"/>
    <mergeCell ref="D1029:AE1029"/>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J1045:AQ1048"/>
    <mergeCell ref="AJ1049:AQ1052"/>
    <mergeCell ref="D1002:AE1006"/>
    <mergeCell ref="D1011:AE1011"/>
    <mergeCell ref="D1012:AE1012"/>
    <mergeCell ref="AF1027:AI1028"/>
    <mergeCell ref="AF1023:AI1024"/>
    <mergeCell ref="D1007:AE1007"/>
    <mergeCell ref="AF1026:AI1026"/>
    <mergeCell ref="J1024:AE1024"/>
    <mergeCell ref="AJ992:AQ992"/>
    <mergeCell ref="D1053:AI1053"/>
    <mergeCell ref="D1049:AE1049"/>
    <mergeCell ref="D1032:AE1032"/>
    <mergeCell ref="D1050:AE1051"/>
    <mergeCell ref="X1048:Y1048"/>
    <mergeCell ref="FE717:FI717"/>
    <mergeCell ref="FJ717:FN717"/>
    <mergeCell ref="FO717:FS717"/>
    <mergeCell ref="FT721:FX721"/>
    <mergeCell ref="FE721:FI721"/>
    <mergeCell ref="FJ721:FN721"/>
    <mergeCell ref="FO721:FS721"/>
    <mergeCell ref="FE720:FI720"/>
    <mergeCell ref="FJ720:FN720"/>
    <mergeCell ref="FO720:FS720"/>
    <mergeCell ref="EZ717:FD717"/>
    <mergeCell ref="EZ721:FD721"/>
    <mergeCell ref="FT720:FX720"/>
    <mergeCell ref="T773:W773"/>
    <mergeCell ref="AC747:AG747"/>
    <mergeCell ref="J773:N773"/>
    <mergeCell ref="O773:S773"/>
    <mergeCell ref="O728:S728"/>
    <mergeCell ref="T727:W727"/>
    <mergeCell ref="X726:AB726"/>
    <mergeCell ref="AH723:AJ723"/>
    <mergeCell ref="T730:W730"/>
    <mergeCell ref="T726:W726"/>
    <mergeCell ref="G733:J733"/>
    <mergeCell ref="K732:N732"/>
    <mergeCell ref="K723:N723"/>
    <mergeCell ref="T723:W723"/>
    <mergeCell ref="K728:N728"/>
    <mergeCell ref="DU727:DY727"/>
    <mergeCell ref="DO725:DS725"/>
    <mergeCell ref="DU725:DY725"/>
    <mergeCell ref="DZ725:ED725"/>
    <mergeCell ref="R986:AA986"/>
    <mergeCell ref="M959:S959"/>
    <mergeCell ref="FY721:GC721"/>
    <mergeCell ref="EZ722:FD722"/>
    <mergeCell ref="FE722:FI722"/>
    <mergeCell ref="FJ725:FN725"/>
    <mergeCell ref="FO725:FS725"/>
    <mergeCell ref="FT725:FX725"/>
    <mergeCell ref="FT724:FX724"/>
    <mergeCell ref="FY724:GC724"/>
    <mergeCell ref="FJ724:FN724"/>
    <mergeCell ref="FE724:FI724"/>
    <mergeCell ref="EZ723:FD723"/>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FY720:GC720"/>
    <mergeCell ref="FJ722:FN722"/>
    <mergeCell ref="FO722:FS722"/>
    <mergeCell ref="FT722:FX722"/>
    <mergeCell ref="FY722:GC722"/>
    <mergeCell ref="FY727:GC727"/>
    <mergeCell ref="EZ733:FD733"/>
    <mergeCell ref="FO739:FS739"/>
    <mergeCell ref="FO740:FS740"/>
    <mergeCell ref="FO733:FS733"/>
    <mergeCell ref="FT732:FX732"/>
    <mergeCell ref="FY732:GC732"/>
    <mergeCell ref="FO736:FS736"/>
    <mergeCell ref="FT736:FX736"/>
    <mergeCell ref="FY736:GC736"/>
    <mergeCell ref="EZ737:FD737"/>
    <mergeCell ref="FE737:FI737"/>
    <mergeCell ref="FJ737:FN737"/>
    <mergeCell ref="FO737:FS737"/>
    <mergeCell ref="FJ734:FN734"/>
    <mergeCell ref="AJ993:AQ993"/>
    <mergeCell ref="D1013:AE1013"/>
    <mergeCell ref="AF993:AI993"/>
    <mergeCell ref="AG994:AH994"/>
    <mergeCell ref="AG1001:AH1001"/>
    <mergeCell ref="AG1007:AH1007"/>
    <mergeCell ref="AG1011:AH1011"/>
    <mergeCell ref="AG1013:AH1013"/>
    <mergeCell ref="M972:S972"/>
    <mergeCell ref="AE962:AK962"/>
    <mergeCell ref="M961:S961"/>
    <mergeCell ref="M958:S958"/>
    <mergeCell ref="AA972:AG972"/>
    <mergeCell ref="AB989:AI989"/>
    <mergeCell ref="AB990:AI990"/>
    <mergeCell ref="D990:Q990"/>
    <mergeCell ref="R987:AA987"/>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FO751:FS751"/>
    <mergeCell ref="FT740:FX740"/>
    <mergeCell ref="FT733:FX733"/>
    <mergeCell ref="FO734:FS734"/>
    <mergeCell ref="FT734:FX734"/>
    <mergeCell ref="FY734:GC734"/>
    <mergeCell ref="EZ735:FD735"/>
    <mergeCell ref="FE735:FI735"/>
    <mergeCell ref="FT737:FX737"/>
    <mergeCell ref="FY737:GC737"/>
    <mergeCell ref="FT751:FX751"/>
    <mergeCell ref="FY751:GC751"/>
    <mergeCell ref="FY740:GC740"/>
    <mergeCell ref="FJ735:FN735"/>
    <mergeCell ref="FO735:FS735"/>
    <mergeCell ref="DZ727:ED727"/>
    <mergeCell ref="EE727:EI727"/>
    <mergeCell ref="EO725:ES725"/>
    <mergeCell ref="EJ724:EN724"/>
    <mergeCell ref="DZ734:ED734"/>
    <mergeCell ref="DZ731:ED731"/>
    <mergeCell ref="EE724:EI724"/>
    <mergeCell ref="EJ730:EN730"/>
    <mergeCell ref="EE735:EI735"/>
    <mergeCell ref="EJ734:EN734"/>
    <mergeCell ref="EE733:EI733"/>
    <mergeCell ref="DZ726:ED726"/>
    <mergeCell ref="EE730:EI730"/>
    <mergeCell ref="EO727:ES727"/>
    <mergeCell ref="EO731:ES731"/>
    <mergeCell ref="EZ731:FD731"/>
    <mergeCell ref="FE731:FI731"/>
    <mergeCell ref="FJ729:FN729"/>
    <mergeCell ref="FO729:FS729"/>
    <mergeCell ref="EZ725:FD725"/>
    <mergeCell ref="FE725:FI725"/>
    <mergeCell ref="FE733:FI733"/>
    <mergeCell ref="FO730:FS730"/>
    <mergeCell ref="EZ728:FD728"/>
    <mergeCell ref="FE728:FI728"/>
    <mergeCell ref="FJ728:FN728"/>
    <mergeCell ref="FO728:FS728"/>
    <mergeCell ref="EZ729:FD729"/>
    <mergeCell ref="EZ726:FD726"/>
    <mergeCell ref="FE726:FI726"/>
    <mergeCell ref="FY731:GC731"/>
    <mergeCell ref="EZ732:FD732"/>
    <mergeCell ref="FE732:FI732"/>
    <mergeCell ref="FJ732:FN732"/>
    <mergeCell ref="FO732:FS732"/>
    <mergeCell ref="FE729:FI729"/>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T730:FX730"/>
    <mergeCell ref="FT728:FX728"/>
    <mergeCell ref="FY728:GC728"/>
    <mergeCell ref="FY725:GC725"/>
    <mergeCell ref="FJ726:FN726"/>
    <mergeCell ref="FO726:FS726"/>
    <mergeCell ref="FT726:FX726"/>
    <mergeCell ref="FY726:GC726"/>
    <mergeCell ref="EZ727:FD727"/>
    <mergeCell ref="FE727:FI727"/>
    <mergeCell ref="FJ727:FN727"/>
    <mergeCell ref="FO727:FS727"/>
    <mergeCell ref="FT727:FX727"/>
    <mergeCell ref="EJ731:EN731"/>
    <mergeCell ref="EE734:EI734"/>
    <mergeCell ref="ET721:EX721"/>
    <mergeCell ref="EE720:EI720"/>
    <mergeCell ref="ET723:EX723"/>
    <mergeCell ref="EE725:EI725"/>
    <mergeCell ref="FT735:FX735"/>
    <mergeCell ref="FY735:GC735"/>
    <mergeCell ref="EZ736:FD736"/>
    <mergeCell ref="EZ739:FD739"/>
    <mergeCell ref="FE739:FI739"/>
    <mergeCell ref="FJ739:FN739"/>
    <mergeCell ref="FT729:FX729"/>
    <mergeCell ref="FY729:GC729"/>
    <mergeCell ref="FE723:FI723"/>
    <mergeCell ref="FJ723:FN723"/>
    <mergeCell ref="FO723:FS723"/>
    <mergeCell ref="FT723:FX723"/>
    <mergeCell ref="FY723:GC723"/>
    <mergeCell ref="FO724:FS724"/>
    <mergeCell ref="FE730:FI730"/>
    <mergeCell ref="FJ730:FN730"/>
    <mergeCell ref="ET727:EX727"/>
    <mergeCell ref="FJ733:FN733"/>
    <mergeCell ref="ET736:EX736"/>
    <mergeCell ref="ET732:EX732"/>
    <mergeCell ref="EZ724:FD724"/>
    <mergeCell ref="FY738:GC738"/>
    <mergeCell ref="FY730:GC730"/>
    <mergeCell ref="FJ731:FN731"/>
    <mergeCell ref="FO731:FS731"/>
    <mergeCell ref="FT731:FX731"/>
    <mergeCell ref="EH640:EL640"/>
    <mergeCell ref="EM640:EQ640"/>
    <mergeCell ref="EH652:EL652"/>
    <mergeCell ref="DX668:EB668"/>
    <mergeCell ref="EW654:FA654"/>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DX646:EB646"/>
    <mergeCell ref="EC646:EG646"/>
    <mergeCell ref="EC637:EG637"/>
    <mergeCell ref="DX658:EB658"/>
    <mergeCell ref="ER658:EV658"/>
    <mergeCell ref="EW656:FA656"/>
    <mergeCell ref="EW638:FA638"/>
    <mergeCell ref="ER648:EV648"/>
    <mergeCell ref="EM643:EQ643"/>
    <mergeCell ref="EC648:EG648"/>
    <mergeCell ref="EW639:FA639"/>
    <mergeCell ref="EC640:EG640"/>
    <mergeCell ref="EW640:FA640"/>
    <mergeCell ref="ER643:EV643"/>
    <mergeCell ref="ER640:EV640"/>
    <mergeCell ref="EM668:EQ668"/>
    <mergeCell ref="DX670:EB670"/>
    <mergeCell ref="EM664:EQ664"/>
    <mergeCell ref="ER664:EV664"/>
    <mergeCell ref="EC667:EG667"/>
    <mergeCell ref="EH667:EL667"/>
    <mergeCell ref="EM666:EQ666"/>
    <mergeCell ref="ER666:EV666"/>
    <mergeCell ref="DX649:EB649"/>
    <mergeCell ref="EM650:EQ650"/>
    <mergeCell ref="DX653:EB653"/>
    <mergeCell ref="EC653:EG653"/>
    <mergeCell ref="DX654:EB654"/>
    <mergeCell ref="EM657:EQ657"/>
    <mergeCell ref="EW641:FA641"/>
    <mergeCell ref="EC642:EG642"/>
    <mergeCell ref="EH642:EL642"/>
    <mergeCell ref="EM642:EQ642"/>
    <mergeCell ref="ER642:EV642"/>
    <mergeCell ref="ER639:EV639"/>
    <mergeCell ref="EW670:FA670"/>
    <mergeCell ref="EM645:EQ645"/>
    <mergeCell ref="DX642:EB642"/>
    <mergeCell ref="EJ721:EN721"/>
    <mergeCell ref="DX659:EB659"/>
    <mergeCell ref="ER660:EV660"/>
    <mergeCell ref="EH666:EL666"/>
    <mergeCell ref="EC654:EG654"/>
    <mergeCell ref="EH654:EL654"/>
    <mergeCell ref="EH668:EL668"/>
    <mergeCell ref="ER655:EV655"/>
    <mergeCell ref="DZ721:ED721"/>
    <mergeCell ref="DZ722:ED722"/>
    <mergeCell ref="DU717:DY717"/>
    <mergeCell ref="DU719:DY719"/>
    <mergeCell ref="EE717:EI717"/>
    <mergeCell ref="EJ720:EN720"/>
    <mergeCell ref="EO722:ES722"/>
    <mergeCell ref="EO717:ES717"/>
    <mergeCell ref="DX655:EB655"/>
    <mergeCell ref="ER669:EV669"/>
    <mergeCell ref="ER668:EV668"/>
    <mergeCell ref="EM654:EQ654"/>
    <mergeCell ref="DX667:EB667"/>
    <mergeCell ref="DU720:DY720"/>
    <mergeCell ref="EO720:ES720"/>
    <mergeCell ref="EE722:EI722"/>
    <mergeCell ref="DZ718:ED718"/>
    <mergeCell ref="EE718:EI718"/>
    <mergeCell ref="EJ718:EN718"/>
    <mergeCell ref="DU722:DY722"/>
    <mergeCell ref="EM662:EQ662"/>
    <mergeCell ref="ER653:EV653"/>
    <mergeCell ref="EH645:EL645"/>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DU738:DY738"/>
    <mergeCell ref="EO753:ES753"/>
    <mergeCell ref="EJ740:EN740"/>
    <mergeCell ref="EO745:ES745"/>
    <mergeCell ref="DE735:DI735"/>
    <mergeCell ref="EO738:ES738"/>
    <mergeCell ref="DE738:DI738"/>
    <mergeCell ref="DJ738:DN738"/>
    <mergeCell ref="DU736:DY736"/>
    <mergeCell ref="EZ752:FD752"/>
    <mergeCell ref="FE752:FI752"/>
    <mergeCell ref="EO740:ES740"/>
    <mergeCell ref="ET741:EX741"/>
    <mergeCell ref="EE741:EI741"/>
    <mergeCell ref="EJ741:EN741"/>
    <mergeCell ref="EO741:ES741"/>
    <mergeCell ref="FJ752:FN752"/>
    <mergeCell ref="DE739:DI739"/>
    <mergeCell ref="FJ753:FN753"/>
    <mergeCell ref="EO752:ES752"/>
    <mergeCell ref="EJ752:EN752"/>
    <mergeCell ref="CI745:CJ745"/>
    <mergeCell ref="DJ734:DN734"/>
    <mergeCell ref="EO737:ES737"/>
    <mergeCell ref="ET752:EX752"/>
    <mergeCell ref="EO751:ES751"/>
    <mergeCell ref="ET753:EX753"/>
    <mergeCell ref="DU741:DY741"/>
    <mergeCell ref="ET751:EX751"/>
    <mergeCell ref="EJ751:EN751"/>
    <mergeCell ref="EO739:ES739"/>
    <mergeCell ref="ET739:EX739"/>
    <mergeCell ref="DJ773:DN773"/>
    <mergeCell ref="EO734:ES734"/>
    <mergeCell ref="ET734:EX734"/>
    <mergeCell ref="DZ736:ED736"/>
    <mergeCell ref="EE736:EI736"/>
    <mergeCell ref="EJ736:EN736"/>
    <mergeCell ref="ET735:EX735"/>
    <mergeCell ref="FE736:FI736"/>
    <mergeCell ref="FJ736:FN736"/>
    <mergeCell ref="CM741:CN741"/>
    <mergeCell ref="CZ735:DD735"/>
    <mergeCell ref="CU734:CY734"/>
    <mergeCell ref="CP736:CT736"/>
    <mergeCell ref="CM737:CN737"/>
    <mergeCell ref="CU737:CY737"/>
    <mergeCell ref="CZ738:DD738"/>
    <mergeCell ref="ET740:EX740"/>
    <mergeCell ref="DU735:DY735"/>
    <mergeCell ref="EO732:ES732"/>
    <mergeCell ref="EJ733:EN733"/>
    <mergeCell ref="DZ733:ED733"/>
    <mergeCell ref="DU732:DY732"/>
    <mergeCell ref="EJ729:EN729"/>
    <mergeCell ref="EJ717:EN717"/>
    <mergeCell ref="DJ720:DN720"/>
    <mergeCell ref="DJ717:DN717"/>
    <mergeCell ref="DJ722:DN722"/>
    <mergeCell ref="DU729:DY729"/>
    <mergeCell ref="EE728:EI728"/>
    <mergeCell ref="EJ722:EN722"/>
    <mergeCell ref="ET738:EX738"/>
    <mergeCell ref="DO777:DS777"/>
    <mergeCell ref="DE773:DI773"/>
    <mergeCell ref="EO736:ES736"/>
    <mergeCell ref="ET731:EX731"/>
    <mergeCell ref="ET733:EX733"/>
    <mergeCell ref="EO733:ES733"/>
    <mergeCell ref="DZ724:ED724"/>
    <mergeCell ref="EJ727:EN727"/>
    <mergeCell ref="EO729:ES729"/>
    <mergeCell ref="ET729:EX729"/>
    <mergeCell ref="EO719:ES719"/>
    <mergeCell ref="ET719:EX719"/>
    <mergeCell ref="DZ729:ED729"/>
    <mergeCell ref="EE723:EI723"/>
    <mergeCell ref="EJ723:EN723"/>
    <mergeCell ref="EO723:ES723"/>
    <mergeCell ref="EE731:EI731"/>
    <mergeCell ref="DE777:DI777"/>
    <mergeCell ref="DE775:DI775"/>
    <mergeCell ref="EE751:EI751"/>
    <mergeCell ref="DU751:DY751"/>
    <mergeCell ref="DZ751:ED751"/>
    <mergeCell ref="DU752:DY752"/>
    <mergeCell ref="EM670:EQ670"/>
    <mergeCell ref="EO718:ES718"/>
    <mergeCell ref="DU721:DY721"/>
    <mergeCell ref="EE721:EI721"/>
    <mergeCell ref="DX641:EB641"/>
    <mergeCell ref="CM740:CN740"/>
    <mergeCell ref="EJ739:EN739"/>
    <mergeCell ref="DU734:DY734"/>
    <mergeCell ref="CK745:CL745"/>
    <mergeCell ref="DU731:DY731"/>
    <mergeCell ref="DE731:DI731"/>
    <mergeCell ref="CU746:CY746"/>
    <mergeCell ref="CU776:CY776"/>
    <mergeCell ref="CP750:CT750"/>
    <mergeCell ref="CU750:CY750"/>
    <mergeCell ref="CK750:CL750"/>
    <mergeCell ref="CM750:CN750"/>
    <mergeCell ref="CP751:CT751"/>
    <mergeCell ref="CU775:CY775"/>
    <mergeCell ref="DZ753:ED753"/>
    <mergeCell ref="CZ751:DD751"/>
    <mergeCell ref="DE774:DI774"/>
    <mergeCell ref="CM753:CN753"/>
    <mergeCell ref="CP753:CT753"/>
    <mergeCell ref="CM736:CN736"/>
    <mergeCell ref="DX644:EB644"/>
    <mergeCell ref="DU740:DY740"/>
    <mergeCell ref="DZ740:ED740"/>
    <mergeCell ref="EE740:EI740"/>
    <mergeCell ref="EE745:EI745"/>
    <mergeCell ref="CZ774:DD774"/>
    <mergeCell ref="CZ773:DD773"/>
    <mergeCell ref="DJ774:DN774"/>
    <mergeCell ref="CZ740:DD740"/>
    <mergeCell ref="CI738:CJ738"/>
    <mergeCell ref="CP741:CT741"/>
    <mergeCell ref="CI737:CJ737"/>
    <mergeCell ref="CU736:CY736"/>
    <mergeCell ref="CP732:CT732"/>
    <mergeCell ref="DU749:DY749"/>
    <mergeCell ref="DZ749:ED749"/>
    <mergeCell ref="CP775:CT775"/>
    <mergeCell ref="DO775:DS775"/>
    <mergeCell ref="DJ753:DN753"/>
    <mergeCell ref="CP739:CT739"/>
    <mergeCell ref="CI733:CJ733"/>
    <mergeCell ref="CP734:CT734"/>
    <mergeCell ref="CZ733:DD733"/>
    <mergeCell ref="CZ736:DD736"/>
    <mergeCell ref="CK732:CL732"/>
    <mergeCell ref="CP737:CT737"/>
    <mergeCell ref="CZ734:DD734"/>
    <mergeCell ref="CI735:CJ735"/>
    <mergeCell ref="CZ739:DD739"/>
    <mergeCell ref="CK738:CL738"/>
    <mergeCell ref="CU740:CY740"/>
    <mergeCell ref="CI739:CJ739"/>
    <mergeCell ref="DO735:DS735"/>
    <mergeCell ref="EH637:EL637"/>
    <mergeCell ref="DZ752:ED752"/>
    <mergeCell ref="DJ752:DN752"/>
    <mergeCell ref="EE729:EI729"/>
    <mergeCell ref="DU733:DY733"/>
    <mergeCell ref="CZ752:DD752"/>
    <mergeCell ref="DO731:DS731"/>
    <mergeCell ref="DJ731:DN731"/>
    <mergeCell ref="DE734:DI734"/>
    <mergeCell ref="CZ724:DD724"/>
    <mergeCell ref="CZ726:DD726"/>
    <mergeCell ref="DZ741:ED741"/>
    <mergeCell ref="DJ747:DN747"/>
    <mergeCell ref="DO747:DS747"/>
    <mergeCell ref="DU745:DY745"/>
    <mergeCell ref="DZ745:ED745"/>
    <mergeCell ref="DX666:EB666"/>
    <mergeCell ref="DJ736:DN736"/>
    <mergeCell ref="EJ728:EN728"/>
    <mergeCell ref="DX662:EB662"/>
    <mergeCell ref="EC662:EG662"/>
    <mergeCell ref="EH662:EL662"/>
    <mergeCell ref="DX664:EB664"/>
    <mergeCell ref="DX661:EB661"/>
    <mergeCell ref="EH653:EL653"/>
    <mergeCell ref="EM653:EQ653"/>
    <mergeCell ref="DX645:EB645"/>
    <mergeCell ref="DX647:EB647"/>
    <mergeCell ref="DX643:EB643"/>
    <mergeCell ref="DX640:EB640"/>
    <mergeCell ref="EC641:EG641"/>
    <mergeCell ref="EC643:EG643"/>
    <mergeCell ref="DE719:DI719"/>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DJ776:DN776"/>
    <mergeCell ref="DO776:DS776"/>
    <mergeCell ref="DU737:DY737"/>
    <mergeCell ref="DO737:DS737"/>
    <mergeCell ref="DO738:DS738"/>
    <mergeCell ref="CP787:CT787"/>
    <mergeCell ref="DE740:DI740"/>
    <mergeCell ref="DE736:DI736"/>
    <mergeCell ref="DJ777:DN777"/>
    <mergeCell ref="CZ719:DD719"/>
    <mergeCell ref="DO722:DS722"/>
    <mergeCell ref="DO723:DS723"/>
    <mergeCell ref="CP729:CT729"/>
    <mergeCell ref="CP728:CT728"/>
    <mergeCell ref="CU728:CY728"/>
    <mergeCell ref="DO720:DS720"/>
    <mergeCell ref="AH729:AJ729"/>
    <mergeCell ref="DU718:DY718"/>
    <mergeCell ref="ER661:EV661"/>
    <mergeCell ref="DU726:DY726"/>
    <mergeCell ref="EO721:ES721"/>
    <mergeCell ref="DO721:DS721"/>
    <mergeCell ref="ET718:EX718"/>
    <mergeCell ref="DU723:DY723"/>
    <mergeCell ref="DZ723:ED723"/>
    <mergeCell ref="EE719:EI719"/>
    <mergeCell ref="DZ720:ED720"/>
    <mergeCell ref="EJ719:EN719"/>
    <mergeCell ref="AE699:AI699"/>
    <mergeCell ref="AA672:AK672"/>
    <mergeCell ref="Z684:AK684"/>
    <mergeCell ref="ET720:EX720"/>
    <mergeCell ref="AH727:AJ727"/>
    <mergeCell ref="ET722:EX722"/>
    <mergeCell ref="DE723:DI723"/>
    <mergeCell ref="DO719:DS719"/>
    <mergeCell ref="DO724:DS724"/>
    <mergeCell ref="DJ721:DN721"/>
    <mergeCell ref="EW669:FA669"/>
    <mergeCell ref="X725:AB725"/>
    <mergeCell ref="ET717:EX717"/>
    <mergeCell ref="EC664:EG664"/>
    <mergeCell ref="EH664:EL664"/>
    <mergeCell ref="EZ720:FD720"/>
    <mergeCell ref="EW668:FA668"/>
    <mergeCell ref="EW664:FA664"/>
    <mergeCell ref="EW666:FA666"/>
    <mergeCell ref="EW647:FA647"/>
    <mergeCell ref="EW655:FA655"/>
    <mergeCell ref="EW650:FA650"/>
    <mergeCell ref="EW648:FA648"/>
    <mergeCell ref="ER657:EV657"/>
    <mergeCell ref="EW657:FA657"/>
    <mergeCell ref="EH659:EL659"/>
    <mergeCell ref="EC661:EG661"/>
    <mergeCell ref="EH661:EL661"/>
    <mergeCell ref="EM651:EQ651"/>
    <mergeCell ref="ER649:EV649"/>
    <mergeCell ref="EC657:EG657"/>
    <mergeCell ref="EH657:EL657"/>
    <mergeCell ref="EC650:EG650"/>
    <mergeCell ref="EC655:EG655"/>
    <mergeCell ref="ER652:EV652"/>
    <mergeCell ref="EW651:FA651"/>
    <mergeCell ref="EW649:FA649"/>
    <mergeCell ref="EW652:FA652"/>
    <mergeCell ref="EH648:EL648"/>
    <mergeCell ref="EH651:EL651"/>
    <mergeCell ref="EH650:EL650"/>
    <mergeCell ref="ER647:EV647"/>
    <mergeCell ref="ER654:EV654"/>
    <mergeCell ref="ER650:EV650"/>
    <mergeCell ref="EM652:EQ652"/>
    <mergeCell ref="EW660:FA660"/>
    <mergeCell ref="EW661:FA661"/>
    <mergeCell ref="ER651:EV651"/>
    <mergeCell ref="EC658:EG658"/>
    <mergeCell ref="EH658:EL658"/>
    <mergeCell ref="EM658:EQ658"/>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DX651:EB651"/>
    <mergeCell ref="EC651:EG651"/>
    <mergeCell ref="DE776:DI776"/>
    <mergeCell ref="DJ746:DN746"/>
    <mergeCell ref="CZ746:DD746"/>
    <mergeCell ref="DE744:DI744"/>
    <mergeCell ref="DE750:DI750"/>
    <mergeCell ref="DJ750:DN750"/>
    <mergeCell ref="DX656:EB656"/>
    <mergeCell ref="EC656:EG656"/>
    <mergeCell ref="EH656:EL656"/>
    <mergeCell ref="EM656:EQ656"/>
    <mergeCell ref="CZ720:DD720"/>
    <mergeCell ref="DE721:DI721"/>
    <mergeCell ref="CP719:CT719"/>
    <mergeCell ref="DO774:DS774"/>
    <mergeCell ref="DU753:DY753"/>
    <mergeCell ref="DU730:DY730"/>
    <mergeCell ref="CU721:CY721"/>
    <mergeCell ref="AK736:AO736"/>
    <mergeCell ref="DX657:EB657"/>
    <mergeCell ref="DO746:DS746"/>
    <mergeCell ref="DX648:EB648"/>
    <mergeCell ref="CU724:CY724"/>
    <mergeCell ref="CU725:CY725"/>
    <mergeCell ref="CP721:CT721"/>
    <mergeCell ref="DE720:DI720"/>
    <mergeCell ref="DE724:DI724"/>
    <mergeCell ref="DO726:DS726"/>
    <mergeCell ref="DE717:DI717"/>
    <mergeCell ref="CU719:CY719"/>
    <mergeCell ref="CG718:CH718"/>
    <mergeCell ref="DX650:EB650"/>
    <mergeCell ref="CZ737:DD737"/>
    <mergeCell ref="DE733:DI733"/>
    <mergeCell ref="CG745:CH745"/>
    <mergeCell ref="CI736:CJ736"/>
    <mergeCell ref="DU728:DY728"/>
    <mergeCell ref="AK718:AO718"/>
    <mergeCell ref="AI671:AK671"/>
    <mergeCell ref="Z676:AK676"/>
    <mergeCell ref="W700:AK700"/>
    <mergeCell ref="Z683:AK683"/>
    <mergeCell ref="AA688:AK688"/>
    <mergeCell ref="CG725:CH725"/>
    <mergeCell ref="DJ723:DN723"/>
    <mergeCell ref="DJ724:DN724"/>
    <mergeCell ref="DJ718:DN718"/>
    <mergeCell ref="CK724:CL724"/>
    <mergeCell ref="DE722:DI722"/>
    <mergeCell ref="EH643:EL643"/>
    <mergeCell ref="DZ732:ED732"/>
    <mergeCell ref="EE732:EI732"/>
    <mergeCell ref="EJ732:EN732"/>
    <mergeCell ref="EE737:EI737"/>
    <mergeCell ref="EJ737:EN737"/>
    <mergeCell ref="DZ717:ED717"/>
    <mergeCell ref="Z671:AE671"/>
    <mergeCell ref="AH737:AJ737"/>
    <mergeCell ref="EJ738:EN738"/>
    <mergeCell ref="DZ738:ED738"/>
    <mergeCell ref="EE738:EI738"/>
    <mergeCell ref="DO732:DS732"/>
    <mergeCell ref="DO736:DS736"/>
    <mergeCell ref="EM636:EQ636"/>
    <mergeCell ref="DX637:EB637"/>
    <mergeCell ref="DX652:EB652"/>
    <mergeCell ref="EC652:EG652"/>
    <mergeCell ref="DJ728:DN728"/>
    <mergeCell ref="AC719:AG719"/>
    <mergeCell ref="Z653:AK653"/>
    <mergeCell ref="DX639:EB639"/>
    <mergeCell ref="EM641:EQ641"/>
    <mergeCell ref="EM649:EQ649"/>
    <mergeCell ref="EC666:EG666"/>
    <mergeCell ref="EH647:EL647"/>
    <mergeCell ref="EM647:EQ647"/>
    <mergeCell ref="EM648:EQ648"/>
    <mergeCell ref="EC644:EG644"/>
    <mergeCell ref="EH644:EL644"/>
    <mergeCell ref="AK738:AO738"/>
    <mergeCell ref="AH732:AJ732"/>
    <mergeCell ref="A351:AT352"/>
    <mergeCell ref="I392:N392"/>
    <mergeCell ref="M357:N357"/>
    <mergeCell ref="J385:U385"/>
    <mergeCell ref="Q635:S635"/>
    <mergeCell ref="Z593:AK593"/>
    <mergeCell ref="AK629:AN629"/>
    <mergeCell ref="C633:L633"/>
    <mergeCell ref="Z686:AK686"/>
    <mergeCell ref="Z675:AK675"/>
    <mergeCell ref="AC638:AE638"/>
    <mergeCell ref="W634:Y634"/>
    <mergeCell ref="DZ719:ED719"/>
    <mergeCell ref="AH504:AK504"/>
    <mergeCell ref="AH517:AK517"/>
    <mergeCell ref="W471:Y471"/>
    <mergeCell ref="EC668:EG668"/>
    <mergeCell ref="DO718:DS718"/>
    <mergeCell ref="AE693:AF693"/>
    <mergeCell ref="AC633:AE633"/>
    <mergeCell ref="B639:AN639"/>
    <mergeCell ref="B640:AN640"/>
    <mergeCell ref="B719:F719"/>
    <mergeCell ref="V381:W381"/>
    <mergeCell ref="P421:R421"/>
    <mergeCell ref="C634:L634"/>
    <mergeCell ref="M624:P626"/>
    <mergeCell ref="AM565:AS565"/>
    <mergeCell ref="AE563:AH563"/>
    <mergeCell ref="AM563:AS563"/>
    <mergeCell ref="AG607:AH607"/>
    <mergeCell ref="AO624:AS626"/>
    <mergeCell ref="AM556:AS556"/>
    <mergeCell ref="Z434:AA434"/>
    <mergeCell ref="AH509:AK509"/>
    <mergeCell ref="AM558:AS558"/>
    <mergeCell ref="Q632:S632"/>
    <mergeCell ref="Q624:S626"/>
    <mergeCell ref="C629:L629"/>
    <mergeCell ref="AK628:AN628"/>
    <mergeCell ref="AM564:AS564"/>
    <mergeCell ref="AI581:AK581"/>
    <mergeCell ref="Z601:AK601"/>
    <mergeCell ref="AK627:AN627"/>
    <mergeCell ref="AO628:AS628"/>
    <mergeCell ref="G581:L581"/>
    <mergeCell ref="Z604:AK604"/>
    <mergeCell ref="G601:R601"/>
    <mergeCell ref="C563:L563"/>
    <mergeCell ref="AE565:AH565"/>
    <mergeCell ref="G587:R587"/>
    <mergeCell ref="G578:R578"/>
    <mergeCell ref="AE564:AH564"/>
    <mergeCell ref="C555:L555"/>
    <mergeCell ref="AC630:AE630"/>
    <mergeCell ref="Z597:AE597"/>
    <mergeCell ref="Z631:AB631"/>
    <mergeCell ref="AF624:AJ626"/>
    <mergeCell ref="Z579:AK579"/>
    <mergeCell ref="Z569:AK569"/>
    <mergeCell ref="AM566:AS566"/>
    <mergeCell ref="AM562:AS562"/>
    <mergeCell ref="G605:L605"/>
    <mergeCell ref="G609:R609"/>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I331:AK331"/>
    <mergeCell ref="Z624:AB626"/>
    <mergeCell ref="P613:R613"/>
    <mergeCell ref="W632:Y632"/>
    <mergeCell ref="Q627:S627"/>
    <mergeCell ref="Q628:S628"/>
    <mergeCell ref="Q629:S629"/>
    <mergeCell ref="K730:N730"/>
    <mergeCell ref="K731:N731"/>
    <mergeCell ref="K739:N739"/>
    <mergeCell ref="AC734:AG734"/>
    <mergeCell ref="AC735:AG735"/>
    <mergeCell ref="B714:F717"/>
    <mergeCell ref="G729:J729"/>
    <mergeCell ref="B726:F726"/>
    <mergeCell ref="AC733:AG733"/>
    <mergeCell ref="AC739:AG739"/>
    <mergeCell ref="O738:S738"/>
    <mergeCell ref="AK722:AO722"/>
    <mergeCell ref="AC730:AG730"/>
    <mergeCell ref="B720:F720"/>
    <mergeCell ref="B728:F728"/>
    <mergeCell ref="B727:F727"/>
    <mergeCell ref="X722:AB722"/>
    <mergeCell ref="O737:S737"/>
    <mergeCell ref="G723:J723"/>
    <mergeCell ref="O725:S725"/>
    <mergeCell ref="O726:S726"/>
    <mergeCell ref="X735:AB735"/>
    <mergeCell ref="X736:AB736"/>
    <mergeCell ref="T735:W735"/>
    <mergeCell ref="T734:W734"/>
    <mergeCell ref="A69:AT70"/>
    <mergeCell ref="A72:AT73"/>
    <mergeCell ref="A544:AT545"/>
    <mergeCell ref="U929:Z929"/>
    <mergeCell ref="B746:F746"/>
    <mergeCell ref="B747:F747"/>
    <mergeCell ref="B748:F748"/>
    <mergeCell ref="B749:F749"/>
    <mergeCell ref="B750:F750"/>
    <mergeCell ref="B740:F740"/>
    <mergeCell ref="O739:S739"/>
    <mergeCell ref="O740:S740"/>
    <mergeCell ref="K741:N741"/>
    <mergeCell ref="O736:S736"/>
    <mergeCell ref="K738:N738"/>
    <mergeCell ref="C757:AM758"/>
    <mergeCell ref="G742:J742"/>
    <mergeCell ref="G743:J743"/>
    <mergeCell ref="G744:J744"/>
    <mergeCell ref="G745:J745"/>
    <mergeCell ref="G746:J746"/>
    <mergeCell ref="AH733:AJ733"/>
    <mergeCell ref="AK737:AO737"/>
    <mergeCell ref="AC727:AG727"/>
    <mergeCell ref="AC728:AG728"/>
    <mergeCell ref="AC732:AG732"/>
    <mergeCell ref="X733:AB733"/>
    <mergeCell ref="G732:J732"/>
    <mergeCell ref="AH735:AJ735"/>
    <mergeCell ref="X734:AB734"/>
    <mergeCell ref="AK729:AO729"/>
    <mergeCell ref="AH720:AJ720"/>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X739:AB739"/>
    <mergeCell ref="G740:J740"/>
    <mergeCell ref="A1081:B1081"/>
    <mergeCell ref="A1075:B1075"/>
    <mergeCell ref="A1070:B1070"/>
    <mergeCell ref="D1020:AE1021"/>
    <mergeCell ref="AB991:AI991"/>
    <mergeCell ref="AA968:AG968"/>
    <mergeCell ref="AE955:AK955"/>
    <mergeCell ref="I950:T950"/>
    <mergeCell ref="D995:AE998"/>
    <mergeCell ref="D999:AE999"/>
    <mergeCell ref="M971:S971"/>
    <mergeCell ref="M956:S956"/>
    <mergeCell ref="K743:N743"/>
    <mergeCell ref="AA925:AF925"/>
    <mergeCell ref="E1100:AR1101"/>
    <mergeCell ref="C1077:D1077"/>
    <mergeCell ref="C1078:D1078"/>
    <mergeCell ref="C1079:D1079"/>
    <mergeCell ref="C1080:D1080"/>
    <mergeCell ref="C1081:D1081"/>
    <mergeCell ref="G730:J730"/>
    <mergeCell ref="X730:AB730"/>
    <mergeCell ref="X731:AB731"/>
    <mergeCell ref="T737:W737"/>
    <mergeCell ref="T733:W733"/>
    <mergeCell ref="O734:S734"/>
    <mergeCell ref="AH738:AJ738"/>
    <mergeCell ref="AH736:AJ736"/>
    <mergeCell ref="C1089:D1089"/>
    <mergeCell ref="C1090:D1090"/>
    <mergeCell ref="C1091:D1091"/>
    <mergeCell ref="AK749:AO749"/>
    <mergeCell ref="AK751:AO751"/>
    <mergeCell ref="AJ994:AQ1000"/>
    <mergeCell ref="AJ1007:AQ1010"/>
    <mergeCell ref="AJ1011:AQ1012"/>
    <mergeCell ref="AJ986:AQ986"/>
    <mergeCell ref="AJ1001:AQ1006"/>
    <mergeCell ref="AJ1020:AQ1024"/>
    <mergeCell ref="O732:S732"/>
    <mergeCell ref="G737:J737"/>
    <mergeCell ref="G735:J735"/>
    <mergeCell ref="AE958:AK958"/>
    <mergeCell ref="F916:T917"/>
    <mergeCell ref="F939:T939"/>
    <mergeCell ref="AB988:AI988"/>
    <mergeCell ref="C1082:D1082"/>
    <mergeCell ref="C1083:D1083"/>
    <mergeCell ref="C1084:D1084"/>
    <mergeCell ref="C1085:D1085"/>
    <mergeCell ref="C1087:D1087"/>
    <mergeCell ref="C1088:D1088"/>
    <mergeCell ref="A1061:AQ1061"/>
    <mergeCell ref="AF1017:AI1019"/>
    <mergeCell ref="AF1014:AI1015"/>
    <mergeCell ref="G747:J747"/>
    <mergeCell ref="G748:J748"/>
    <mergeCell ref="G749:J749"/>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5" workbookViewId="0">
      <selection activeCell="I105" sqref="I10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2" t="s">
        <v>621</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373</v>
      </c>
      <c r="D2" s="138" t="s">
        <v>372</v>
      </c>
      <c r="E2" s="138" t="s">
        <v>24</v>
      </c>
      <c r="F2" s="139" t="str">
        <f>Application!B627&amp;Application!C627</f>
        <v>1)CalHFA Permanent Loan</v>
      </c>
      <c r="G2" s="139" t="str">
        <f>Application!B628&amp;Application!C628</f>
        <v>2)CalHFA MIP Loan</v>
      </c>
      <c r="H2" s="139" t="str">
        <f>Application!B629&amp;Application!C629</f>
        <v>3)County of Marin HTF Loan</v>
      </c>
      <c r="I2" s="139" t="str">
        <f>Application!B630&amp;Application!C630</f>
        <v xml:space="preserve">4)Deferred Developer Fee </v>
      </c>
      <c r="J2" s="139" t="str">
        <f>Application!B631&amp;Application!C631</f>
        <v>5)Cash flow from operations</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8800000</v>
      </c>
      <c r="C4" s="147">
        <v>8800000</v>
      </c>
      <c r="D4" s="147"/>
      <c r="E4" s="147">
        <v>0</v>
      </c>
      <c r="F4" s="147">
        <f>C4</f>
        <v>8800000</v>
      </c>
      <c r="G4" s="147"/>
      <c r="H4" s="147"/>
      <c r="I4" s="147"/>
      <c r="J4" s="147"/>
      <c r="K4" s="147"/>
      <c r="L4" s="147"/>
      <c r="M4" s="147"/>
      <c r="N4" s="147"/>
      <c r="O4" s="147"/>
      <c r="P4" s="147"/>
      <c r="Q4" s="147"/>
      <c r="R4" s="516">
        <f>SUM(E4:Q4)</f>
        <v>8800000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50000</v>
      </c>
      <c r="C6" s="147">
        <v>50000</v>
      </c>
      <c r="D6" s="147"/>
      <c r="E6" s="147">
        <v>50000</v>
      </c>
      <c r="F6" s="147"/>
      <c r="G6" s="147"/>
      <c r="H6" s="147"/>
      <c r="I6" s="147"/>
      <c r="J6" s="147"/>
      <c r="K6" s="147"/>
      <c r="L6" s="147"/>
      <c r="M6" s="147"/>
      <c r="N6" s="147"/>
      <c r="O6" s="147"/>
      <c r="P6" s="147"/>
      <c r="Q6" s="147"/>
      <c r="R6" s="516">
        <f>SUM(E6:Q6)</f>
        <v>50000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8850000</v>
      </c>
      <c r="C8" s="146">
        <f t="shared" ref="C8:Q8" si="0">SUM(C4:C7)</f>
        <v>8850000</v>
      </c>
      <c r="D8" s="146">
        <f t="shared" si="0"/>
        <v>0</v>
      </c>
      <c r="E8" s="146">
        <f t="shared" si="0"/>
        <v>50000</v>
      </c>
      <c r="F8" s="146">
        <f t="shared" si="0"/>
        <v>8800000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8850000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8850000</v>
      </c>
      <c r="C12" s="146">
        <f t="shared" si="2"/>
        <v>8850000</v>
      </c>
      <c r="D12" s="146">
        <f t="shared" si="2"/>
        <v>0</v>
      </c>
      <c r="E12" s="146">
        <f t="shared" si="2"/>
        <v>50000</v>
      </c>
      <c r="F12" s="146">
        <f t="shared" si="2"/>
        <v>8800000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8850000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3470282</v>
      </c>
      <c r="C29" s="147">
        <v>3470282</v>
      </c>
      <c r="D29" s="147"/>
      <c r="E29" s="147">
        <f>C29</f>
        <v>3470282</v>
      </c>
      <c r="F29" s="147"/>
      <c r="G29" s="147"/>
      <c r="H29" s="147"/>
      <c r="I29" s="147"/>
      <c r="J29" s="147"/>
      <c r="K29" s="147"/>
      <c r="L29" s="147"/>
      <c r="M29" s="147"/>
      <c r="N29" s="147"/>
      <c r="O29" s="147"/>
      <c r="P29" s="147"/>
      <c r="Q29" s="147"/>
      <c r="R29" s="516">
        <f t="shared" ref="R29:R37" si="7">SUM(E29:Q29)</f>
        <v>3470282</v>
      </c>
      <c r="S29" s="147">
        <f>R29</f>
        <v>3470282</v>
      </c>
      <c r="T29" s="147"/>
      <c r="U29" s="143"/>
    </row>
    <row r="30" spans="1:21" s="144" customFormat="1">
      <c r="A30" s="145" t="s">
        <v>599</v>
      </c>
      <c r="B30" s="146">
        <f t="shared" si="6"/>
        <v>30640838</v>
      </c>
      <c r="C30" s="147">
        <f>30490838</f>
        <v>30490838</v>
      </c>
      <c r="D30" s="147">
        <v>150000</v>
      </c>
      <c r="E30" s="147"/>
      <c r="F30" s="147">
        <f>20717000-588628+43000</f>
        <v>20171372</v>
      </c>
      <c r="G30" s="147">
        <v>4000000</v>
      </c>
      <c r="H30" s="147">
        <v>6250000</v>
      </c>
      <c r="I30" s="147"/>
      <c r="J30" s="147">
        <f>C30-F30-G30-H30+D30</f>
        <v>219466</v>
      </c>
      <c r="K30" s="147"/>
      <c r="L30" s="147"/>
      <c r="M30" s="147"/>
      <c r="N30" s="147"/>
      <c r="O30" s="147"/>
      <c r="P30" s="147"/>
      <c r="Q30" s="147"/>
      <c r="R30" s="516">
        <f t="shared" si="7"/>
        <v>30640838</v>
      </c>
      <c r="S30" s="147">
        <f>C30</f>
        <v>30490838</v>
      </c>
      <c r="T30" s="147"/>
      <c r="U30" s="143"/>
    </row>
    <row r="31" spans="1:21" s="144" customFormat="1">
      <c r="A31" s="145" t="s">
        <v>600</v>
      </c>
      <c r="B31" s="146">
        <f t="shared" si="6"/>
        <v>2037667</v>
      </c>
      <c r="C31" s="147">
        <v>2037667</v>
      </c>
      <c r="D31" s="147"/>
      <c r="E31" s="147">
        <f>C31-F31</f>
        <v>1875039</v>
      </c>
      <c r="F31" s="147">
        <f>168628-6000</f>
        <v>162628</v>
      </c>
      <c r="G31" s="147"/>
      <c r="H31" s="147"/>
      <c r="I31" s="147"/>
      <c r="J31" s="147"/>
      <c r="K31" s="147"/>
      <c r="L31" s="147"/>
      <c r="M31" s="147"/>
      <c r="N31" s="147"/>
      <c r="O31" s="147"/>
      <c r="P31" s="147"/>
      <c r="Q31" s="147"/>
      <c r="R31" s="516">
        <f t="shared" si="7"/>
        <v>2037667</v>
      </c>
      <c r="S31" s="147">
        <f>R31</f>
        <v>2037667</v>
      </c>
      <c r="T31" s="147"/>
      <c r="U31" s="143"/>
    </row>
    <row r="32" spans="1:21" s="144" customFormat="1">
      <c r="A32" s="145" t="s">
        <v>137</v>
      </c>
      <c r="B32" s="146">
        <f t="shared" si="6"/>
        <v>679222</v>
      </c>
      <c r="C32" s="147">
        <v>679222</v>
      </c>
      <c r="D32" s="147"/>
      <c r="E32" s="147">
        <f>C32</f>
        <v>679222</v>
      </c>
      <c r="F32" s="147"/>
      <c r="G32" s="147"/>
      <c r="H32" s="147"/>
      <c r="I32" s="147"/>
      <c r="J32" s="147"/>
      <c r="K32" s="147"/>
      <c r="L32" s="147"/>
      <c r="M32" s="147"/>
      <c r="N32" s="147"/>
      <c r="O32" s="147"/>
      <c r="P32" s="147"/>
      <c r="Q32" s="147"/>
      <c r="R32" s="516">
        <f t="shared" si="7"/>
        <v>679222</v>
      </c>
      <c r="S32" s="147">
        <f>R32</f>
        <v>679222</v>
      </c>
      <c r="T32" s="147"/>
      <c r="U32" s="143"/>
    </row>
    <row r="33" spans="1:21" s="144" customFormat="1">
      <c r="A33" s="145" t="s">
        <v>138</v>
      </c>
      <c r="B33" s="146">
        <f t="shared" si="6"/>
        <v>1600402</v>
      </c>
      <c r="C33" s="147">
        <v>1600402</v>
      </c>
      <c r="D33" s="147"/>
      <c r="E33" s="147">
        <f>C33</f>
        <v>1600402</v>
      </c>
      <c r="F33" s="147"/>
      <c r="G33" s="147"/>
      <c r="H33" s="147"/>
      <c r="I33" s="147"/>
      <c r="J33" s="147"/>
      <c r="K33" s="147"/>
      <c r="L33" s="147"/>
      <c r="M33" s="147"/>
      <c r="N33" s="147"/>
      <c r="O33" s="147"/>
      <c r="P33" s="147"/>
      <c r="Q33" s="147"/>
      <c r="R33" s="516">
        <f t="shared" si="7"/>
        <v>1600402</v>
      </c>
      <c r="S33" s="147">
        <f>R33</f>
        <v>1600402</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185824</v>
      </c>
      <c r="C35" s="147">
        <v>185824</v>
      </c>
      <c r="D35" s="147"/>
      <c r="E35" s="147">
        <f>C35</f>
        <v>185824</v>
      </c>
      <c r="F35" s="147"/>
      <c r="G35" s="147"/>
      <c r="H35" s="147"/>
      <c r="I35" s="147"/>
      <c r="J35" s="147"/>
      <c r="K35" s="147"/>
      <c r="L35" s="147"/>
      <c r="M35" s="147"/>
      <c r="N35" s="147"/>
      <c r="O35" s="147"/>
      <c r="P35" s="147"/>
      <c r="Q35" s="147"/>
      <c r="R35" s="516">
        <f t="shared" si="7"/>
        <v>185824</v>
      </c>
      <c r="S35" s="147">
        <f>R35</f>
        <v>185824</v>
      </c>
      <c r="T35" s="147"/>
      <c r="U35" s="143"/>
    </row>
    <row r="36" spans="1:21" s="144" customFormat="1">
      <c r="A36" s="283" t="s">
        <v>1640</v>
      </c>
      <c r="B36" s="146">
        <f t="shared" si="6"/>
        <v>200000</v>
      </c>
      <c r="C36" s="147">
        <v>200000</v>
      </c>
      <c r="D36" s="147"/>
      <c r="E36" s="147">
        <f>C36</f>
        <v>200000</v>
      </c>
      <c r="F36" s="147"/>
      <c r="G36" s="147"/>
      <c r="H36" s="147"/>
      <c r="I36" s="147"/>
      <c r="J36" s="147"/>
      <c r="K36" s="147"/>
      <c r="L36" s="147"/>
      <c r="M36" s="147"/>
      <c r="N36" s="147"/>
      <c r="O36" s="147"/>
      <c r="P36" s="147"/>
      <c r="Q36" s="147"/>
      <c r="R36" s="516">
        <f t="shared" si="7"/>
        <v>200000</v>
      </c>
      <c r="S36" s="147">
        <f>R36</f>
        <v>200000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f>R37</f>
        <v>0</v>
      </c>
      <c r="T37" s="147"/>
      <c r="U37" s="143"/>
    </row>
    <row r="38" spans="1:21" s="144" customFormat="1">
      <c r="A38" s="149" t="s">
        <v>143</v>
      </c>
      <c r="B38" s="146">
        <f t="shared" si="6"/>
        <v>38814235</v>
      </c>
      <c r="C38" s="146">
        <f>SUM(C29:C37)</f>
        <v>38664235</v>
      </c>
      <c r="D38" s="146">
        <f t="shared" ref="D38:Q38" si="8">SUM(D29:D37)</f>
        <v>150000</v>
      </c>
      <c r="E38" s="146">
        <f t="shared" si="8"/>
        <v>8010769</v>
      </c>
      <c r="F38" s="146">
        <f t="shared" si="8"/>
        <v>20334000</v>
      </c>
      <c r="G38" s="146">
        <f t="shared" si="8"/>
        <v>4000000</v>
      </c>
      <c r="H38" s="146">
        <f t="shared" si="8"/>
        <v>6250000</v>
      </c>
      <c r="I38" s="146">
        <f t="shared" si="8"/>
        <v>0</v>
      </c>
      <c r="J38" s="146">
        <f t="shared" si="8"/>
        <v>219466</v>
      </c>
      <c r="K38" s="146">
        <f t="shared" si="8"/>
        <v>0</v>
      </c>
      <c r="L38" s="146">
        <f t="shared" si="8"/>
        <v>0</v>
      </c>
      <c r="M38" s="146">
        <f t="shared" si="8"/>
        <v>0</v>
      </c>
      <c r="N38" s="146">
        <f t="shared" si="8"/>
        <v>0</v>
      </c>
      <c r="O38" s="146">
        <f t="shared" si="8"/>
        <v>0</v>
      </c>
      <c r="P38" s="146">
        <f t="shared" si="8"/>
        <v>0</v>
      </c>
      <c r="Q38" s="146">
        <f t="shared" si="8"/>
        <v>0</v>
      </c>
      <c r="R38" s="342">
        <f>SUM(R29:R37)</f>
        <v>38814235</v>
      </c>
      <c r="S38" s="150">
        <f>SUM(S29:S37)</f>
        <v>38664235</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1210927</v>
      </c>
      <c r="C40" s="147">
        <f>884631+226296+100000</f>
        <v>1210927</v>
      </c>
      <c r="D40" s="147"/>
      <c r="E40" s="147">
        <f>C40</f>
        <v>1210927</v>
      </c>
      <c r="F40" s="147"/>
      <c r="G40" s="147"/>
      <c r="H40" s="147"/>
      <c r="I40" s="147"/>
      <c r="J40" s="147"/>
      <c r="K40" s="147"/>
      <c r="L40" s="147"/>
      <c r="M40" s="147"/>
      <c r="N40" s="147"/>
      <c r="O40" s="147"/>
      <c r="P40" s="147"/>
      <c r="Q40" s="147"/>
      <c r="R40" s="516">
        <f>SUM(E40:Q40)</f>
        <v>1210927</v>
      </c>
      <c r="S40" s="147">
        <f>R40</f>
        <v>1210927</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1210927</v>
      </c>
      <c r="C42" s="146">
        <f>SUM(C39:C41)</f>
        <v>1210927</v>
      </c>
      <c r="D42" s="146">
        <f>SUM(D39:D41)</f>
        <v>0</v>
      </c>
      <c r="E42" s="146">
        <f t="shared" ref="E42:T42" si="9">SUM(E40:E41)</f>
        <v>1210927</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1210927</v>
      </c>
      <c r="S42" s="150">
        <f t="shared" si="9"/>
        <v>1210927</v>
      </c>
      <c r="T42" s="150">
        <f t="shared" si="9"/>
        <v>0</v>
      </c>
      <c r="U42" s="143"/>
    </row>
    <row r="43" spans="1:21" s="144" customFormat="1">
      <c r="A43" s="149" t="s">
        <v>148</v>
      </c>
      <c r="B43" s="146">
        <f>SUM(C43:D43)</f>
        <v>1515010</v>
      </c>
      <c r="C43" s="147">
        <f>429310+132300+450000+503400</f>
        <v>1515010</v>
      </c>
      <c r="D43" s="147"/>
      <c r="E43" s="147">
        <f>C43</f>
        <v>1515010</v>
      </c>
      <c r="F43" s="147"/>
      <c r="G43" s="147"/>
      <c r="H43" s="147"/>
      <c r="I43" s="147"/>
      <c r="J43" s="147"/>
      <c r="K43" s="147"/>
      <c r="L43" s="147"/>
      <c r="M43" s="147"/>
      <c r="N43" s="147"/>
      <c r="O43" s="147"/>
      <c r="P43" s="147"/>
      <c r="Q43" s="147"/>
      <c r="R43" s="516">
        <f>SUM(E43:Q43)</f>
        <v>1515010</v>
      </c>
      <c r="S43" s="147">
        <f>R43</f>
        <v>1515010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5280000</v>
      </c>
      <c r="C45" s="147">
        <v>5280000</v>
      </c>
      <c r="D45" s="147"/>
      <c r="E45" s="147">
        <f>C45-J45</f>
        <v>4603332</v>
      </c>
      <c r="F45" s="147"/>
      <c r="G45" s="147"/>
      <c r="H45" s="147"/>
      <c r="I45" s="147"/>
      <c r="J45" s="147">
        <f>895000-150000-68146-186</f>
        <v>676668</v>
      </c>
      <c r="K45" s="147"/>
      <c r="L45" s="147"/>
      <c r="M45" s="147"/>
      <c r="N45" s="147"/>
      <c r="O45" s="147"/>
      <c r="P45" s="147"/>
      <c r="Q45" s="147"/>
      <c r="R45" s="516">
        <f t="shared" ref="R45:R53" si="11">SUM(E45:Q45)</f>
        <v>5280000</v>
      </c>
      <c r="S45" s="147">
        <v>3228270</v>
      </c>
      <c r="T45" s="147"/>
      <c r="U45" s="143"/>
    </row>
    <row r="46" spans="1:21" s="144" customFormat="1">
      <c r="A46" s="145" t="s">
        <v>151</v>
      </c>
      <c r="B46" s="146">
        <f t="shared" si="10"/>
        <v>533000</v>
      </c>
      <c r="C46" s="147">
        <v>533000</v>
      </c>
      <c r="D46" s="147"/>
      <c r="E46" s="147">
        <f>C46</f>
        <v>533000</v>
      </c>
      <c r="F46" s="147"/>
      <c r="G46" s="147"/>
      <c r="H46" s="147"/>
      <c r="I46" s="147"/>
      <c r="J46" s="147"/>
      <c r="K46" s="147"/>
      <c r="L46" s="147"/>
      <c r="M46" s="147"/>
      <c r="N46" s="147"/>
      <c r="O46" s="147"/>
      <c r="P46" s="147"/>
      <c r="Q46" s="147"/>
      <c r="R46" s="516">
        <f t="shared" si="11"/>
        <v>533000</v>
      </c>
      <c r="S46" s="147">
        <f>R46</f>
        <v>533000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298806</v>
      </c>
      <c r="C48" s="147">
        <v>298806</v>
      </c>
      <c r="D48" s="147"/>
      <c r="E48" s="147">
        <f>C48</f>
        <v>298806</v>
      </c>
      <c r="F48" s="147"/>
      <c r="G48" s="147"/>
      <c r="H48" s="147"/>
      <c r="I48" s="147"/>
      <c r="J48" s="147"/>
      <c r="K48" s="147"/>
      <c r="L48" s="147"/>
      <c r="M48" s="147"/>
      <c r="N48" s="147"/>
      <c r="O48" s="147"/>
      <c r="P48" s="147"/>
      <c r="Q48" s="147"/>
      <c r="R48" s="516">
        <f t="shared" si="11"/>
        <v>298806</v>
      </c>
      <c r="S48" s="147">
        <f>R48</f>
        <v>298806</v>
      </c>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16">
        <f t="shared" si="11"/>
        <v>0</v>
      </c>
      <c r="S49" s="147"/>
      <c r="T49" s="147"/>
      <c r="U49" s="143"/>
    </row>
    <row r="50" spans="1:21" s="144" customFormat="1">
      <c r="A50" s="145" t="s">
        <v>156</v>
      </c>
      <c r="B50" s="146">
        <f t="shared" si="10"/>
        <v>45000</v>
      </c>
      <c r="C50" s="147">
        <v>45000</v>
      </c>
      <c r="D50" s="147"/>
      <c r="E50" s="147">
        <f>C50</f>
        <v>45000</v>
      </c>
      <c r="F50" s="147"/>
      <c r="G50" s="147"/>
      <c r="H50" s="147"/>
      <c r="I50" s="147"/>
      <c r="J50" s="147"/>
      <c r="K50" s="147"/>
      <c r="L50" s="147"/>
      <c r="M50" s="147"/>
      <c r="N50" s="147"/>
      <c r="O50" s="147"/>
      <c r="P50" s="147"/>
      <c r="Q50" s="147"/>
      <c r="R50" s="516">
        <f t="shared" si="11"/>
        <v>45000</v>
      </c>
      <c r="S50" s="147">
        <f>R50</f>
        <v>45000</v>
      </c>
      <c r="T50" s="147"/>
      <c r="U50" s="143"/>
    </row>
    <row r="51" spans="1:21" s="144" customFormat="1">
      <c r="A51" s="283" t="s">
        <v>154</v>
      </c>
      <c r="B51" s="146">
        <f t="shared" si="10"/>
        <v>50000</v>
      </c>
      <c r="C51" s="147">
        <f>30000+20000</f>
        <v>50000</v>
      </c>
      <c r="D51" s="147"/>
      <c r="E51" s="147">
        <f>C51</f>
        <v>50000</v>
      </c>
      <c r="F51" s="147"/>
      <c r="G51" s="147"/>
      <c r="H51" s="147"/>
      <c r="I51" s="147"/>
      <c r="J51" s="147"/>
      <c r="K51" s="147"/>
      <c r="L51" s="147"/>
      <c r="M51" s="147"/>
      <c r="N51" s="147"/>
      <c r="O51" s="147"/>
      <c r="P51" s="147"/>
      <c r="Q51" s="147"/>
      <c r="R51" s="516">
        <f t="shared" si="11"/>
        <v>50000</v>
      </c>
      <c r="S51" s="147">
        <f>30000</f>
        <v>30000</v>
      </c>
      <c r="T51" s="147"/>
      <c r="U51" s="143"/>
    </row>
    <row r="52" spans="1:21" s="144" customFormat="1">
      <c r="A52" s="145" t="s">
        <v>155</v>
      </c>
      <c r="B52" s="146">
        <f t="shared" si="10"/>
        <v>767969</v>
      </c>
      <c r="C52" s="147">
        <v>767969</v>
      </c>
      <c r="D52" s="147"/>
      <c r="E52" s="147">
        <f>C52</f>
        <v>767969</v>
      </c>
      <c r="F52" s="147"/>
      <c r="G52" s="147"/>
      <c r="H52" s="147"/>
      <c r="I52" s="147"/>
      <c r="J52" s="147"/>
      <c r="K52" s="147"/>
      <c r="L52" s="147"/>
      <c r="M52" s="147"/>
      <c r="N52" s="147"/>
      <c r="O52" s="147"/>
      <c r="P52" s="147"/>
      <c r="Q52" s="147"/>
      <c r="R52" s="516">
        <f t="shared" si="11"/>
        <v>767969</v>
      </c>
      <c r="S52" s="147">
        <f>R52</f>
        <v>767969</v>
      </c>
      <c r="T52" s="147"/>
      <c r="U52" s="143"/>
    </row>
    <row r="53" spans="1:21" s="144" customFormat="1" ht="24">
      <c r="A53" s="1149" t="s">
        <v>2796</v>
      </c>
      <c r="B53" s="146">
        <f t="shared" si="10"/>
        <v>78000</v>
      </c>
      <c r="C53" s="147">
        <f>18000+60000</f>
        <v>78000</v>
      </c>
      <c r="D53" s="147"/>
      <c r="E53" s="147">
        <f>C53</f>
        <v>78000</v>
      </c>
      <c r="F53" s="147"/>
      <c r="G53" s="147"/>
      <c r="H53" s="147"/>
      <c r="I53" s="147"/>
      <c r="J53" s="147"/>
      <c r="K53" s="147"/>
      <c r="L53" s="147"/>
      <c r="M53" s="147"/>
      <c r="N53" s="147"/>
      <c r="O53" s="147"/>
      <c r="P53" s="147"/>
      <c r="Q53" s="147"/>
      <c r="R53" s="516">
        <f t="shared" si="11"/>
        <v>78000</v>
      </c>
      <c r="S53" s="147">
        <f>R53</f>
        <v>78000</v>
      </c>
      <c r="T53" s="147"/>
      <c r="U53" s="143"/>
    </row>
    <row r="54" spans="1:21" s="153" customFormat="1">
      <c r="A54" s="149" t="s">
        <v>157</v>
      </c>
      <c r="B54" s="150">
        <f>SUM(C54:D54)</f>
        <v>7052775</v>
      </c>
      <c r="C54" s="150">
        <f t="shared" ref="C54:T54" si="12">SUM(C45:C53)</f>
        <v>7052775</v>
      </c>
      <c r="D54" s="150">
        <f t="shared" si="12"/>
        <v>0</v>
      </c>
      <c r="E54" s="150">
        <f t="shared" si="12"/>
        <v>6376107</v>
      </c>
      <c r="F54" s="150">
        <f t="shared" si="12"/>
        <v>0</v>
      </c>
      <c r="G54" s="150">
        <f t="shared" si="12"/>
        <v>0</v>
      </c>
      <c r="H54" s="150">
        <f t="shared" si="12"/>
        <v>0</v>
      </c>
      <c r="I54" s="150">
        <f t="shared" si="12"/>
        <v>0</v>
      </c>
      <c r="J54" s="150">
        <f t="shared" si="12"/>
        <v>676668</v>
      </c>
      <c r="K54" s="150">
        <f t="shared" si="12"/>
        <v>0</v>
      </c>
      <c r="L54" s="150">
        <f t="shared" si="12"/>
        <v>0</v>
      </c>
      <c r="M54" s="150">
        <f t="shared" si="12"/>
        <v>0</v>
      </c>
      <c r="N54" s="150">
        <f t="shared" si="12"/>
        <v>0</v>
      </c>
      <c r="O54" s="150">
        <f t="shared" si="12"/>
        <v>0</v>
      </c>
      <c r="P54" s="150">
        <f t="shared" si="12"/>
        <v>0</v>
      </c>
      <c r="Q54" s="150">
        <f t="shared" si="12"/>
        <v>0</v>
      </c>
      <c r="R54" s="342">
        <f t="shared" si="12"/>
        <v>7052775</v>
      </c>
      <c r="S54" s="150">
        <f t="shared" si="12"/>
        <v>4981045</v>
      </c>
      <c r="T54" s="150">
        <f t="shared" si="12"/>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437010</v>
      </c>
      <c r="C56" s="147">
        <v>437010</v>
      </c>
      <c r="D56" s="147"/>
      <c r="E56" s="147">
        <f>C56</f>
        <v>437010</v>
      </c>
      <c r="F56" s="147"/>
      <c r="G56" s="147"/>
      <c r="H56" s="147"/>
      <c r="I56" s="147"/>
      <c r="J56" s="147"/>
      <c r="K56" s="147"/>
      <c r="L56" s="147"/>
      <c r="M56" s="147"/>
      <c r="N56" s="147"/>
      <c r="O56" s="147"/>
      <c r="P56" s="147"/>
      <c r="Q56" s="147"/>
      <c r="R56" s="516">
        <f t="shared" ref="R56:R61" si="14">SUM(E56:Q56)</f>
        <v>437010</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80000</v>
      </c>
      <c r="C58" s="147">
        <v>80000</v>
      </c>
      <c r="D58" s="147"/>
      <c r="E58" s="147">
        <f>C58</f>
        <v>80000</v>
      </c>
      <c r="F58" s="147"/>
      <c r="G58" s="147"/>
      <c r="H58" s="147"/>
      <c r="I58" s="147"/>
      <c r="J58" s="147"/>
      <c r="K58" s="147"/>
      <c r="L58" s="147"/>
      <c r="M58" s="147"/>
      <c r="N58" s="147"/>
      <c r="O58" s="147"/>
      <c r="P58" s="147"/>
      <c r="Q58" s="147"/>
      <c r="R58" s="516">
        <f t="shared" si="14"/>
        <v>80000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2794</v>
      </c>
      <c r="B61" s="146">
        <f t="shared" si="13"/>
        <v>37500</v>
      </c>
      <c r="C61" s="147">
        <v>37500</v>
      </c>
      <c r="D61" s="147"/>
      <c r="E61" s="147">
        <f>C61</f>
        <v>37500</v>
      </c>
      <c r="F61" s="147"/>
      <c r="G61" s="147"/>
      <c r="H61" s="147"/>
      <c r="I61" s="147"/>
      <c r="J61" s="147"/>
      <c r="K61" s="147"/>
      <c r="L61" s="147"/>
      <c r="M61" s="147"/>
      <c r="N61" s="147"/>
      <c r="O61" s="147"/>
      <c r="P61" s="147"/>
      <c r="Q61" s="147"/>
      <c r="R61" s="516">
        <f t="shared" si="14"/>
        <v>37500</v>
      </c>
      <c r="S61" s="148"/>
      <c r="T61" s="148"/>
      <c r="U61" s="143"/>
    </row>
    <row r="62" spans="1:21" s="144" customFormat="1" ht="13.7" customHeight="1">
      <c r="A62" s="149" t="s">
        <v>300</v>
      </c>
      <c r="B62" s="146">
        <f>SUM(C62:D62)</f>
        <v>554510</v>
      </c>
      <c r="C62" s="146">
        <f t="shared" ref="C62:R62" si="15">SUM(C56:C61)</f>
        <v>554510</v>
      </c>
      <c r="D62" s="146">
        <f t="shared" si="15"/>
        <v>0</v>
      </c>
      <c r="E62" s="146">
        <f t="shared" si="15"/>
        <v>554510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554510</v>
      </c>
      <c r="S62" s="148"/>
      <c r="T62" s="148"/>
      <c r="U62" s="143"/>
    </row>
    <row r="63" spans="1:21" s="144" customFormat="1">
      <c r="A63" s="154" t="s">
        <v>301</v>
      </c>
      <c r="B63" s="146">
        <f t="shared" ref="B63:R63" si="16">SUM(B8+B11+B13+B14+B15+B26+B27+B38+B42+B43+B54+B62)</f>
        <v>57997457</v>
      </c>
      <c r="C63" s="146">
        <f t="shared" si="16"/>
        <v>57847457</v>
      </c>
      <c r="D63" s="146">
        <f t="shared" si="16"/>
        <v>150000</v>
      </c>
      <c r="E63" s="146">
        <f t="shared" si="16"/>
        <v>17717323</v>
      </c>
      <c r="F63" s="146">
        <f t="shared" si="16"/>
        <v>29134000</v>
      </c>
      <c r="G63" s="146">
        <f t="shared" si="16"/>
        <v>4000000</v>
      </c>
      <c r="H63" s="146">
        <f t="shared" si="16"/>
        <v>6250000</v>
      </c>
      <c r="I63" s="146">
        <f t="shared" si="16"/>
        <v>0</v>
      </c>
      <c r="J63" s="146">
        <f t="shared" si="16"/>
        <v>896134</v>
      </c>
      <c r="K63" s="146">
        <f t="shared" si="16"/>
        <v>0</v>
      </c>
      <c r="L63" s="146">
        <f t="shared" si="16"/>
        <v>0</v>
      </c>
      <c r="M63" s="146">
        <f t="shared" si="16"/>
        <v>0</v>
      </c>
      <c r="N63" s="146">
        <f t="shared" si="16"/>
        <v>0</v>
      </c>
      <c r="O63" s="146">
        <f t="shared" si="16"/>
        <v>0</v>
      </c>
      <c r="P63" s="146">
        <f t="shared" si="16"/>
        <v>0</v>
      </c>
      <c r="Q63" s="146">
        <f t="shared" si="16"/>
        <v>0</v>
      </c>
      <c r="R63" s="342">
        <f t="shared" si="16"/>
        <v>57997457</v>
      </c>
      <c r="S63" s="146">
        <f>SUM(S10+S13+S14+S15+S26+S27+S38+S42+S43+S54)</f>
        <v>46371217</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f>75000+40000</f>
        <v>115000</v>
      </c>
      <c r="D65" s="147"/>
      <c r="E65" s="147">
        <f>C65</f>
        <v>115000</v>
      </c>
      <c r="F65" s="147"/>
      <c r="G65" s="147"/>
      <c r="H65" s="147"/>
      <c r="I65" s="147"/>
      <c r="J65" s="147"/>
      <c r="K65" s="147"/>
      <c r="L65" s="147"/>
      <c r="M65" s="147"/>
      <c r="N65" s="147"/>
      <c r="O65" s="147"/>
      <c r="P65" s="147"/>
      <c r="Q65" s="147"/>
      <c r="R65" s="516">
        <f>SUM(E65:Q65)</f>
        <v>115000</v>
      </c>
      <c r="S65" s="147">
        <f>75000</f>
        <v>75000</v>
      </c>
      <c r="T65" s="147"/>
      <c r="U65" s="143"/>
    </row>
    <row r="66" spans="1:21" s="144" customFormat="1" ht="24" customHeight="1">
      <c r="A66" s="283" t="s">
        <v>1641</v>
      </c>
      <c r="B66" s="146">
        <f>SUM(C66+D66)</f>
        <v>494301</v>
      </c>
      <c r="C66" s="147">
        <v>494301</v>
      </c>
      <c r="D66" s="147"/>
      <c r="E66" s="147">
        <f>C66</f>
        <v>494301</v>
      </c>
      <c r="F66" s="147"/>
      <c r="G66" s="147"/>
      <c r="H66" s="147"/>
      <c r="I66" s="147"/>
      <c r="J66" s="147"/>
      <c r="K66" s="147"/>
      <c r="L66" s="147"/>
      <c r="M66" s="147"/>
      <c r="N66" s="147"/>
      <c r="O66" s="147"/>
      <c r="P66" s="147"/>
      <c r="Q66" s="147"/>
      <c r="R66" s="516">
        <f>SUM(E66:Q66)</f>
        <v>494301</v>
      </c>
      <c r="S66" s="147">
        <f>R66</f>
        <v>494301</v>
      </c>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2793</v>
      </c>
      <c r="B69" s="146">
        <f>SUM(C69+D69)</f>
        <v>267853</v>
      </c>
      <c r="C69" s="147">
        <f>267853</f>
        <v>267853</v>
      </c>
      <c r="D69" s="147"/>
      <c r="E69" s="147">
        <f>C69</f>
        <v>267853</v>
      </c>
      <c r="F69" s="147"/>
      <c r="G69" s="147"/>
      <c r="H69" s="147"/>
      <c r="I69" s="147"/>
      <c r="J69" s="147"/>
      <c r="K69" s="147"/>
      <c r="L69" s="147"/>
      <c r="M69" s="147"/>
      <c r="N69" s="147"/>
      <c r="O69" s="147"/>
      <c r="P69" s="147"/>
      <c r="Q69" s="147"/>
      <c r="R69" s="516">
        <f>SUM(E69:Q69)</f>
        <v>267853</v>
      </c>
      <c r="S69" s="147"/>
      <c r="T69" s="147"/>
      <c r="U69" s="143"/>
    </row>
    <row r="70" spans="1:21" s="144" customFormat="1">
      <c r="A70" s="149" t="s">
        <v>1645</v>
      </c>
      <c r="B70" s="146">
        <f>SUM(C70:D70)</f>
        <v>877154</v>
      </c>
      <c r="C70" s="146">
        <f>SUM(C65:C69)</f>
        <v>877154</v>
      </c>
      <c r="D70" s="146">
        <f>SUM(D65:D69)</f>
        <v>0</v>
      </c>
      <c r="E70" s="146">
        <f t="shared" ref="E70:T70" si="17">SUM(E65:E69)</f>
        <v>877154</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877154</v>
      </c>
      <c r="S70" s="150">
        <f t="shared" si="17"/>
        <v>569301</v>
      </c>
      <c r="T70" s="150">
        <f t="shared" si="17"/>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31250</v>
      </c>
      <c r="C74" s="147">
        <v>31250</v>
      </c>
      <c r="D74" s="147"/>
      <c r="E74" s="147">
        <f>C74</f>
        <v>31250</v>
      </c>
      <c r="F74" s="147"/>
      <c r="G74" s="147"/>
      <c r="H74" s="147"/>
      <c r="I74" s="147"/>
      <c r="J74" s="147"/>
      <c r="K74" s="147"/>
      <c r="L74" s="147"/>
      <c r="M74" s="147"/>
      <c r="N74" s="147"/>
      <c r="O74" s="147"/>
      <c r="P74" s="147"/>
      <c r="Q74" s="147"/>
      <c r="R74" s="516">
        <f>SUM(E74:Q74)</f>
        <v>31250</v>
      </c>
      <c r="S74" s="148"/>
      <c r="T74" s="148"/>
      <c r="U74" s="143"/>
    </row>
    <row r="75" spans="1:21" s="144" customFormat="1">
      <c r="A75" s="145" t="s">
        <v>605</v>
      </c>
      <c r="B75" s="146">
        <f>SUM(C75+D75)</f>
        <v>1552026</v>
      </c>
      <c r="C75" s="147">
        <v>1552026</v>
      </c>
      <c r="D75" s="147"/>
      <c r="E75" s="147">
        <f>C75</f>
        <v>1552026</v>
      </c>
      <c r="F75" s="147"/>
      <c r="G75" s="147"/>
      <c r="H75" s="147"/>
      <c r="I75" s="147"/>
      <c r="J75" s="147"/>
      <c r="K75" s="147"/>
      <c r="L75" s="147"/>
      <c r="M75" s="147"/>
      <c r="N75" s="147"/>
      <c r="O75" s="147"/>
      <c r="P75" s="147"/>
      <c r="Q75" s="147"/>
      <c r="R75" s="516">
        <f>SUM(E75:Q75)</f>
        <v>1552026</v>
      </c>
      <c r="S75" s="148"/>
      <c r="T75" s="148"/>
      <c r="U75" s="143"/>
    </row>
    <row r="76" spans="1:21" s="144" customFormat="1">
      <c r="A76" s="1149" t="s">
        <v>2792</v>
      </c>
      <c r="B76" s="146">
        <f>SUM(C76+D76)</f>
        <v>100000</v>
      </c>
      <c r="C76" s="147">
        <v>100000</v>
      </c>
      <c r="D76" s="147"/>
      <c r="E76" s="147">
        <f>C76</f>
        <v>100000</v>
      </c>
      <c r="F76" s="147"/>
      <c r="G76" s="147"/>
      <c r="H76" s="147"/>
      <c r="I76" s="147"/>
      <c r="J76" s="147"/>
      <c r="K76" s="147"/>
      <c r="L76" s="147"/>
      <c r="M76" s="147"/>
      <c r="N76" s="147"/>
      <c r="O76" s="147"/>
      <c r="P76" s="147"/>
      <c r="Q76" s="147"/>
      <c r="R76" s="516">
        <f>SUM(E76:Q76)</f>
        <v>100000</v>
      </c>
      <c r="S76" s="148"/>
      <c r="T76" s="148"/>
      <c r="U76" s="143"/>
    </row>
    <row r="77" spans="1:21" s="144" customFormat="1">
      <c r="A77" s="149" t="s">
        <v>606</v>
      </c>
      <c r="B77" s="146">
        <f>SUM(C77:D77)</f>
        <v>1683276</v>
      </c>
      <c r="C77" s="146">
        <f>SUM(C72:C76)</f>
        <v>1683276</v>
      </c>
      <c r="D77" s="146">
        <f>SUM(D72:D76)</f>
        <v>0</v>
      </c>
      <c r="E77" s="146">
        <f t="shared" ref="E77:Q77" si="18">SUM(E72:E76)</f>
        <v>1683276</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1683276</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1936361</v>
      </c>
      <c r="C79" s="147">
        <v>1936361</v>
      </c>
      <c r="D79" s="147"/>
      <c r="E79" s="147">
        <f>C79</f>
        <v>1936361</v>
      </c>
      <c r="F79" s="147"/>
      <c r="G79" s="147"/>
      <c r="H79" s="147"/>
      <c r="I79" s="147"/>
      <c r="J79" s="147"/>
      <c r="K79" s="147"/>
      <c r="L79" s="147"/>
      <c r="M79" s="147"/>
      <c r="N79" s="147"/>
      <c r="O79" s="147"/>
      <c r="P79" s="147"/>
      <c r="Q79" s="147"/>
      <c r="R79" s="516">
        <f>SUM(E79:Q79)</f>
        <v>1936361</v>
      </c>
      <c r="S79" s="147">
        <f>R79</f>
        <v>1936361</v>
      </c>
      <c r="T79" s="147"/>
      <c r="U79" s="143"/>
    </row>
    <row r="80" spans="1:21" s="144" customFormat="1">
      <c r="A80" s="283" t="s">
        <v>58</v>
      </c>
      <c r="B80" s="146">
        <f>SUM(C80:D80)</f>
        <v>290000</v>
      </c>
      <c r="C80" s="147">
        <v>290000</v>
      </c>
      <c r="D80" s="147"/>
      <c r="E80" s="147">
        <f>C80</f>
        <v>290000</v>
      </c>
      <c r="F80" s="147"/>
      <c r="G80" s="147"/>
      <c r="H80" s="147"/>
      <c r="I80" s="147"/>
      <c r="J80" s="147"/>
      <c r="K80" s="147"/>
      <c r="L80" s="147"/>
      <c r="M80" s="147"/>
      <c r="N80" s="147"/>
      <c r="O80" s="147"/>
      <c r="P80" s="147"/>
      <c r="Q80" s="147"/>
      <c r="R80" s="516">
        <f>SUM(E80:Q80)</f>
        <v>290000</v>
      </c>
      <c r="S80" s="147">
        <f>R80</f>
        <v>290000</v>
      </c>
      <c r="T80" s="147"/>
      <c r="U80" s="143"/>
    </row>
    <row r="81" spans="1:21" s="144" customFormat="1">
      <c r="A81" s="149" t="s">
        <v>1209</v>
      </c>
      <c r="B81" s="146">
        <f>SUM(C81:D81)</f>
        <v>2226361</v>
      </c>
      <c r="C81" s="509">
        <f>SUM(C79:C80)</f>
        <v>2226361</v>
      </c>
      <c r="D81" s="509">
        <f t="shared" ref="D81:T81" si="19">SUM(D79:D80)</f>
        <v>0</v>
      </c>
      <c r="E81" s="509">
        <f t="shared" si="19"/>
        <v>2226361</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2226361</v>
      </c>
      <c r="S81" s="509">
        <f t="shared" si="19"/>
        <v>2226361</v>
      </c>
      <c r="T81" s="509">
        <f t="shared" si="1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0">SUM(C83+D83)</f>
        <v>158753</v>
      </c>
      <c r="C83" s="147">
        <f>71953+86800</f>
        <v>158753</v>
      </c>
      <c r="D83" s="147"/>
      <c r="E83" s="147">
        <f>C83</f>
        <v>158753</v>
      </c>
      <c r="F83" s="147"/>
      <c r="G83" s="147"/>
      <c r="H83" s="147"/>
      <c r="I83" s="147"/>
      <c r="J83" s="147"/>
      <c r="K83" s="147"/>
      <c r="L83" s="147"/>
      <c r="M83" s="147"/>
      <c r="N83" s="147"/>
      <c r="O83" s="147"/>
      <c r="P83" s="147"/>
      <c r="Q83" s="147"/>
      <c r="R83" s="516">
        <f t="shared" ref="R83:R95" si="21">SUM(E83:Q83)</f>
        <v>158753</v>
      </c>
      <c r="S83" s="148"/>
      <c r="T83" s="148"/>
      <c r="U83" s="143"/>
    </row>
    <row r="84" spans="1:21" s="144" customFormat="1">
      <c r="A84" s="145" t="s">
        <v>767</v>
      </c>
      <c r="B84" s="146">
        <f t="shared" si="20"/>
        <v>0</v>
      </c>
      <c r="C84" s="147"/>
      <c r="D84" s="147"/>
      <c r="E84" s="147"/>
      <c r="F84" s="147"/>
      <c r="G84" s="147"/>
      <c r="H84" s="147"/>
      <c r="I84" s="147"/>
      <c r="J84" s="147"/>
      <c r="K84" s="147"/>
      <c r="L84" s="147"/>
      <c r="M84" s="147"/>
      <c r="N84" s="147"/>
      <c r="O84" s="147"/>
      <c r="P84" s="147"/>
      <c r="Q84" s="147"/>
      <c r="R84" s="516">
        <f t="shared" si="21"/>
        <v>0</v>
      </c>
      <c r="S84" s="147"/>
      <c r="T84" s="147"/>
      <c r="U84" s="143"/>
    </row>
    <row r="85" spans="1:21" s="144" customFormat="1">
      <c r="A85" s="145" t="s">
        <v>768</v>
      </c>
      <c r="B85" s="146">
        <f t="shared" si="20"/>
        <v>2109915</v>
      </c>
      <c r="C85" s="147">
        <v>2109915</v>
      </c>
      <c r="D85" s="147"/>
      <c r="E85" s="147">
        <f>C85</f>
        <v>2109915</v>
      </c>
      <c r="F85" s="147"/>
      <c r="G85" s="147"/>
      <c r="H85" s="147"/>
      <c r="I85" s="147"/>
      <c r="J85" s="147"/>
      <c r="K85" s="147"/>
      <c r="L85" s="147"/>
      <c r="M85" s="147"/>
      <c r="N85" s="147"/>
      <c r="O85" s="147"/>
      <c r="P85" s="147"/>
      <c r="Q85" s="147"/>
      <c r="R85" s="516">
        <f t="shared" si="21"/>
        <v>2109915</v>
      </c>
      <c r="S85" s="147">
        <f>R85</f>
        <v>2109915</v>
      </c>
      <c r="T85" s="147"/>
      <c r="U85" s="143"/>
    </row>
    <row r="86" spans="1:21" s="144" customFormat="1">
      <c r="A86" s="145" t="s">
        <v>769</v>
      </c>
      <c r="B86" s="146">
        <f t="shared" si="20"/>
        <v>25000</v>
      </c>
      <c r="C86" s="147">
        <v>25000</v>
      </c>
      <c r="D86" s="147"/>
      <c r="E86" s="147">
        <f>C86</f>
        <v>25000</v>
      </c>
      <c r="F86" s="147"/>
      <c r="G86" s="147"/>
      <c r="H86" s="147"/>
      <c r="I86" s="147"/>
      <c r="J86" s="147"/>
      <c r="K86" s="147"/>
      <c r="L86" s="147"/>
      <c r="M86" s="147"/>
      <c r="N86" s="147"/>
      <c r="O86" s="147"/>
      <c r="P86" s="147"/>
      <c r="Q86" s="147"/>
      <c r="R86" s="516">
        <f t="shared" si="21"/>
        <v>25000</v>
      </c>
      <c r="S86" s="147">
        <f>R86</f>
        <v>25000</v>
      </c>
      <c r="T86" s="147"/>
      <c r="U86" s="143"/>
    </row>
    <row r="87" spans="1:21" s="144" customFormat="1">
      <c r="A87" s="145" t="s">
        <v>770</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771</v>
      </c>
      <c r="B88" s="146">
        <f t="shared" si="20"/>
        <v>0</v>
      </c>
      <c r="C88" s="147"/>
      <c r="D88" s="147"/>
      <c r="E88" s="147"/>
      <c r="F88" s="147"/>
      <c r="G88" s="147"/>
      <c r="H88" s="147"/>
      <c r="I88" s="147"/>
      <c r="J88" s="147"/>
      <c r="K88" s="147"/>
      <c r="L88" s="147"/>
      <c r="M88" s="147"/>
      <c r="N88" s="147"/>
      <c r="O88" s="147"/>
      <c r="P88" s="147"/>
      <c r="Q88" s="147"/>
      <c r="R88" s="516">
        <f t="shared" si="21"/>
        <v>0</v>
      </c>
      <c r="S88" s="148"/>
      <c r="T88" s="148"/>
      <c r="U88" s="143"/>
    </row>
    <row r="89" spans="1:21" s="144" customFormat="1">
      <c r="A89" s="145" t="s">
        <v>772</v>
      </c>
      <c r="B89" s="146">
        <f t="shared" si="20"/>
        <v>300000</v>
      </c>
      <c r="C89" s="147">
        <f>300000</f>
        <v>300000</v>
      </c>
      <c r="D89" s="147"/>
      <c r="E89" s="147">
        <f>C89</f>
        <v>300000</v>
      </c>
      <c r="F89" s="147"/>
      <c r="G89" s="147"/>
      <c r="H89" s="147"/>
      <c r="I89" s="147"/>
      <c r="J89" s="147"/>
      <c r="K89" s="147"/>
      <c r="L89" s="147"/>
      <c r="M89" s="147"/>
      <c r="N89" s="147"/>
      <c r="O89" s="147"/>
      <c r="P89" s="147"/>
      <c r="Q89" s="147"/>
      <c r="R89" s="516">
        <f t="shared" si="21"/>
        <v>300000</v>
      </c>
      <c r="S89" s="147">
        <f>R89</f>
        <v>300000</v>
      </c>
      <c r="T89" s="147"/>
      <c r="U89" s="143"/>
    </row>
    <row r="90" spans="1:21" s="144" customFormat="1">
      <c r="A90" s="145" t="s">
        <v>773</v>
      </c>
      <c r="B90" s="146">
        <f t="shared" si="20"/>
        <v>0</v>
      </c>
      <c r="C90" s="147"/>
      <c r="D90" s="147"/>
      <c r="E90" s="147"/>
      <c r="F90" s="147"/>
      <c r="G90" s="147"/>
      <c r="H90" s="147"/>
      <c r="I90" s="147"/>
      <c r="J90" s="147"/>
      <c r="K90" s="147"/>
      <c r="L90" s="147"/>
      <c r="M90" s="147"/>
      <c r="N90" s="147"/>
      <c r="O90" s="147"/>
      <c r="P90" s="147"/>
      <c r="Q90" s="147"/>
      <c r="R90" s="516">
        <f t="shared" si="21"/>
        <v>0</v>
      </c>
      <c r="S90" s="147"/>
      <c r="T90" s="147"/>
      <c r="U90" s="143"/>
    </row>
    <row r="91" spans="1:21" s="144" customFormat="1">
      <c r="A91" s="145" t="s">
        <v>371</v>
      </c>
      <c r="B91" s="146">
        <f t="shared" si="20"/>
        <v>40000</v>
      </c>
      <c r="C91" s="147">
        <f>20000+20000</f>
        <v>40000</v>
      </c>
      <c r="D91" s="147"/>
      <c r="E91" s="147">
        <f>C91</f>
        <v>40000</v>
      </c>
      <c r="F91" s="147"/>
      <c r="G91" s="147"/>
      <c r="H91" s="147"/>
      <c r="I91" s="147"/>
      <c r="J91" s="147"/>
      <c r="K91" s="147"/>
      <c r="L91" s="147"/>
      <c r="M91" s="147"/>
      <c r="N91" s="147"/>
      <c r="O91" s="147"/>
      <c r="P91" s="147"/>
      <c r="Q91" s="147"/>
      <c r="R91" s="516">
        <f t="shared" si="21"/>
        <v>40000</v>
      </c>
      <c r="S91" s="147">
        <f>R91</f>
        <v>40000</v>
      </c>
      <c r="T91" s="147"/>
      <c r="U91" s="143"/>
    </row>
    <row r="92" spans="1:21" s="144" customFormat="1">
      <c r="A92" s="283" t="s">
        <v>1211</v>
      </c>
      <c r="B92" s="146">
        <f t="shared" si="20"/>
        <v>20000</v>
      </c>
      <c r="C92" s="147">
        <v>20000</v>
      </c>
      <c r="D92" s="147"/>
      <c r="E92" s="147">
        <f>C92</f>
        <v>20000</v>
      </c>
      <c r="F92" s="147"/>
      <c r="G92" s="147"/>
      <c r="H92" s="147"/>
      <c r="I92" s="147"/>
      <c r="J92" s="147"/>
      <c r="K92" s="147"/>
      <c r="L92" s="147"/>
      <c r="M92" s="147"/>
      <c r="N92" s="147"/>
      <c r="O92" s="147"/>
      <c r="P92" s="147"/>
      <c r="Q92" s="147"/>
      <c r="R92" s="516">
        <f t="shared" si="21"/>
        <v>20000</v>
      </c>
      <c r="S92" s="147">
        <f>R92</f>
        <v>20000</v>
      </c>
      <c r="T92" s="147"/>
      <c r="U92" s="143"/>
    </row>
    <row r="93" spans="1:21" s="144" customFormat="1">
      <c r="A93" s="1149" t="s">
        <v>2797</v>
      </c>
      <c r="B93" s="146">
        <f t="shared" si="20"/>
        <v>55000</v>
      </c>
      <c r="C93" s="147">
        <f>50000+5000</f>
        <v>55000</v>
      </c>
      <c r="D93" s="147"/>
      <c r="E93" s="147">
        <f>C93</f>
        <v>55000</v>
      </c>
      <c r="F93" s="147"/>
      <c r="G93" s="147"/>
      <c r="H93" s="147"/>
      <c r="I93" s="147"/>
      <c r="J93" s="147"/>
      <c r="K93" s="147"/>
      <c r="L93" s="147"/>
      <c r="M93" s="147"/>
      <c r="N93" s="147"/>
      <c r="O93" s="147"/>
      <c r="P93" s="147"/>
      <c r="Q93" s="147"/>
      <c r="R93" s="516">
        <f t="shared" si="21"/>
        <v>55000</v>
      </c>
      <c r="S93" s="147"/>
      <c r="T93" s="147"/>
      <c r="U93" s="143"/>
    </row>
    <row r="94" spans="1:21" s="144" customFormat="1">
      <c r="A94" s="1149" t="s">
        <v>2795</v>
      </c>
      <c r="B94" s="146">
        <f t="shared" si="20"/>
        <v>600000</v>
      </c>
      <c r="C94" s="147">
        <v>600000</v>
      </c>
      <c r="D94" s="147"/>
      <c r="E94" s="147">
        <f>C94</f>
        <v>600000</v>
      </c>
      <c r="F94" s="147"/>
      <c r="G94" s="147"/>
      <c r="H94" s="147"/>
      <c r="I94" s="147"/>
      <c r="J94" s="147"/>
      <c r="K94" s="147"/>
      <c r="L94" s="147"/>
      <c r="M94" s="147"/>
      <c r="N94" s="147"/>
      <c r="O94" s="147"/>
      <c r="P94" s="147"/>
      <c r="Q94" s="147"/>
      <c r="R94" s="516">
        <f t="shared" si="21"/>
        <v>600000</v>
      </c>
      <c r="S94" s="147">
        <f>R94</f>
        <v>600000</v>
      </c>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774</v>
      </c>
      <c r="B96" s="146">
        <f>SUM(C96:D96)</f>
        <v>3308668</v>
      </c>
      <c r="C96" s="146">
        <f t="shared" ref="C96:R96" si="22">SUM(C83:C95)</f>
        <v>3308668</v>
      </c>
      <c r="D96" s="146">
        <f t="shared" si="22"/>
        <v>0</v>
      </c>
      <c r="E96" s="146">
        <f t="shared" si="22"/>
        <v>3308668</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3308668</v>
      </c>
      <c r="S96" s="150">
        <f>SUM(S84:S87,S89:S95)</f>
        <v>3094915</v>
      </c>
      <c r="T96" s="146">
        <f>SUM(T84:T87,T89:T95)</f>
        <v>0</v>
      </c>
      <c r="U96" s="143"/>
    </row>
    <row r="97" spans="1:21" s="144" customFormat="1">
      <c r="A97" s="149" t="s">
        <v>775</v>
      </c>
      <c r="B97" s="146">
        <f>SUM(C97:D97)</f>
        <v>66092916</v>
      </c>
      <c r="C97" s="146">
        <f t="shared" ref="C97:R97" si="23">SUM(C63+C70+C77+C81+C96)</f>
        <v>65942916</v>
      </c>
      <c r="D97" s="146">
        <f t="shared" si="23"/>
        <v>150000</v>
      </c>
      <c r="E97" s="146">
        <f t="shared" si="23"/>
        <v>25812782</v>
      </c>
      <c r="F97" s="146">
        <f t="shared" si="23"/>
        <v>29134000</v>
      </c>
      <c r="G97" s="146">
        <f t="shared" si="23"/>
        <v>4000000</v>
      </c>
      <c r="H97" s="146">
        <f t="shared" si="23"/>
        <v>6250000</v>
      </c>
      <c r="I97" s="146">
        <f t="shared" si="23"/>
        <v>0</v>
      </c>
      <c r="J97" s="146">
        <f t="shared" si="23"/>
        <v>896134</v>
      </c>
      <c r="K97" s="146">
        <f t="shared" si="23"/>
        <v>0</v>
      </c>
      <c r="L97" s="146">
        <f t="shared" si="23"/>
        <v>0</v>
      </c>
      <c r="M97" s="146">
        <f t="shared" si="23"/>
        <v>0</v>
      </c>
      <c r="N97" s="146">
        <f t="shared" si="23"/>
        <v>0</v>
      </c>
      <c r="O97" s="146">
        <f t="shared" si="23"/>
        <v>0</v>
      </c>
      <c r="P97" s="146">
        <f t="shared" si="23"/>
        <v>0</v>
      </c>
      <c r="Q97" s="146">
        <f t="shared" si="23"/>
        <v>0</v>
      </c>
      <c r="R97" s="146">
        <f t="shared" si="23"/>
        <v>66092916</v>
      </c>
      <c r="S97" s="146">
        <f>SUM(S63+S70+S81+S96)</f>
        <v>52261794</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7839268</v>
      </c>
      <c r="C99" s="979">
        <f>3249185+4590083</f>
        <v>7839268</v>
      </c>
      <c r="D99" s="979"/>
      <c r="E99" s="979">
        <f>C99-I99</f>
        <v>3249185</v>
      </c>
      <c r="F99" s="147"/>
      <c r="G99" s="147"/>
      <c r="H99" s="147"/>
      <c r="I99" s="147">
        <f>4590083</f>
        <v>4590083</v>
      </c>
      <c r="J99" s="147"/>
      <c r="K99" s="147"/>
      <c r="L99" s="147"/>
      <c r="M99" s="147"/>
      <c r="N99" s="147"/>
      <c r="O99" s="147"/>
      <c r="P99" s="147"/>
      <c r="Q99" s="147"/>
      <c r="R99" s="516">
        <f>SUM(E99:Q99)</f>
        <v>7839268</v>
      </c>
      <c r="S99" s="147">
        <f>R99</f>
        <v>7839268</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7839268</v>
      </c>
      <c r="C104" s="146">
        <f>SUM(C99:C103)</f>
        <v>7839268</v>
      </c>
      <c r="D104" s="146">
        <f t="shared" ref="D104:T104" si="24">SUM(D99:D103)</f>
        <v>0</v>
      </c>
      <c r="E104" s="146">
        <f t="shared" si="24"/>
        <v>3249185</v>
      </c>
      <c r="F104" s="146">
        <f t="shared" si="24"/>
        <v>0</v>
      </c>
      <c r="G104" s="146">
        <f t="shared" si="24"/>
        <v>0</v>
      </c>
      <c r="H104" s="146">
        <f t="shared" si="24"/>
        <v>0</v>
      </c>
      <c r="I104" s="146">
        <f t="shared" si="24"/>
        <v>4590083</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7839268</v>
      </c>
      <c r="S104" s="150">
        <f t="shared" si="24"/>
        <v>7839268</v>
      </c>
      <c r="T104" s="150">
        <f t="shared" si="24"/>
        <v>0</v>
      </c>
      <c r="U104" s="143"/>
    </row>
    <row r="105" spans="1:21" s="144" customFormat="1">
      <c r="A105" s="149" t="s">
        <v>780</v>
      </c>
      <c r="B105" s="150">
        <f>SUM(C105:D105)</f>
        <v>73932184</v>
      </c>
      <c r="C105" s="150">
        <f t="shared" ref="C105:R105" si="25">SUM(C97+C104)</f>
        <v>73782184</v>
      </c>
      <c r="D105" s="150">
        <f t="shared" si="25"/>
        <v>150000</v>
      </c>
      <c r="E105" s="150">
        <f t="shared" si="25"/>
        <v>29061967</v>
      </c>
      <c r="F105" s="150">
        <f t="shared" si="25"/>
        <v>29134000</v>
      </c>
      <c r="G105" s="150">
        <f t="shared" si="25"/>
        <v>4000000</v>
      </c>
      <c r="H105" s="150">
        <f t="shared" si="25"/>
        <v>6250000</v>
      </c>
      <c r="I105" s="150">
        <f t="shared" si="25"/>
        <v>4590083</v>
      </c>
      <c r="J105" s="150">
        <f t="shared" si="25"/>
        <v>896134</v>
      </c>
      <c r="K105" s="150">
        <f t="shared" si="25"/>
        <v>0</v>
      </c>
      <c r="L105" s="150">
        <f t="shared" si="25"/>
        <v>0</v>
      </c>
      <c r="M105" s="150">
        <f t="shared" si="25"/>
        <v>0</v>
      </c>
      <c r="N105" s="150">
        <f t="shared" si="25"/>
        <v>0</v>
      </c>
      <c r="O105" s="150">
        <f t="shared" si="25"/>
        <v>0</v>
      </c>
      <c r="P105" s="150">
        <f t="shared" si="25"/>
        <v>0</v>
      </c>
      <c r="Q105" s="150">
        <f t="shared" si="25"/>
        <v>0</v>
      </c>
      <c r="R105" s="342">
        <f t="shared" si="25"/>
        <v>73932184</v>
      </c>
      <c r="S105" s="150">
        <f>S97+S104</f>
        <v>60101062</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60101062</v>
      </c>
      <c r="T107" s="150">
        <f>T105+T106</f>
        <v>0</v>
      </c>
    </row>
    <row r="108" spans="1:21" s="189" customFormat="1">
      <c r="A108" s="162" t="s">
        <v>879</v>
      </c>
      <c r="B108" s="157"/>
      <c r="C108" s="157"/>
      <c r="D108" s="157"/>
      <c r="E108" s="301">
        <f>Application!AO640</f>
        <v>29061967</v>
      </c>
      <c r="F108" s="301">
        <f>Application!AO627</f>
        <v>29134000</v>
      </c>
      <c r="G108" s="301">
        <f>Application!AO628</f>
        <v>4000000</v>
      </c>
      <c r="H108" s="301">
        <f>Application!AO629</f>
        <v>6250000</v>
      </c>
      <c r="I108" s="301">
        <f>Application!AO630</f>
        <v>4590083</v>
      </c>
      <c r="J108" s="301">
        <f>Application!AO631</f>
        <v>896134</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8" t="s">
        <v>990</v>
      </c>
      <c r="E122" s="1868"/>
      <c r="F122" s="1868"/>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0" t="s">
        <v>1224</v>
      </c>
      <c r="E123" s="1791"/>
      <c r="F123" s="1791"/>
      <c r="G123" s="1791"/>
      <c r="H123" s="1791"/>
      <c r="I123" s="1791"/>
      <c r="J123" s="1791"/>
      <c r="K123" s="1791"/>
      <c r="L123" s="1791"/>
      <c r="M123" s="1791"/>
      <c r="N123" s="1791"/>
      <c r="O123" s="1791"/>
      <c r="P123" s="1791"/>
      <c r="Q123" s="1791"/>
      <c r="R123" s="1791"/>
      <c r="S123" s="1791"/>
      <c r="T123" s="324"/>
      <c r="U123" s="326"/>
    </row>
    <row r="124" spans="1:21" ht="12.75">
      <c r="A124" s="117" t="s">
        <v>992</v>
      </c>
      <c r="B124" s="333"/>
      <c r="C124" s="117"/>
      <c r="D124" s="1791"/>
      <c r="E124" s="1791"/>
      <c r="F124" s="1791"/>
      <c r="G124" s="1791"/>
      <c r="H124" s="1791"/>
      <c r="I124" s="1791"/>
      <c r="J124" s="1791"/>
      <c r="K124" s="1791"/>
      <c r="L124" s="1791"/>
      <c r="M124" s="1791"/>
      <c r="N124" s="1791"/>
      <c r="O124" s="1791"/>
      <c r="P124" s="1791"/>
      <c r="Q124" s="1791"/>
      <c r="R124" s="1791"/>
      <c r="S124" s="1791"/>
      <c r="T124" s="324"/>
      <c r="U124" s="326"/>
    </row>
    <row r="125" spans="1:21" ht="12.75">
      <c r="A125" s="117" t="s">
        <v>993</v>
      </c>
      <c r="B125" s="333"/>
      <c r="C125" s="117"/>
      <c r="D125" s="1791"/>
      <c r="E125" s="1791"/>
      <c r="F125" s="1791"/>
      <c r="G125" s="1791"/>
      <c r="H125" s="1791"/>
      <c r="I125" s="1791"/>
      <c r="J125" s="1791"/>
      <c r="K125" s="1791"/>
      <c r="L125" s="1791"/>
      <c r="M125" s="1791"/>
      <c r="N125" s="1791"/>
      <c r="O125" s="1791"/>
      <c r="P125" s="1791"/>
      <c r="Q125" s="1791"/>
      <c r="R125" s="1791"/>
      <c r="S125" s="1791"/>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2.75">
      <c r="A129" s="117" t="s">
        <v>299</v>
      </c>
      <c r="B129" s="333"/>
      <c r="C129" s="117"/>
      <c r="D129" s="1867" t="s">
        <v>997</v>
      </c>
      <c r="E129" s="1867"/>
      <c r="F129" s="1867"/>
      <c r="G129" s="1867"/>
      <c r="H129" s="1867"/>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03"/>
      <c r="E131" s="1803"/>
      <c r="F131" s="1803"/>
      <c r="G131" s="1803"/>
      <c r="H131" s="1803"/>
      <c r="I131" s="117"/>
      <c r="J131" s="1803"/>
      <c r="K131" s="1803"/>
      <c r="L131" s="1803"/>
      <c r="M131" s="1803"/>
      <c r="N131" s="117"/>
      <c r="O131" s="117"/>
      <c r="P131" s="117"/>
      <c r="Q131" s="117"/>
      <c r="R131" s="117"/>
      <c r="S131" s="117"/>
      <c r="T131" s="324"/>
      <c r="U131" s="326"/>
    </row>
    <row r="132" spans="1:21" ht="12" customHeight="1">
      <c r="A132" s="336"/>
      <c r="B132" s="117"/>
      <c r="C132" s="117"/>
      <c r="D132" s="1871" t="s">
        <v>1000</v>
      </c>
      <c r="E132" s="1871"/>
      <c r="F132" s="1871"/>
      <c r="G132" s="1871"/>
      <c r="H132" s="1871"/>
      <c r="I132" s="117"/>
      <c r="J132" s="1871" t="s">
        <v>1001</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2.75">
      <c r="A139" s="1869" t="s">
        <v>1004</v>
      </c>
      <c r="B139" s="1869"/>
      <c r="C139" s="1869"/>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36"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5" t="s">
        <v>1227</v>
      </c>
      <c r="B1" s="1876"/>
      <c r="C1" s="1876"/>
      <c r="D1" s="1876"/>
      <c r="E1" s="1876"/>
      <c r="F1" s="1876"/>
      <c r="G1" s="1876"/>
      <c r="H1" s="1876"/>
      <c r="I1" s="1876"/>
      <c r="J1" s="1877"/>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8800000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50000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8850000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8850000</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3470282</v>
      </c>
      <c r="C29" s="362"/>
      <c r="D29" s="362"/>
      <c r="E29" s="361">
        <f>'Sources and Uses Budget'!S29</f>
        <v>3470282</v>
      </c>
      <c r="F29" s="362"/>
      <c r="G29" s="362"/>
      <c r="H29" s="361">
        <f>'Sources and Uses Budget'!T29</f>
        <v>0</v>
      </c>
      <c r="I29" s="362"/>
      <c r="J29" s="362"/>
      <c r="K29" s="359"/>
    </row>
    <row r="30" spans="1:11" s="360" customFormat="1">
      <c r="A30" s="145" t="s">
        <v>599</v>
      </c>
      <c r="B30" s="361">
        <f>'Sources and Uses Budget'!C30</f>
        <v>30490838</v>
      </c>
      <c r="C30" s="362"/>
      <c r="D30" s="362"/>
      <c r="E30" s="361">
        <f>'Sources and Uses Budget'!S30</f>
        <v>30490838</v>
      </c>
      <c r="F30" s="362"/>
      <c r="G30" s="362"/>
      <c r="H30" s="361">
        <f>'Sources and Uses Budget'!T30</f>
        <v>0</v>
      </c>
      <c r="I30" s="362"/>
      <c r="J30" s="362"/>
      <c r="K30" s="359"/>
    </row>
    <row r="31" spans="1:11" s="360" customFormat="1">
      <c r="A31" s="145" t="s">
        <v>600</v>
      </c>
      <c r="B31" s="361">
        <f>'Sources and Uses Budget'!C31</f>
        <v>2037667</v>
      </c>
      <c r="C31" s="362"/>
      <c r="D31" s="362"/>
      <c r="E31" s="361">
        <f>'Sources and Uses Budget'!S31</f>
        <v>2037667</v>
      </c>
      <c r="F31" s="362"/>
      <c r="G31" s="362"/>
      <c r="H31" s="361">
        <f>'Sources and Uses Budget'!T31</f>
        <v>0</v>
      </c>
      <c r="I31" s="362"/>
      <c r="J31" s="362"/>
      <c r="K31" s="359"/>
    </row>
    <row r="32" spans="1:11" s="360" customFormat="1">
      <c r="A32" s="145" t="s">
        <v>137</v>
      </c>
      <c r="B32" s="361">
        <f>'Sources and Uses Budget'!C32</f>
        <v>679222</v>
      </c>
      <c r="C32" s="362"/>
      <c r="D32" s="362"/>
      <c r="E32" s="361">
        <f>'Sources and Uses Budget'!S32</f>
        <v>679222</v>
      </c>
      <c r="F32" s="362"/>
      <c r="G32" s="362"/>
      <c r="H32" s="361">
        <f>'Sources and Uses Budget'!T32</f>
        <v>0</v>
      </c>
      <c r="I32" s="362"/>
      <c r="J32" s="362"/>
      <c r="K32" s="359"/>
    </row>
    <row r="33" spans="1:11" s="360" customFormat="1">
      <c r="A33" s="145" t="s">
        <v>138</v>
      </c>
      <c r="B33" s="361">
        <f>'Sources and Uses Budget'!C33</f>
        <v>1600402</v>
      </c>
      <c r="C33" s="362"/>
      <c r="D33" s="362"/>
      <c r="E33" s="361">
        <f>'Sources and Uses Budget'!S33</f>
        <v>1600402</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185824</v>
      </c>
      <c r="C35" s="362"/>
      <c r="D35" s="362"/>
      <c r="E35" s="361">
        <f>'Sources and Uses Budget'!S35</f>
        <v>185824</v>
      </c>
      <c r="F35" s="362"/>
      <c r="G35" s="362"/>
      <c r="H35" s="361">
        <f>'Sources and Uses Budget'!T35</f>
        <v>0</v>
      </c>
      <c r="I35" s="362"/>
      <c r="J35" s="362"/>
      <c r="K35" s="359"/>
    </row>
    <row r="36" spans="1:11" s="360" customFormat="1">
      <c r="A36" s="508" t="s">
        <v>1640</v>
      </c>
      <c r="B36" s="361">
        <f>'Sources and Uses Budget'!C36</f>
        <v>200000</v>
      </c>
      <c r="C36" s="362"/>
      <c r="D36" s="362"/>
      <c r="E36" s="361">
        <f>'Sources and Uses Budget'!S36</f>
        <v>200000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38664235</v>
      </c>
      <c r="C38" s="361">
        <f>SUM(C29:C37)</f>
        <v>0</v>
      </c>
      <c r="D38" s="361">
        <f>SUM(D29:D37)</f>
        <v>0</v>
      </c>
      <c r="E38" s="361">
        <f>'Sources and Uses Budget'!S38</f>
        <v>38664235</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1210927</v>
      </c>
      <c r="C40" s="362"/>
      <c r="D40" s="362"/>
      <c r="E40" s="361">
        <f>'Sources and Uses Budget'!S40</f>
        <v>1210927</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1210927</v>
      </c>
      <c r="C42" s="361">
        <f>SUM(C39:C41)</f>
        <v>0</v>
      </c>
      <c r="D42" s="361">
        <f>SUM(D39:D41)</f>
        <v>0</v>
      </c>
      <c r="E42" s="361">
        <f>'Sources and Uses Budget'!S42</f>
        <v>1210927</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1515010</v>
      </c>
      <c r="C43" s="362"/>
      <c r="D43" s="362"/>
      <c r="E43" s="361">
        <f>'Sources and Uses Budget'!S43</f>
        <v>1515010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5280000</v>
      </c>
      <c r="C45" s="362"/>
      <c r="D45" s="362"/>
      <c r="E45" s="361">
        <f>'Sources and Uses Budget'!S45</f>
        <v>3228270</v>
      </c>
      <c r="F45" s="362"/>
      <c r="G45" s="362"/>
      <c r="H45" s="361">
        <f>'Sources and Uses Budget'!T45</f>
        <v>0</v>
      </c>
      <c r="I45" s="362"/>
      <c r="J45" s="362"/>
      <c r="K45" s="359"/>
    </row>
    <row r="46" spans="1:11" s="360" customFormat="1">
      <c r="A46" s="364" t="s">
        <v>151</v>
      </c>
      <c r="B46" s="361">
        <f>'Sources and Uses Budget'!C46</f>
        <v>533000</v>
      </c>
      <c r="C46" s="362"/>
      <c r="D46" s="362"/>
      <c r="E46" s="361">
        <f>'Sources and Uses Budget'!S46</f>
        <v>533000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298806</v>
      </c>
      <c r="C48" s="362"/>
      <c r="D48" s="362"/>
      <c r="E48" s="361">
        <f>'Sources and Uses Budget'!S48</f>
        <v>298806</v>
      </c>
      <c r="F48" s="362"/>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45000</v>
      </c>
      <c r="C50" s="362"/>
      <c r="D50" s="362"/>
      <c r="E50" s="361">
        <f>'Sources and Uses Budget'!S50</f>
        <v>45000</v>
      </c>
      <c r="F50" s="362"/>
      <c r="G50" s="362"/>
      <c r="H50" s="361">
        <f>'Sources and Uses Budget'!T50</f>
        <v>0</v>
      </c>
      <c r="I50" s="362"/>
      <c r="J50" s="362"/>
      <c r="K50" s="359"/>
    </row>
    <row r="51" spans="1:11" s="360" customFormat="1">
      <c r="A51" s="364" t="s">
        <v>154</v>
      </c>
      <c r="B51" s="361">
        <f>'Sources and Uses Budget'!C51</f>
        <v>50000</v>
      </c>
      <c r="C51" s="362"/>
      <c r="D51" s="362"/>
      <c r="E51" s="361">
        <f>'Sources and Uses Budget'!S51</f>
        <v>30000</v>
      </c>
      <c r="F51" s="362"/>
      <c r="G51" s="362"/>
      <c r="H51" s="361">
        <f>'Sources and Uses Budget'!T51</f>
        <v>0</v>
      </c>
      <c r="I51" s="362"/>
      <c r="J51" s="362"/>
      <c r="K51" s="359"/>
    </row>
    <row r="52" spans="1:11" s="360" customFormat="1">
      <c r="A52" s="364" t="s">
        <v>155</v>
      </c>
      <c r="B52" s="361">
        <f>'Sources and Uses Budget'!C52</f>
        <v>767969</v>
      </c>
      <c r="C52" s="362"/>
      <c r="D52" s="362"/>
      <c r="E52" s="361">
        <f>'Sources and Uses Budget'!S52</f>
        <v>767969</v>
      </c>
      <c r="F52" s="362"/>
      <c r="G52" s="362"/>
      <c r="H52" s="361">
        <f>'Sources and Uses Budget'!T52</f>
        <v>0</v>
      </c>
      <c r="I52" s="362"/>
      <c r="J52" s="362"/>
      <c r="K52" s="359"/>
    </row>
    <row r="53" spans="1:11" s="360" customFormat="1" ht="24">
      <c r="A53" s="364" t="str">
        <f>'Sources and Uses Budget'!$A53</f>
        <v>Other: Lender Inspection and Construction Legal</v>
      </c>
      <c r="B53" s="361">
        <f>'Sources and Uses Budget'!C53</f>
        <v>78000</v>
      </c>
      <c r="C53" s="362"/>
      <c r="D53" s="362"/>
      <c r="E53" s="361">
        <f>'Sources and Uses Budget'!S53</f>
        <v>78000</v>
      </c>
      <c r="F53" s="362"/>
      <c r="G53" s="362"/>
      <c r="H53" s="361">
        <f>'Sources and Uses Budget'!T53</f>
        <v>0</v>
      </c>
      <c r="I53" s="362"/>
      <c r="J53" s="362"/>
      <c r="K53" s="359"/>
    </row>
    <row r="54" spans="1:11" s="369" customFormat="1">
      <c r="A54" s="365" t="s">
        <v>157</v>
      </c>
      <c r="B54" s="361">
        <f>'Sources and Uses Budget'!C54</f>
        <v>7052775</v>
      </c>
      <c r="C54" s="367">
        <f>SUM(C45:C53)</f>
        <v>0</v>
      </c>
      <c r="D54" s="367">
        <f>SUM(D45:D53)</f>
        <v>0</v>
      </c>
      <c r="E54" s="361">
        <f>'Sources and Uses Budget'!S54</f>
        <v>4981045</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437010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80000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Issuance Fees</v>
      </c>
      <c r="B61" s="361">
        <f>'Sources and Uses Budget'!C61</f>
        <v>37500</v>
      </c>
      <c r="C61" s="362"/>
      <c r="D61" s="362"/>
      <c r="E61" s="363"/>
      <c r="F61" s="363"/>
      <c r="G61" s="363"/>
      <c r="H61" s="363"/>
      <c r="I61" s="363"/>
      <c r="J61" s="363"/>
      <c r="K61" s="359"/>
    </row>
    <row r="62" spans="1:11" s="360" customFormat="1" ht="13.7" customHeight="1">
      <c r="A62" s="365" t="s">
        <v>300</v>
      </c>
      <c r="B62" s="361">
        <f>'Sources and Uses Budget'!C62</f>
        <v>554510</v>
      </c>
      <c r="C62" s="361">
        <f>SUM(C56:C61)</f>
        <v>0</v>
      </c>
      <c r="D62" s="361">
        <f>SUM(D56:D61)</f>
        <v>0</v>
      </c>
      <c r="E62" s="363"/>
      <c r="F62" s="363"/>
      <c r="G62" s="363"/>
      <c r="H62" s="363"/>
      <c r="I62" s="363"/>
      <c r="J62" s="363"/>
      <c r="K62" s="359"/>
    </row>
    <row r="63" spans="1:11" s="360" customFormat="1">
      <c r="A63" s="370" t="s">
        <v>301</v>
      </c>
      <c r="B63" s="361">
        <f>'Sources and Uses Budget'!C63</f>
        <v>57847457</v>
      </c>
      <c r="C63" s="361">
        <f>SUM(C8+C11+C13+C14+C15+C26+C27+C38+C42+C43+C54+C62)</f>
        <v>0</v>
      </c>
      <c r="D63" s="361">
        <f>SUM(D8+D11+D13+D14+D15+D26+D27+D38+D42+D43+D54+D62)</f>
        <v>0</v>
      </c>
      <c r="E63" s="361">
        <f>'Sources and Uses Budget'!S63</f>
        <v>46371217</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115000</v>
      </c>
      <c r="C65" s="362"/>
      <c r="D65" s="362"/>
      <c r="E65" s="361">
        <f>'Sources and Uses Budget'!S65</f>
        <v>75000</v>
      </c>
      <c r="F65" s="362"/>
      <c r="G65" s="362"/>
      <c r="H65" s="361">
        <f>'Sources and Uses Budget'!T65</f>
        <v>0</v>
      </c>
      <c r="I65" s="362"/>
      <c r="J65" s="362"/>
      <c r="K65" s="359"/>
    </row>
    <row r="66" spans="1:11" s="360" customFormat="1" ht="24">
      <c r="A66" s="283" t="s">
        <v>1641</v>
      </c>
      <c r="B66" s="361">
        <f>'Sources and Uses Budget'!C66</f>
        <v>494301</v>
      </c>
      <c r="C66" s="362"/>
      <c r="D66" s="362"/>
      <c r="E66" s="361">
        <f>'Sources and Uses Budget'!S66</f>
        <v>494301</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(Perm Loan Legal)</v>
      </c>
      <c r="B69" s="361">
        <f>'Sources and Uses Budget'!C69</f>
        <v>267853</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877154</v>
      </c>
      <c r="C70" s="361">
        <f>SUM(C64:C69)</f>
        <v>0</v>
      </c>
      <c r="D70" s="361">
        <f>SUM(D64:D69)</f>
        <v>0</v>
      </c>
      <c r="E70" s="361">
        <f>'Sources and Uses Budget'!S70</f>
        <v>569301</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31250</v>
      </c>
      <c r="C74" s="362"/>
      <c r="D74" s="362"/>
      <c r="E74" s="363"/>
      <c r="F74" s="363"/>
      <c r="G74" s="363"/>
      <c r="H74" s="363"/>
      <c r="I74" s="363"/>
      <c r="J74" s="363"/>
      <c r="K74" s="359"/>
    </row>
    <row r="75" spans="1:11" s="360" customFormat="1">
      <c r="A75" s="364" t="s">
        <v>605</v>
      </c>
      <c r="B75" s="361">
        <f>'Sources and Uses Budget'!C75</f>
        <v>1552026</v>
      </c>
      <c r="C75" s="362"/>
      <c r="D75" s="362"/>
      <c r="E75" s="363"/>
      <c r="F75" s="363"/>
      <c r="G75" s="363"/>
      <c r="H75" s="363"/>
      <c r="I75" s="363"/>
      <c r="J75" s="363"/>
      <c r="K75" s="359"/>
    </row>
    <row r="76" spans="1:11" s="360" customFormat="1">
      <c r="A76" s="364" t="str">
        <f>'Sources and Uses Budget'!$A76</f>
        <v>Other: Lease-Up Reserve</v>
      </c>
      <c r="B76" s="361">
        <f>'Sources and Uses Budget'!C76</f>
        <v>100000</v>
      </c>
      <c r="C76" s="362"/>
      <c r="D76" s="362"/>
      <c r="E76" s="363"/>
      <c r="F76" s="363"/>
      <c r="G76" s="363"/>
      <c r="H76" s="363"/>
      <c r="I76" s="363"/>
      <c r="J76" s="363"/>
      <c r="K76" s="359"/>
    </row>
    <row r="77" spans="1:11" s="360" customFormat="1">
      <c r="A77" s="365" t="s">
        <v>606</v>
      </c>
      <c r="B77" s="361">
        <f>'Sources and Uses Budget'!C77</f>
        <v>1683276</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1936361</v>
      </c>
      <c r="C79" s="362"/>
      <c r="D79" s="362"/>
      <c r="E79" s="361">
        <f>'Sources and Uses Budget'!S79</f>
        <v>1936361</v>
      </c>
      <c r="F79" s="362"/>
      <c r="G79" s="362"/>
      <c r="H79" s="361">
        <f>'Sources and Uses Budget'!T79</f>
        <v>0</v>
      </c>
      <c r="I79" s="362"/>
      <c r="J79" s="362"/>
      <c r="K79" s="359"/>
    </row>
    <row r="80" spans="1:11" s="360" customFormat="1">
      <c r="A80" s="364" t="s">
        <v>58</v>
      </c>
      <c r="B80" s="361">
        <f>'Sources and Uses Budget'!C80</f>
        <v>290000</v>
      </c>
      <c r="C80" s="362"/>
      <c r="D80" s="362"/>
      <c r="E80" s="361">
        <f>'Sources and Uses Budget'!S80</f>
        <v>290000</v>
      </c>
      <c r="F80" s="362"/>
      <c r="G80" s="362"/>
      <c r="H80" s="361">
        <f>'Sources and Uses Budget'!T80</f>
        <v>0</v>
      </c>
      <c r="I80" s="362"/>
      <c r="J80" s="362"/>
      <c r="K80" s="359"/>
    </row>
    <row r="81" spans="1:11" s="360" customFormat="1">
      <c r="A81" s="365" t="s">
        <v>1209</v>
      </c>
      <c r="B81" s="361">
        <f>'Sources and Uses Budget'!C81</f>
        <v>2226361</v>
      </c>
      <c r="C81" s="361">
        <f>SUM(C79:C80)</f>
        <v>0</v>
      </c>
      <c r="D81" s="361">
        <f>SUM(D79:D80)</f>
        <v>0</v>
      </c>
      <c r="E81" s="361">
        <f>'Sources and Uses Budget'!S81</f>
        <v>2226361</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158753</v>
      </c>
      <c r="C83" s="362"/>
      <c r="D83" s="362"/>
      <c r="E83" s="363"/>
      <c r="F83" s="363"/>
      <c r="G83" s="363"/>
      <c r="H83" s="363"/>
      <c r="I83" s="363"/>
      <c r="J83" s="363"/>
      <c r="K83" s="359"/>
    </row>
    <row r="84" spans="1:11" s="360" customFormat="1">
      <c r="A84" s="145" t="s">
        <v>767</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768</v>
      </c>
      <c r="B85" s="361">
        <f>'Sources and Uses Budget'!C85</f>
        <v>2109915</v>
      </c>
      <c r="C85" s="362"/>
      <c r="D85" s="362"/>
      <c r="E85" s="361">
        <f>'Sources and Uses Budget'!S85</f>
        <v>2109915</v>
      </c>
      <c r="F85" s="362"/>
      <c r="G85" s="362"/>
      <c r="H85" s="361">
        <f>'Sources and Uses Budget'!T85</f>
        <v>0</v>
      </c>
      <c r="I85" s="362"/>
      <c r="J85" s="362"/>
      <c r="K85" s="359"/>
    </row>
    <row r="86" spans="1:11" s="360" customFormat="1">
      <c r="A86" s="145" t="s">
        <v>769</v>
      </c>
      <c r="B86" s="361">
        <f>'Sources and Uses Budget'!C86</f>
        <v>25000</v>
      </c>
      <c r="C86" s="362"/>
      <c r="D86" s="362"/>
      <c r="E86" s="361">
        <f>'Sources and Uses Budget'!S86</f>
        <v>25000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0</v>
      </c>
      <c r="C88" s="362"/>
      <c r="D88" s="362"/>
      <c r="E88" s="363"/>
      <c r="F88" s="363"/>
      <c r="G88" s="363"/>
      <c r="H88" s="363"/>
      <c r="I88" s="363"/>
      <c r="J88" s="363"/>
      <c r="K88" s="359"/>
    </row>
    <row r="89" spans="1:11" s="360" customFormat="1">
      <c r="A89" s="145" t="s">
        <v>772</v>
      </c>
      <c r="B89" s="361">
        <f>'Sources and Uses Budget'!C89</f>
        <v>300000</v>
      </c>
      <c r="C89" s="362"/>
      <c r="D89" s="362"/>
      <c r="E89" s="361">
        <f>'Sources and Uses Budget'!S89</f>
        <v>300000</v>
      </c>
      <c r="F89" s="362"/>
      <c r="G89" s="362"/>
      <c r="H89" s="361">
        <f>'Sources and Uses Budget'!T89</f>
        <v>0</v>
      </c>
      <c r="I89" s="362"/>
      <c r="J89" s="362"/>
      <c r="K89" s="359"/>
    </row>
    <row r="90" spans="1:11" s="360" customFormat="1">
      <c r="A90" s="145" t="s">
        <v>773</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40000</v>
      </c>
      <c r="C91" s="362"/>
      <c r="D91" s="362"/>
      <c r="E91" s="361">
        <f>'Sources and Uses Budget'!S91</f>
        <v>40000</v>
      </c>
      <c r="F91" s="362"/>
      <c r="G91" s="362"/>
      <c r="H91" s="361">
        <f>'Sources and Uses Budget'!T91</f>
        <v>0</v>
      </c>
      <c r="I91" s="362"/>
      <c r="J91" s="362"/>
      <c r="K91" s="359"/>
    </row>
    <row r="92" spans="1:11" s="360" customFormat="1">
      <c r="A92" s="508" t="s">
        <v>1211</v>
      </c>
      <c r="B92" s="361">
        <f>'Sources and Uses Budget'!C92</f>
        <v>20000</v>
      </c>
      <c r="C92" s="362"/>
      <c r="D92" s="362"/>
      <c r="E92" s="361">
        <f>'Sources and Uses Budget'!S92</f>
        <v>20000</v>
      </c>
      <c r="F92" s="362"/>
      <c r="G92" s="362"/>
      <c r="H92" s="361">
        <f>'Sources and Uses Budget'!T92</f>
        <v>0</v>
      </c>
      <c r="I92" s="362"/>
      <c r="J92" s="362"/>
      <c r="K92" s="359"/>
    </row>
    <row r="93" spans="1:11" s="360" customFormat="1">
      <c r="A93" s="364" t="str">
        <f>'Sources and Uses Budget'!$A93</f>
        <v>Other: Partnership Legal</v>
      </c>
      <c r="B93" s="361">
        <f>'Sources and Uses Budget'!C93</f>
        <v>55000</v>
      </c>
      <c r="C93" s="362"/>
      <c r="D93" s="362"/>
      <c r="E93" s="361">
        <f>'Sources and Uses Budget'!S93</f>
        <v>0</v>
      </c>
      <c r="F93" s="362"/>
      <c r="G93" s="362"/>
      <c r="H93" s="361">
        <f>'Sources and Uses Budget'!T93</f>
        <v>0</v>
      </c>
      <c r="I93" s="362"/>
      <c r="J93" s="362"/>
      <c r="K93" s="359"/>
    </row>
    <row r="94" spans="1:11" s="360" customFormat="1">
      <c r="A94" s="364" t="str">
        <f>'Sources and Uses Budget'!$A94</f>
        <v>Other: Bond Transaction Costs</v>
      </c>
      <c r="B94" s="361">
        <f>'Sources and Uses Budget'!C94</f>
        <v>600000</v>
      </c>
      <c r="C94" s="362"/>
      <c r="D94" s="362"/>
      <c r="E94" s="361">
        <f>'Sources and Uses Budget'!S94</f>
        <v>600000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3308668</v>
      </c>
      <c r="C96" s="361">
        <f>SUM(C83:C95)</f>
        <v>0</v>
      </c>
      <c r="D96" s="361">
        <f>SUM(D83:D95)</f>
        <v>0</v>
      </c>
      <c r="E96" s="361">
        <f>'Sources and Uses Budget'!S96</f>
        <v>3094915</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65942916</v>
      </c>
      <c r="C97" s="361">
        <f>SUM(C63+C70+C77+C81+C96)</f>
        <v>0</v>
      </c>
      <c r="D97" s="361">
        <f>SUM(D63+D70+D77+D81+D96)</f>
        <v>0</v>
      </c>
      <c r="E97" s="361">
        <f>'Sources and Uses Budget'!S97</f>
        <v>52261794</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7839268</v>
      </c>
      <c r="C99" s="362"/>
      <c r="D99" s="362"/>
      <c r="E99" s="361">
        <f>'Sources and Uses Budget'!S99</f>
        <v>7839268</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7839268</v>
      </c>
      <c r="C104" s="361">
        <f>SUM(C99:C103)</f>
        <v>0</v>
      </c>
      <c r="D104" s="361">
        <f>SUM(D99:D103)</f>
        <v>0</v>
      </c>
      <c r="E104" s="361">
        <f>'Sources and Uses Budget'!S104</f>
        <v>7839268</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73782184</v>
      </c>
      <c r="C105" s="367">
        <f>SUM(C97+C104)</f>
        <v>0</v>
      </c>
      <c r="D105" s="367">
        <f>SUM(D97+D104)</f>
        <v>0</v>
      </c>
      <c r="E105" s="361">
        <f>'Sources and Uses Budget'!S105</f>
        <v>60101062</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60101062</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3"/>
      <c r="E124" s="1316"/>
      <c r="F124" s="1316"/>
      <c r="G124" s="1316"/>
      <c r="H124" s="1316"/>
      <c r="I124" s="1316"/>
      <c r="J124" s="376"/>
      <c r="K124" s="359"/>
    </row>
    <row r="125" spans="1:11" s="360" customFormat="1" ht="12.75">
      <c r="A125" s="385"/>
      <c r="B125" s="384"/>
      <c r="C125" s="385"/>
      <c r="D125" s="1316"/>
      <c r="E125" s="1316"/>
      <c r="F125" s="1316"/>
      <c r="G125" s="1316"/>
      <c r="H125" s="1316"/>
      <c r="I125" s="1316"/>
      <c r="J125" s="376"/>
      <c r="K125" s="359"/>
    </row>
    <row r="126" spans="1:11" s="360" customFormat="1" ht="12.75">
      <c r="A126" s="385"/>
      <c r="B126" s="384"/>
      <c r="C126" s="385"/>
      <c r="D126" s="1316"/>
      <c r="E126" s="1316"/>
      <c r="F126" s="1316"/>
      <c r="G126" s="1316"/>
      <c r="H126" s="1316"/>
      <c r="I126" s="1316"/>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6"/>
      <c r="C139" s="1316"/>
      <c r="D139" s="356"/>
      <c r="E139" s="385"/>
      <c r="F139" s="385"/>
      <c r="G139" s="385"/>
    </row>
    <row r="140" spans="1:11" ht="12" customHeight="1">
      <c r="A140" s="1303"/>
      <c r="B140" s="1303"/>
      <c r="C140" s="130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dimension ref="A1:CP256"/>
  <sheetViews>
    <sheetView showGridLines="0" view="pageBreakPreview" topLeftCell="A5" zoomScale="60" zoomScaleNormal="100" workbookViewId="0">
      <selection activeCell="BQ25" sqref="BQ25"/>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5" t="s">
        <v>2455</v>
      </c>
      <c r="B1" s="2326"/>
      <c r="C1" s="2326"/>
      <c r="D1" s="2326"/>
      <c r="E1" s="2326"/>
      <c r="F1" s="2326"/>
      <c r="G1" s="2326"/>
      <c r="H1" s="2326"/>
      <c r="I1" s="2326"/>
      <c r="J1" s="2326"/>
      <c r="K1" s="2326"/>
      <c r="L1" s="2326"/>
      <c r="M1" s="2326"/>
      <c r="N1" s="2326"/>
      <c r="O1" s="2326"/>
      <c r="P1" s="2326"/>
      <c r="Q1" s="2326"/>
      <c r="R1" s="2326"/>
      <c r="S1" s="2326"/>
      <c r="T1" s="2326"/>
      <c r="U1" s="2326"/>
      <c r="V1" s="2326"/>
      <c r="W1" s="2326"/>
      <c r="X1" s="2326"/>
      <c r="Y1" s="2326"/>
      <c r="Z1" s="2326"/>
      <c r="AA1" s="2326"/>
      <c r="AB1" s="2326"/>
      <c r="AC1" s="2326"/>
      <c r="AD1" s="2326"/>
      <c r="AE1" s="2326"/>
      <c r="AF1" s="2326"/>
      <c r="AG1" s="2326"/>
      <c r="AH1" s="2326"/>
      <c r="AI1" s="2326"/>
      <c r="AJ1" s="2326"/>
      <c r="AK1" s="2326"/>
      <c r="AL1" s="2326"/>
      <c r="AM1" s="2326"/>
      <c r="AN1" s="2326"/>
      <c r="AO1" s="2326"/>
      <c r="AP1" s="2326"/>
      <c r="AQ1" s="2326"/>
      <c r="AR1" s="2326"/>
      <c r="AS1" s="2326"/>
      <c r="AT1" s="2326"/>
      <c r="AU1" s="2326"/>
      <c r="AV1" s="2326"/>
      <c r="AW1" s="2326"/>
      <c r="AX1" s="2326"/>
      <c r="AY1" s="2326"/>
      <c r="AZ1" s="2326"/>
      <c r="BA1" s="2326"/>
      <c r="BB1" s="2326"/>
      <c r="BC1" s="2326"/>
      <c r="BD1" s="2326"/>
      <c r="BE1" s="2327"/>
    </row>
    <row r="2" spans="1:65" ht="15.75" customHeight="1">
      <c r="A2" s="2328" t="s">
        <v>2454</v>
      </c>
      <c r="B2" s="2329"/>
      <c r="C2" s="2329"/>
      <c r="D2" s="2329"/>
      <c r="E2" s="2329"/>
      <c r="F2" s="2329"/>
      <c r="G2" s="2329"/>
      <c r="H2" s="2329"/>
      <c r="I2" s="2329"/>
      <c r="J2" s="2329"/>
      <c r="K2" s="2329"/>
      <c r="L2" s="2329"/>
      <c r="M2" s="2329"/>
      <c r="N2" s="2329"/>
      <c r="O2" s="2329"/>
      <c r="P2" s="2329"/>
      <c r="Q2" s="2329"/>
      <c r="R2" s="2329"/>
      <c r="S2" s="2329"/>
      <c r="T2" s="2329"/>
      <c r="U2" s="2329"/>
      <c r="V2" s="2329"/>
      <c r="W2" s="2329"/>
      <c r="X2" s="2329"/>
      <c r="Y2" s="2329"/>
      <c r="Z2" s="2329"/>
      <c r="AA2" s="2329"/>
      <c r="AB2" s="2329"/>
      <c r="AC2" s="2329"/>
      <c r="AD2" s="2329"/>
      <c r="AE2" s="2329"/>
      <c r="AF2" s="2329"/>
      <c r="AG2" s="2329"/>
      <c r="AH2" s="2329"/>
      <c r="AI2" s="2329"/>
      <c r="AJ2" s="2329"/>
      <c r="AK2" s="2329"/>
      <c r="AL2" s="2329"/>
      <c r="AM2" s="2329"/>
      <c r="AN2" s="2329"/>
      <c r="AO2" s="2329"/>
      <c r="AP2" s="2329"/>
      <c r="AQ2" s="2329"/>
      <c r="AR2" s="2329"/>
      <c r="AS2" s="2329"/>
      <c r="AT2" s="2329"/>
      <c r="AU2" s="2329"/>
      <c r="AV2" s="2329"/>
      <c r="AW2" s="2329"/>
      <c r="AX2" s="2329"/>
      <c r="AY2" s="2329"/>
      <c r="AZ2" s="2329"/>
      <c r="BA2" s="2329"/>
      <c r="BB2" s="2329"/>
      <c r="BC2" s="2329"/>
      <c r="BD2" s="2329"/>
      <c r="BE2" s="2330"/>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7" t="str">
        <f>IF(Application!H18="","",Application!H18)</f>
        <v>Marinwood Plaza</v>
      </c>
      <c r="M4" s="2318"/>
      <c r="N4" s="2318"/>
      <c r="O4" s="2318"/>
      <c r="P4" s="2318"/>
      <c r="Q4" s="2318"/>
      <c r="R4" s="2318"/>
      <c r="S4" s="2318"/>
      <c r="T4" s="2318"/>
      <c r="U4" s="2318"/>
      <c r="V4" s="2318"/>
      <c r="W4" s="2318"/>
      <c r="X4" s="2318"/>
      <c r="Y4" s="2318"/>
      <c r="Z4" s="2318"/>
      <c r="AA4" s="2318"/>
      <c r="AB4" s="2318"/>
      <c r="AC4" s="2319"/>
      <c r="AD4" s="1190"/>
      <c r="AE4" s="1190"/>
      <c r="AF4" s="2313" t="s">
        <v>2453</v>
      </c>
      <c r="AG4" s="2313"/>
      <c r="AH4" s="2313"/>
      <c r="AI4" s="2313"/>
      <c r="AJ4" s="2313"/>
      <c r="AK4" s="2313"/>
      <c r="AL4" s="2313"/>
      <c r="AM4" s="2313"/>
      <c r="AN4" s="2313"/>
      <c r="AO4" s="2313"/>
      <c r="AP4" s="2314">
        <v>45811</v>
      </c>
      <c r="AQ4" s="2315"/>
      <c r="AR4" s="2315"/>
      <c r="AS4" s="2315"/>
      <c r="AT4" s="2315"/>
      <c r="AU4" s="2315"/>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3" t="s">
        <v>2452</v>
      </c>
      <c r="AG5" s="2313"/>
      <c r="AH5" s="2313"/>
      <c r="AI5" s="2313"/>
      <c r="AJ5" s="2313"/>
      <c r="AK5" s="2313"/>
      <c r="AL5" s="2313"/>
      <c r="AM5" s="2313"/>
      <c r="AN5" s="2313"/>
      <c r="AO5" s="2313"/>
      <c r="AP5" s="2314">
        <v>45823</v>
      </c>
      <c r="AQ5" s="2315"/>
      <c r="AR5" s="2315"/>
      <c r="AS5" s="2315"/>
      <c r="AT5" s="2315"/>
      <c r="AU5" s="2315"/>
      <c r="AV5" s="1190"/>
      <c r="AW5" s="1190"/>
      <c r="AX5" s="1190"/>
      <c r="AY5" s="1190"/>
      <c r="AZ5" s="1190"/>
      <c r="BA5" s="1190"/>
      <c r="BB5" s="1190"/>
      <c r="BC5" s="1190"/>
      <c r="BD5" s="1190"/>
      <c r="BE5" s="1191"/>
    </row>
    <row r="6" spans="1:65" ht="15.75" customHeight="1" thickBot="1">
      <c r="A6" s="1189"/>
      <c r="B6" s="1192" t="s">
        <v>2451</v>
      </c>
      <c r="C6" s="1190"/>
      <c r="D6" s="1190"/>
      <c r="E6" s="1190"/>
      <c r="F6" s="1190"/>
      <c r="G6" s="1190"/>
      <c r="H6" s="1190"/>
      <c r="I6" s="1190"/>
      <c r="J6" s="1190"/>
      <c r="K6" s="1190"/>
      <c r="L6" s="2317" t="str">
        <f>IF(Application!H16="","",Application!H16)</f>
        <v>Marinwood Propco, L.P.</v>
      </c>
      <c r="M6" s="2318"/>
      <c r="N6" s="2318"/>
      <c r="O6" s="2318"/>
      <c r="P6" s="2318"/>
      <c r="Q6" s="2318"/>
      <c r="R6" s="2318"/>
      <c r="S6" s="2318"/>
      <c r="T6" s="2318"/>
      <c r="U6" s="2318"/>
      <c r="V6" s="2318"/>
      <c r="W6" s="2318"/>
      <c r="X6" s="2318"/>
      <c r="Y6" s="2318"/>
      <c r="Z6" s="2318"/>
      <c r="AA6" s="2318"/>
      <c r="AB6" s="2318"/>
      <c r="AC6" s="2319"/>
      <c r="AD6" s="1190"/>
      <c r="AE6" s="1190"/>
      <c r="AF6" s="2320" t="s">
        <v>2450</v>
      </c>
      <c r="AG6" s="2320"/>
      <c r="AH6" s="2320"/>
      <c r="AI6" s="2320"/>
      <c r="AJ6" s="2320"/>
      <c r="AK6" s="2320"/>
      <c r="AL6" s="2320"/>
      <c r="AM6" s="2320"/>
      <c r="AN6" s="2320"/>
      <c r="AO6" s="2320"/>
      <c r="AP6" s="2321">
        <v>3</v>
      </c>
      <c r="AQ6" s="2321"/>
      <c r="AR6" s="2321"/>
      <c r="AS6" s="2321"/>
      <c r="AT6" s="2321"/>
      <c r="AU6" s="2321"/>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0" t="s">
        <v>2449</v>
      </c>
      <c r="AG7" s="2320"/>
      <c r="AH7" s="2320"/>
      <c r="AI7" s="2320"/>
      <c r="AJ7" s="2320"/>
      <c r="AK7" s="2320"/>
      <c r="AL7" s="2320"/>
      <c r="AM7" s="2320"/>
      <c r="AN7" s="2320"/>
      <c r="AO7" s="2320"/>
      <c r="AP7" s="2321">
        <v>0</v>
      </c>
      <c r="AQ7" s="2321"/>
      <c r="AR7" s="2321"/>
      <c r="AS7" s="2321"/>
      <c r="AT7" s="2321"/>
      <c r="AU7" s="2321"/>
      <c r="AV7" s="1190"/>
      <c r="AW7" s="1190"/>
      <c r="AX7" s="1190"/>
      <c r="AY7" s="1190"/>
      <c r="AZ7" s="1190"/>
      <c r="BA7" s="1190"/>
      <c r="BB7" s="1190"/>
      <c r="BC7" s="1190"/>
      <c r="BD7" s="1190"/>
      <c r="BE7" s="1191"/>
    </row>
    <row r="8" spans="1:65" thickBot="1">
      <c r="A8" s="1189"/>
      <c r="B8" s="1192" t="s">
        <v>2448</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2" t="str">
        <f>Application!T197</f>
        <v>No</v>
      </c>
      <c r="AC8" s="2323"/>
      <c r="AD8" s="2324"/>
      <c r="AE8" s="1190"/>
      <c r="AF8" s="2320" t="s">
        <v>2447</v>
      </c>
      <c r="AG8" s="2320"/>
      <c r="AH8" s="2320"/>
      <c r="AI8" s="2320"/>
      <c r="AJ8" s="2320"/>
      <c r="AK8" s="2320"/>
      <c r="AL8" s="2320"/>
      <c r="AM8" s="2320"/>
      <c r="AN8" s="2320"/>
      <c r="AO8" s="2320"/>
      <c r="AP8" s="2321" t="s">
        <v>2099</v>
      </c>
      <c r="AQ8" s="2321"/>
      <c r="AR8" s="2321"/>
      <c r="AS8" s="2321"/>
      <c r="AT8" s="2321"/>
      <c r="AU8" s="2321"/>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3" t="s">
        <v>2446</v>
      </c>
      <c r="AG9" s="2313"/>
      <c r="AH9" s="2313"/>
      <c r="AI9" s="2313"/>
      <c r="AJ9" s="2313"/>
      <c r="AK9" s="2313"/>
      <c r="AL9" s="2313"/>
      <c r="AM9" s="2313"/>
      <c r="AN9" s="2313"/>
      <c r="AO9" s="2313"/>
      <c r="AP9" s="2314">
        <v>46600</v>
      </c>
      <c r="AQ9" s="2315"/>
      <c r="AR9" s="2315"/>
      <c r="AS9" s="2315"/>
      <c r="AT9" s="2315"/>
      <c r="AU9" s="2315"/>
      <c r="AV9" s="1190"/>
      <c r="AW9" s="1190"/>
      <c r="AX9" s="1190"/>
      <c r="AY9" s="1190"/>
      <c r="AZ9" s="1190"/>
      <c r="BA9" s="1190"/>
      <c r="BB9" s="1190"/>
      <c r="BC9" s="1190"/>
      <c r="BD9" s="1190"/>
      <c r="BE9" s="1191"/>
      <c r="BM9" s="1187" t="s">
        <v>2445</v>
      </c>
    </row>
    <row r="10" spans="1:65" ht="15">
      <c r="A10" s="1189"/>
      <c r="B10" s="1192" t="s">
        <v>2444</v>
      </c>
      <c r="C10" s="1192"/>
      <c r="D10" s="1192"/>
      <c r="E10" s="1192"/>
      <c r="F10" s="1192"/>
      <c r="G10" s="1192"/>
      <c r="H10" s="1192"/>
      <c r="I10" s="1192"/>
      <c r="J10" s="1192"/>
      <c r="K10" s="1192"/>
      <c r="L10" s="1192"/>
      <c r="M10" s="1190"/>
      <c r="N10" s="2316">
        <f>Application!AO627</f>
        <v>29134000</v>
      </c>
      <c r="O10" s="2316"/>
      <c r="P10" s="2316"/>
      <c r="Q10" s="2316"/>
      <c r="R10" s="2316"/>
      <c r="S10" s="2316"/>
      <c r="T10" s="2316"/>
      <c r="U10" s="1190"/>
      <c r="V10" s="1190"/>
      <c r="W10" s="1190"/>
      <c r="X10" s="1193"/>
      <c r="Y10" s="1193"/>
      <c r="Z10" s="1193"/>
      <c r="AA10" s="1193"/>
      <c r="AB10" s="1193"/>
      <c r="AC10" s="1193"/>
      <c r="AD10" s="1193"/>
      <c r="AE10" s="1193"/>
      <c r="AF10" s="2313" t="s">
        <v>2443</v>
      </c>
      <c r="AG10" s="2313"/>
      <c r="AH10" s="2313"/>
      <c r="AI10" s="2313"/>
      <c r="AJ10" s="2313"/>
      <c r="AK10" s="2313"/>
      <c r="AL10" s="2313"/>
      <c r="AM10" s="2313"/>
      <c r="AN10" s="2313"/>
      <c r="AO10" s="2313"/>
      <c r="AP10" s="2314">
        <v>46631</v>
      </c>
      <c r="AQ10" s="2315"/>
      <c r="AR10" s="2315"/>
      <c r="AS10" s="2315"/>
      <c r="AT10" s="2315"/>
      <c r="AU10" s="2315"/>
      <c r="AV10" s="1193"/>
      <c r="AW10" s="1193"/>
      <c r="AX10" s="1190"/>
      <c r="AY10" s="1190"/>
      <c r="AZ10" s="1190"/>
      <c r="BA10" s="1190"/>
      <c r="BB10" s="1190"/>
      <c r="BC10" s="1190"/>
      <c r="BD10" s="1190"/>
      <c r="BE10" s="1191"/>
      <c r="BM10" s="1187" t="s">
        <v>2442</v>
      </c>
    </row>
    <row r="11" spans="1:65" ht="15">
      <c r="A11" s="1189"/>
      <c r="B11" s="1192" t="s">
        <v>2441</v>
      </c>
      <c r="C11" s="1192"/>
      <c r="D11" s="1192"/>
      <c r="E11" s="1192"/>
      <c r="F11" s="1192"/>
      <c r="G11" s="1192"/>
      <c r="H11" s="1192"/>
      <c r="I11" s="1192"/>
      <c r="J11" s="1192"/>
      <c r="K11" s="1192"/>
      <c r="L11" s="1192"/>
      <c r="M11" s="1190"/>
      <c r="N11" s="2316">
        <f>Application!AA934</f>
        <v>4000000</v>
      </c>
      <c r="O11" s="2316"/>
      <c r="P11" s="2316"/>
      <c r="Q11" s="2316"/>
      <c r="R11" s="2316"/>
      <c r="S11" s="2316"/>
      <c r="T11" s="2316"/>
      <c r="U11" s="1190"/>
      <c r="V11" s="1190"/>
      <c r="W11" s="1190"/>
      <c r="X11" s="1193"/>
      <c r="Y11" s="1193"/>
      <c r="Z11" s="1193"/>
      <c r="AA11" s="1193"/>
      <c r="AB11" s="1193"/>
      <c r="AC11" s="1193"/>
      <c r="AD11" s="1193"/>
      <c r="AE11" s="1193"/>
      <c r="AF11" s="2313" t="s">
        <v>2440</v>
      </c>
      <c r="AG11" s="2313"/>
      <c r="AH11" s="2313"/>
      <c r="AI11" s="2313"/>
      <c r="AJ11" s="2313"/>
      <c r="AK11" s="2313"/>
      <c r="AL11" s="2313"/>
      <c r="AM11" s="2313"/>
      <c r="AN11" s="2313"/>
      <c r="AO11" s="2313"/>
      <c r="AP11" s="2314">
        <v>46722</v>
      </c>
      <c r="AQ11" s="2315"/>
      <c r="AR11" s="2315"/>
      <c r="AS11" s="2315"/>
      <c r="AT11" s="2315"/>
      <c r="AU11" s="2315"/>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2439</v>
      </c>
    </row>
    <row r="13" spans="1:65" thickBot="1">
      <c r="A13" s="1190"/>
      <c r="B13" s="2304" t="s">
        <v>2438</v>
      </c>
      <c r="C13" s="2305"/>
      <c r="D13" s="2305"/>
      <c r="E13" s="2305"/>
      <c r="F13" s="2305"/>
      <c r="G13" s="2305"/>
      <c r="H13" s="2305"/>
      <c r="I13" s="2305"/>
      <c r="J13" s="2305"/>
      <c r="K13" s="2305"/>
      <c r="L13" s="2305"/>
      <c r="M13" s="2305"/>
      <c r="N13" s="2305"/>
      <c r="O13" s="2305"/>
      <c r="P13" s="2306"/>
      <c r="Q13" s="2307" t="s">
        <v>669</v>
      </c>
      <c r="R13" s="2308"/>
      <c r="S13" s="2308"/>
      <c r="T13" s="2309"/>
      <c r="U13" s="1193"/>
      <c r="V13" s="1190"/>
      <c r="W13" s="1190"/>
      <c r="X13" s="1190"/>
      <c r="Y13" s="1190"/>
      <c r="Z13" s="1190"/>
      <c r="AA13" s="2294" t="s">
        <v>2437</v>
      </c>
      <c r="AB13" s="2294"/>
      <c r="AC13" s="2294"/>
      <c r="AD13" s="2294"/>
      <c r="AE13" s="2294"/>
      <c r="AF13" s="2294"/>
      <c r="AG13" s="2294"/>
      <c r="AH13" s="2294"/>
      <c r="AI13" s="2294"/>
      <c r="AJ13" s="2294"/>
      <c r="AK13" s="2294"/>
      <c r="AL13" s="2294"/>
      <c r="AM13" s="2294"/>
      <c r="AN13" s="2294"/>
      <c r="AO13" s="2310">
        <f>Application!W473</f>
        <v>19</v>
      </c>
      <c r="AP13" s="2311"/>
      <c r="AQ13" s="2311"/>
      <c r="AR13" s="2311"/>
      <c r="AS13" s="2311"/>
      <c r="AT13" s="1193"/>
      <c r="AU13" s="1193"/>
      <c r="AV13" s="1193"/>
      <c r="AW13" s="1193"/>
      <c r="AX13" s="1193"/>
      <c r="AY13" s="1193"/>
      <c r="AZ13" s="1193"/>
      <c r="BA13" s="1193"/>
      <c r="BB13" s="1193"/>
      <c r="BC13" s="1193"/>
      <c r="BD13" s="1193"/>
      <c r="BE13" s="1194"/>
      <c r="BM13" s="1187" t="s">
        <v>2436</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2" t="s">
        <v>2435</v>
      </c>
      <c r="AB14" s="2312"/>
      <c r="AC14" s="2312"/>
      <c r="AD14" s="2312"/>
      <c r="AE14" s="2312"/>
      <c r="AF14" s="2312"/>
      <c r="AG14" s="2312"/>
      <c r="AH14" s="2312"/>
      <c r="AI14" s="2312"/>
      <c r="AJ14" s="2312"/>
      <c r="AK14" s="2312"/>
      <c r="AL14" s="2312"/>
      <c r="AM14" s="2312"/>
      <c r="AN14" s="2312"/>
      <c r="AO14" s="2295">
        <v>45726</v>
      </c>
      <c r="AP14" s="2296"/>
      <c r="AQ14" s="2296"/>
      <c r="AR14" s="2296"/>
      <c r="AS14" s="2296"/>
      <c r="AT14" s="1193"/>
      <c r="AU14" s="1193"/>
      <c r="AV14" s="1193"/>
      <c r="AW14" s="1193"/>
      <c r="AX14" s="1193"/>
      <c r="AY14" s="1193"/>
      <c r="AZ14" s="1193"/>
      <c r="BA14" s="1193"/>
      <c r="BB14" s="1193"/>
      <c r="BC14" s="1193"/>
      <c r="BD14" s="1193"/>
      <c r="BE14" s="1194"/>
    </row>
    <row r="15" spans="1:65" thickBot="1">
      <c r="A15" s="1190"/>
      <c r="B15" s="2289" t="s">
        <v>2434</v>
      </c>
      <c r="C15" s="2290"/>
      <c r="D15" s="2290"/>
      <c r="E15" s="2290"/>
      <c r="F15" s="2290"/>
      <c r="G15" s="2290"/>
      <c r="H15" s="2290"/>
      <c r="I15" s="2290"/>
      <c r="J15" s="2290"/>
      <c r="K15" s="2290"/>
      <c r="L15" s="2290"/>
      <c r="M15" s="2290"/>
      <c r="N15" s="2290"/>
      <c r="O15" s="2290"/>
      <c r="P15" s="2290"/>
      <c r="Q15" s="2290"/>
      <c r="R15" s="2291"/>
      <c r="S15" s="2292" t="str">
        <f>IF(Application!AB214="","",Application!AB214)</f>
        <v/>
      </c>
      <c r="T15" s="2292"/>
      <c r="U15" s="2292"/>
      <c r="V15" s="2292"/>
      <c r="W15" s="2293"/>
      <c r="X15" s="1193"/>
      <c r="Y15" s="1190"/>
      <c r="Z15" s="1190"/>
      <c r="AA15" s="2294" t="s">
        <v>2433</v>
      </c>
      <c r="AB15" s="2294"/>
      <c r="AC15" s="2294"/>
      <c r="AD15" s="2294"/>
      <c r="AE15" s="2294"/>
      <c r="AF15" s="2294"/>
      <c r="AG15" s="2294"/>
      <c r="AH15" s="2294"/>
      <c r="AI15" s="2294"/>
      <c r="AJ15" s="2294"/>
      <c r="AK15" s="2294"/>
      <c r="AL15" s="2294"/>
      <c r="AM15" s="2294"/>
      <c r="AN15" s="2294"/>
      <c r="AO15" s="2295">
        <v>45797</v>
      </c>
      <c r="AP15" s="2296"/>
      <c r="AQ15" s="2296"/>
      <c r="AR15" s="2296"/>
      <c r="AS15" s="2296"/>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3" t="s">
        <v>2432</v>
      </c>
      <c r="C17" s="2104"/>
      <c r="D17" s="2104"/>
      <c r="E17" s="2104"/>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4"/>
      <c r="AK17" s="2104"/>
      <c r="AL17" s="2104"/>
      <c r="AM17" s="2104"/>
      <c r="AN17" s="2104"/>
      <c r="AO17" s="2104"/>
      <c r="AP17" s="2104"/>
      <c r="AQ17" s="2104"/>
      <c r="AR17" s="2104"/>
      <c r="AS17" s="2104"/>
      <c r="AT17" s="2104"/>
      <c r="AU17" s="2104"/>
      <c r="AV17" s="2104"/>
      <c r="AW17" s="2104"/>
      <c r="AX17" s="2104"/>
      <c r="AY17" s="2105"/>
      <c r="AZ17" s="1190"/>
      <c r="BA17" s="1190"/>
      <c r="BB17" s="1190"/>
      <c r="BC17" s="1190"/>
      <c r="BD17" s="1190"/>
      <c r="BE17" s="1194"/>
      <c r="BF17" s="1188"/>
    </row>
    <row r="18" spans="1:58" ht="15.75" customHeight="1">
      <c r="A18" s="1190"/>
      <c r="B18" s="2297" t="s">
        <v>2431</v>
      </c>
      <c r="C18" s="2298"/>
      <c r="D18" s="2298"/>
      <c r="E18" s="2298"/>
      <c r="F18" s="2298"/>
      <c r="G18" s="2298"/>
      <c r="H18" s="2298"/>
      <c r="I18" s="2299"/>
      <c r="J18" s="2300" t="s">
        <v>1586</v>
      </c>
      <c r="K18" s="2301"/>
      <c r="L18" s="2301"/>
      <c r="M18" s="2301"/>
      <c r="N18" s="2301"/>
      <c r="O18" s="2302"/>
      <c r="P18" s="2300" t="s">
        <v>323</v>
      </c>
      <c r="Q18" s="2301"/>
      <c r="R18" s="2301"/>
      <c r="S18" s="2301"/>
      <c r="T18" s="2301"/>
      <c r="U18" s="2302"/>
      <c r="V18" s="2300" t="s">
        <v>324</v>
      </c>
      <c r="W18" s="2301"/>
      <c r="X18" s="2301"/>
      <c r="Y18" s="2301"/>
      <c r="Z18" s="2301"/>
      <c r="AA18" s="2302"/>
      <c r="AB18" s="2300" t="s">
        <v>163</v>
      </c>
      <c r="AC18" s="2301"/>
      <c r="AD18" s="2301"/>
      <c r="AE18" s="2301"/>
      <c r="AF18" s="2301"/>
      <c r="AG18" s="2302"/>
      <c r="AH18" s="2300" t="s">
        <v>164</v>
      </c>
      <c r="AI18" s="2301"/>
      <c r="AJ18" s="2301"/>
      <c r="AK18" s="2301"/>
      <c r="AL18" s="2301"/>
      <c r="AM18" s="2302"/>
      <c r="AN18" s="2300" t="s">
        <v>165</v>
      </c>
      <c r="AO18" s="2301"/>
      <c r="AP18" s="2301"/>
      <c r="AQ18" s="2301"/>
      <c r="AR18" s="2301"/>
      <c r="AS18" s="2302"/>
      <c r="AT18" s="2300" t="s">
        <v>2430</v>
      </c>
      <c r="AU18" s="2301"/>
      <c r="AV18" s="2301"/>
      <c r="AW18" s="2301"/>
      <c r="AX18" s="2301"/>
      <c r="AY18" s="2303"/>
      <c r="AZ18" s="1190"/>
      <c r="BA18" s="1190"/>
      <c r="BB18" s="1190"/>
      <c r="BC18" s="1190"/>
      <c r="BD18" s="1190"/>
      <c r="BE18" s="1194"/>
    </row>
    <row r="19" spans="1:58" ht="15">
      <c r="A19" s="1190"/>
      <c r="B19" s="2283">
        <v>0.3</v>
      </c>
      <c r="C19" s="2284"/>
      <c r="D19" s="2284"/>
      <c r="E19" s="2284"/>
      <c r="F19" s="2284"/>
      <c r="G19" s="2284"/>
      <c r="H19" s="2284"/>
      <c r="I19" s="2285"/>
      <c r="J19" s="2286">
        <f t="shared" ref="J19:J24" si="0">SUM(P19:AS19)</f>
        <v>14</v>
      </c>
      <c r="K19" s="2287"/>
      <c r="L19" s="2287"/>
      <c r="M19" s="2287"/>
      <c r="N19" s="2287"/>
      <c r="O19" s="2288"/>
      <c r="P19" s="2286" cm="1">
        <f t="array" ref="P19">SUMPRODUCT((Application!$B$718:$B$752 = 'CalHFA Addendum'!P$18)*(Application!$AC$718:$AC$752 = 'CalHFA Addendum'!$B19),Application!$G$718:$G$752)</f>
        <v>0</v>
      </c>
      <c r="Q19" s="2287"/>
      <c r="R19" s="2287"/>
      <c r="S19" s="2287"/>
      <c r="T19" s="2287"/>
      <c r="U19" s="2288"/>
      <c r="V19" s="2286" cm="1">
        <f t="array" ref="V19">SUMPRODUCT((Application!$B$714:$B$738 = 'CalHFA Addendum'!V$18)*(Application!$AC$714:$AC$738 = 'CalHFA Addendum'!$B19),Application!$G$714:$G$738)</f>
        <v>5</v>
      </c>
      <c r="W19" s="2287"/>
      <c r="X19" s="2287"/>
      <c r="Y19" s="2287"/>
      <c r="Z19" s="2287"/>
      <c r="AA19" s="2288"/>
      <c r="AB19" s="2286" cm="1">
        <f t="array" ref="AB19">SUMPRODUCT((Application!$B$714:$B$738 = 'CalHFA Addendum'!AB$18)*(Application!$AC$714:$AC$738 = 'CalHFA Addendum'!$B19),Application!$G$714:$G$738)</f>
        <v>6</v>
      </c>
      <c r="AC19" s="2287"/>
      <c r="AD19" s="2287"/>
      <c r="AE19" s="2287"/>
      <c r="AF19" s="2287"/>
      <c r="AG19" s="2288"/>
      <c r="AH19" s="2286" cm="1">
        <f t="array" ref="AH19">SUMPRODUCT((Application!$B$714:$B$738 = 'CalHFA Addendum'!AH$18)*(Application!$AC$714:$AC$738 = 'CalHFA Addendum'!$B19),Application!$G$714:$G$738)</f>
        <v>3</v>
      </c>
      <c r="AI19" s="2287"/>
      <c r="AJ19" s="2287"/>
      <c r="AK19" s="2287"/>
      <c r="AL19" s="2287"/>
      <c r="AM19" s="2288"/>
      <c r="AN19" s="2286" cm="1">
        <f t="array" ref="AN19">SUMPRODUCT((Application!$B$714:$B$738 = 'CalHFA Addendum'!AN$18)*(Application!$AC$714:$AC$738 = 'CalHFA Addendum'!$B19),Application!$G$714:$G$738)</f>
        <v>0</v>
      </c>
      <c r="AO19" s="2287"/>
      <c r="AP19" s="2287"/>
      <c r="AQ19" s="2287"/>
      <c r="AR19" s="2287"/>
      <c r="AS19" s="2288"/>
      <c r="AT19" s="2271">
        <f t="shared" ref="AT19:AT29" si="1">J19/$J$29</f>
        <v>0.112</v>
      </c>
      <c r="AU19" s="2272"/>
      <c r="AV19" s="2272"/>
      <c r="AW19" s="2272"/>
      <c r="AX19" s="2272"/>
      <c r="AY19" s="2273"/>
      <c r="AZ19" s="1195"/>
      <c r="BA19" s="1190"/>
      <c r="BB19" s="1190"/>
      <c r="BC19" s="1190"/>
      <c r="BD19" s="1190"/>
      <c r="BE19" s="1194"/>
    </row>
    <row r="20" spans="1:58" ht="15" customHeight="1">
      <c r="A20" s="1190"/>
      <c r="B20" s="2283">
        <v>0.4</v>
      </c>
      <c r="C20" s="2284"/>
      <c r="D20" s="2284"/>
      <c r="E20" s="2284"/>
      <c r="F20" s="2284"/>
      <c r="G20" s="2284"/>
      <c r="H20" s="2284"/>
      <c r="I20" s="2285"/>
      <c r="J20" s="2286">
        <f t="shared" si="0"/>
        <v>0</v>
      </c>
      <c r="K20" s="2287"/>
      <c r="L20" s="2287"/>
      <c r="M20" s="2287"/>
      <c r="N20" s="2287"/>
      <c r="O20" s="2288"/>
      <c r="P20" s="2286" cm="1">
        <f t="array" ref="P20">SUMPRODUCT((Application!$B$718:$B$752 = 'CalHFA Addendum'!P$18)*(Application!$AC$718:$AC$752 = 'CalHFA Addendum'!$B20),Application!$G$718:$G$752)</f>
        <v>0</v>
      </c>
      <c r="Q20" s="2287"/>
      <c r="R20" s="2287"/>
      <c r="S20" s="2287"/>
      <c r="T20" s="2287"/>
      <c r="U20" s="2288"/>
      <c r="V20" s="2286" cm="1">
        <f t="array" ref="V20">SUMPRODUCT((Application!$B$714:$B$738 = 'CalHFA Addendum'!V$18)*(Application!$AC$714:$AC$738 = 'CalHFA Addendum'!$B20),Application!$G$714:$G$738)</f>
        <v>0</v>
      </c>
      <c r="W20" s="2287"/>
      <c r="X20" s="2287"/>
      <c r="Y20" s="2287"/>
      <c r="Z20" s="2287"/>
      <c r="AA20" s="2288"/>
      <c r="AB20" s="2286" cm="1">
        <f t="array" ref="AB20">SUMPRODUCT((Application!$B$714:$B$738 = 'CalHFA Addendum'!AB$18)*(Application!$AC$714:$AC$738 = 'CalHFA Addendum'!$B20),Application!$G$714:$G$738)</f>
        <v>0</v>
      </c>
      <c r="AC20" s="2287"/>
      <c r="AD20" s="2287"/>
      <c r="AE20" s="2287"/>
      <c r="AF20" s="2287"/>
      <c r="AG20" s="2288"/>
      <c r="AH20" s="2286" cm="1">
        <f t="array" ref="AH20">SUMPRODUCT((Application!$B$714:$B$738 = 'CalHFA Addendum'!AH$18)*(Application!$AC$714:$AC$738 = 'CalHFA Addendum'!$B20),Application!$G$714:$G$738)</f>
        <v>0</v>
      </c>
      <c r="AI20" s="2287"/>
      <c r="AJ20" s="2287"/>
      <c r="AK20" s="2287"/>
      <c r="AL20" s="2287"/>
      <c r="AM20" s="2288"/>
      <c r="AN20" s="2286" cm="1">
        <f t="array" ref="AN20">SUMPRODUCT((Application!$B$714:$B$738 = 'CalHFA Addendum'!AN$18)*(Application!$AC$714:$AC$738 = 'CalHFA Addendum'!$B20),Application!$G$714:$G$738)</f>
        <v>0</v>
      </c>
      <c r="AO20" s="2287"/>
      <c r="AP20" s="2287"/>
      <c r="AQ20" s="2287"/>
      <c r="AR20" s="2287"/>
      <c r="AS20" s="2288"/>
      <c r="AT20" s="2271">
        <f t="shared" si="1"/>
        <v>0</v>
      </c>
      <c r="AU20" s="2272"/>
      <c r="AV20" s="2272"/>
      <c r="AW20" s="2272"/>
      <c r="AX20" s="2272"/>
      <c r="AY20" s="2273"/>
      <c r="AZ20" s="1190"/>
      <c r="BA20" s="1190"/>
      <c r="BB20" s="1190"/>
      <c r="BC20" s="1190"/>
      <c r="BD20" s="1190"/>
      <c r="BE20" s="1194"/>
    </row>
    <row r="21" spans="1:58" ht="15">
      <c r="A21" s="1190"/>
      <c r="B21" s="2283">
        <v>0.5</v>
      </c>
      <c r="C21" s="2284"/>
      <c r="D21" s="2284"/>
      <c r="E21" s="2284"/>
      <c r="F21" s="2284"/>
      <c r="G21" s="2284"/>
      <c r="H21" s="2284"/>
      <c r="I21" s="2285"/>
      <c r="J21" s="2286">
        <f t="shared" si="0"/>
        <v>49</v>
      </c>
      <c r="K21" s="2287"/>
      <c r="L21" s="2287"/>
      <c r="M21" s="2287"/>
      <c r="N21" s="2287"/>
      <c r="O21" s="2288"/>
      <c r="P21" s="2286" cm="1">
        <f t="array" ref="P21">SUMPRODUCT((Application!$B$714:$B$738 = 'CalHFA Addendum'!P$18)*(Application!$AC$714:$AC$738 = 'CalHFA Addendum'!$B21),Application!$G$714:$G$738)</f>
        <v>0</v>
      </c>
      <c r="Q21" s="2287"/>
      <c r="R21" s="2287"/>
      <c r="S21" s="2287"/>
      <c r="T21" s="2287"/>
      <c r="U21" s="2288"/>
      <c r="V21" s="2286" cm="1">
        <f t="array" ref="V21">SUMPRODUCT((Application!$B$714:$B$738 = 'CalHFA Addendum'!V$18)*(Application!$AC$714:$AC$738 = 'CalHFA Addendum'!$B21),Application!$G$714:$G$738)</f>
        <v>19</v>
      </c>
      <c r="W21" s="2287"/>
      <c r="X21" s="2287"/>
      <c r="Y21" s="2287"/>
      <c r="Z21" s="2287"/>
      <c r="AA21" s="2288"/>
      <c r="AB21" s="2286" cm="1">
        <f t="array" ref="AB21">SUMPRODUCT((Application!$B$714:$B$738 = 'CalHFA Addendum'!AB$18)*(Application!$AC$714:$AC$738 = 'CalHFA Addendum'!$B21),Application!$G$714:$G$738)</f>
        <v>19</v>
      </c>
      <c r="AC21" s="2287"/>
      <c r="AD21" s="2287"/>
      <c r="AE21" s="2287"/>
      <c r="AF21" s="2287"/>
      <c r="AG21" s="2288"/>
      <c r="AH21" s="2286" cm="1">
        <f t="array" ref="AH21">SUMPRODUCT((Application!$B$714:$B$738 = 'CalHFA Addendum'!AH$18)*(Application!$AC$714:$AC$738 = 'CalHFA Addendum'!$B21),Application!$G$714:$G$738)</f>
        <v>11</v>
      </c>
      <c r="AI21" s="2287"/>
      <c r="AJ21" s="2287"/>
      <c r="AK21" s="2287"/>
      <c r="AL21" s="2287"/>
      <c r="AM21" s="2288"/>
      <c r="AN21" s="2286" cm="1">
        <f t="array" ref="AN21">SUMPRODUCT((Application!$B$714:$B$738 = 'CalHFA Addendum'!AN$18)*(Application!$AC$714:$AC$738 = 'CalHFA Addendum'!$B21),Application!$G$714:$G$738)</f>
        <v>0</v>
      </c>
      <c r="AO21" s="2287"/>
      <c r="AP21" s="2287"/>
      <c r="AQ21" s="2287"/>
      <c r="AR21" s="2287"/>
      <c r="AS21" s="2288"/>
      <c r="AT21" s="2271">
        <f t="shared" si="1"/>
        <v>0.39200000000000002</v>
      </c>
      <c r="AU21" s="2272"/>
      <c r="AV21" s="2272"/>
      <c r="AW21" s="2272"/>
      <c r="AX21" s="2272"/>
      <c r="AY21" s="2273"/>
      <c r="AZ21" s="1190"/>
      <c r="BA21" s="1190"/>
      <c r="BB21" s="1190"/>
      <c r="BC21" s="1190"/>
      <c r="BD21" s="1190"/>
      <c r="BE21" s="1194"/>
    </row>
    <row r="22" spans="1:58" ht="15">
      <c r="A22" s="1190"/>
      <c r="B22" s="2283">
        <v>0.6</v>
      </c>
      <c r="C22" s="2284"/>
      <c r="D22" s="2284"/>
      <c r="E22" s="2284"/>
      <c r="F22" s="2284"/>
      <c r="G22" s="2284"/>
      <c r="H22" s="2284"/>
      <c r="I22" s="2285"/>
      <c r="J22" s="2286">
        <f t="shared" si="0"/>
        <v>0</v>
      </c>
      <c r="K22" s="2287"/>
      <c r="L22" s="2287"/>
      <c r="M22" s="2287"/>
      <c r="N22" s="2287"/>
      <c r="O22" s="2288"/>
      <c r="P22" s="2286" cm="1">
        <f t="array" ref="P22">SUMPRODUCT((Application!$B$714:$B$738 = 'CalHFA Addendum'!P$18)*(Application!$AC$714:$AC$738 = 'CalHFA Addendum'!$B22),Application!$G$714:$G$738)</f>
        <v>0</v>
      </c>
      <c r="Q22" s="2287"/>
      <c r="R22" s="2287"/>
      <c r="S22" s="2287"/>
      <c r="T22" s="2287"/>
      <c r="U22" s="2288"/>
      <c r="V22" s="2286" cm="1">
        <f t="array" ref="V22">SUMPRODUCT((Application!$B$714:$B$738 = 'CalHFA Addendum'!V$18)*(Application!$AC$714:$AC$738 = 'CalHFA Addendum'!$B22),Application!$G$714:$G$738)</f>
        <v>0</v>
      </c>
      <c r="W22" s="2287"/>
      <c r="X22" s="2287"/>
      <c r="Y22" s="2287"/>
      <c r="Z22" s="2287"/>
      <c r="AA22" s="2288"/>
      <c r="AB22" s="2286" cm="1">
        <f t="array" ref="AB22">SUMPRODUCT((Application!$B$714:$B$738 = 'CalHFA Addendum'!AB$18)*(Application!$AC$714:$AC$738 = 'CalHFA Addendum'!$B22),Application!$G$714:$G$738)</f>
        <v>0</v>
      </c>
      <c r="AC22" s="2287"/>
      <c r="AD22" s="2287"/>
      <c r="AE22" s="2287"/>
      <c r="AF22" s="2287"/>
      <c r="AG22" s="2288"/>
      <c r="AH22" s="2286" cm="1">
        <f t="array" ref="AH22">SUMPRODUCT((Application!$B$714:$B$738 = 'CalHFA Addendum'!AH$18)*(Application!$AC$714:$AC$738 = 'CalHFA Addendum'!$B22),Application!$G$714:$G$738)</f>
        <v>0</v>
      </c>
      <c r="AI22" s="2287"/>
      <c r="AJ22" s="2287"/>
      <c r="AK22" s="2287"/>
      <c r="AL22" s="2287"/>
      <c r="AM22" s="2288"/>
      <c r="AN22" s="2286" cm="1">
        <f t="array" ref="AN22">SUMPRODUCT((Application!$B$714:$B$738 = 'CalHFA Addendum'!AN$18)*(Application!$AC$714:$AC$738 = 'CalHFA Addendum'!$B22),Application!$G$714:$G$738)</f>
        <v>0</v>
      </c>
      <c r="AO22" s="2287"/>
      <c r="AP22" s="2287"/>
      <c r="AQ22" s="2287"/>
      <c r="AR22" s="2287"/>
      <c r="AS22" s="2288"/>
      <c r="AT22" s="2271">
        <f t="shared" si="1"/>
        <v>0</v>
      </c>
      <c r="AU22" s="2272"/>
      <c r="AV22" s="2272"/>
      <c r="AW22" s="2272"/>
      <c r="AX22" s="2272"/>
      <c r="AY22" s="2273"/>
      <c r="AZ22" s="1190"/>
      <c r="BA22" s="1190"/>
      <c r="BB22" s="1190"/>
      <c r="BC22" s="1190"/>
      <c r="BD22" s="1190"/>
      <c r="BE22" s="1194"/>
    </row>
    <row r="23" spans="1:58" ht="15">
      <c r="A23" s="1190"/>
      <c r="B23" s="2283">
        <v>0.7</v>
      </c>
      <c r="C23" s="2284"/>
      <c r="D23" s="2284"/>
      <c r="E23" s="2284"/>
      <c r="F23" s="2284"/>
      <c r="G23" s="2284"/>
      <c r="H23" s="2284"/>
      <c r="I23" s="2285"/>
      <c r="J23" s="2286">
        <f t="shared" si="0"/>
        <v>61</v>
      </c>
      <c r="K23" s="2287"/>
      <c r="L23" s="2287"/>
      <c r="M23" s="2287"/>
      <c r="N23" s="2287"/>
      <c r="O23" s="2288"/>
      <c r="P23" s="2286" cm="1">
        <f t="array" ref="P23">SUMPRODUCT((Application!$B$714:$B$738 = 'CalHFA Addendum'!P$18)*(Application!$AC$714:$AC$738 = 'CalHFA Addendum'!$B23),Application!$G$714:$G$738)</f>
        <v>0</v>
      </c>
      <c r="Q23" s="2287"/>
      <c r="R23" s="2287"/>
      <c r="S23" s="2287"/>
      <c r="T23" s="2287"/>
      <c r="U23" s="2288"/>
      <c r="V23" s="2286" cm="1">
        <f t="array" ref="V23">SUMPRODUCT((Application!$B$714:$B$738 = 'CalHFA Addendum'!V$18)*(Application!$AC$714:$AC$738 = 'CalHFA Addendum'!$B23),Application!$G$714:$G$738)</f>
        <v>21</v>
      </c>
      <c r="W23" s="2287"/>
      <c r="X23" s="2287"/>
      <c r="Y23" s="2287"/>
      <c r="Z23" s="2287"/>
      <c r="AA23" s="2288"/>
      <c r="AB23" s="2286" cm="1">
        <f t="array" ref="AB23">SUMPRODUCT((Application!$B$714:$B$738 = 'CalHFA Addendum'!AB$18)*(Application!$AC$714:$AC$738 = 'CalHFA Addendum'!$B23),Application!$G$714:$G$738)</f>
        <v>22</v>
      </c>
      <c r="AC23" s="2287"/>
      <c r="AD23" s="2287"/>
      <c r="AE23" s="2287"/>
      <c r="AF23" s="2287"/>
      <c r="AG23" s="2288"/>
      <c r="AH23" s="2286" cm="1">
        <f t="array" ref="AH23">SUMPRODUCT((Application!$B$714:$B$738 = 'CalHFA Addendum'!AH$18)*(Application!$AC$714:$AC$738 = 'CalHFA Addendum'!$B23),Application!$G$714:$G$738)</f>
        <v>18</v>
      </c>
      <c r="AI23" s="2287"/>
      <c r="AJ23" s="2287"/>
      <c r="AK23" s="2287"/>
      <c r="AL23" s="2287"/>
      <c r="AM23" s="2288"/>
      <c r="AN23" s="2286" cm="1">
        <f t="array" ref="AN23">SUMPRODUCT((Application!$B$714:$B$738 = 'CalHFA Addendum'!AN$18)*(Application!$AC$714:$AC$738 = 'CalHFA Addendum'!$B23),Application!$G$714:$G$738)</f>
        <v>0</v>
      </c>
      <c r="AO23" s="2287"/>
      <c r="AP23" s="2287"/>
      <c r="AQ23" s="2287"/>
      <c r="AR23" s="2287"/>
      <c r="AS23" s="2288"/>
      <c r="AT23" s="2271">
        <f t="shared" si="1"/>
        <v>0.48799999999999999</v>
      </c>
      <c r="AU23" s="2272"/>
      <c r="AV23" s="2272"/>
      <c r="AW23" s="2272"/>
      <c r="AX23" s="2272"/>
      <c r="AY23" s="2273"/>
      <c r="AZ23" s="1190"/>
      <c r="BA23" s="1190"/>
      <c r="BB23" s="1190"/>
      <c r="BC23" s="1190"/>
      <c r="BD23" s="1190"/>
      <c r="BE23" s="1194"/>
    </row>
    <row r="24" spans="1:58" ht="15">
      <c r="A24" s="1190"/>
      <c r="B24" s="2283">
        <v>0.8</v>
      </c>
      <c r="C24" s="2284"/>
      <c r="D24" s="2284"/>
      <c r="E24" s="2284"/>
      <c r="F24" s="2284"/>
      <c r="G24" s="2284"/>
      <c r="H24" s="2284"/>
      <c r="I24" s="2285"/>
      <c r="J24" s="2286">
        <f t="shared" si="0"/>
        <v>0</v>
      </c>
      <c r="K24" s="2287"/>
      <c r="L24" s="2287"/>
      <c r="M24" s="2287"/>
      <c r="N24" s="2287"/>
      <c r="O24" s="2288"/>
      <c r="P24" s="2286" cm="1">
        <f t="array" ref="P24">SUMPRODUCT((Application!$B$714:$B$738 = 'CalHFA Addendum'!P$18)*(Application!$AC$714:$AC$738 = 'CalHFA Addendum'!$B24),Application!$G$714:$G$738)</f>
        <v>0</v>
      </c>
      <c r="Q24" s="2287"/>
      <c r="R24" s="2287"/>
      <c r="S24" s="2287"/>
      <c r="T24" s="2287"/>
      <c r="U24" s="2288"/>
      <c r="V24" s="2286" cm="1">
        <f t="array" ref="V24">SUMPRODUCT((Application!$B$714:$B$738 = 'CalHFA Addendum'!V$18)*(Application!$AC$714:$AC$738 = 'CalHFA Addendum'!$B24),Application!$G$714:$G$738)</f>
        <v>0</v>
      </c>
      <c r="W24" s="2287"/>
      <c r="X24" s="2287"/>
      <c r="Y24" s="2287"/>
      <c r="Z24" s="2287"/>
      <c r="AA24" s="2288"/>
      <c r="AB24" s="2286" cm="1">
        <f t="array" ref="AB24">SUMPRODUCT((Application!$B$714:$B$738 = 'CalHFA Addendum'!AB$18)*(Application!$AC$714:$AC$738 = 'CalHFA Addendum'!$B24),Application!$G$714:$G$738)</f>
        <v>0</v>
      </c>
      <c r="AC24" s="2287"/>
      <c r="AD24" s="2287"/>
      <c r="AE24" s="2287"/>
      <c r="AF24" s="2287"/>
      <c r="AG24" s="2288"/>
      <c r="AH24" s="2286" cm="1">
        <f t="array" ref="AH24">SUMPRODUCT((Application!$B$714:$B$738 = 'CalHFA Addendum'!AH$18)*(Application!$AC$714:$AC$738 = 'CalHFA Addendum'!$B24),Application!$G$714:$G$738)</f>
        <v>0</v>
      </c>
      <c r="AI24" s="2287"/>
      <c r="AJ24" s="2287"/>
      <c r="AK24" s="2287"/>
      <c r="AL24" s="2287"/>
      <c r="AM24" s="2288"/>
      <c r="AN24" s="2286" cm="1">
        <f t="array" ref="AN24">SUMPRODUCT((Application!$B$714:$B$738 = 'CalHFA Addendum'!AN$18)*(Application!$AC$714:$AC$738 = 'CalHFA Addendum'!$B24),Application!$G$714:$G$738)</f>
        <v>0</v>
      </c>
      <c r="AO24" s="2287"/>
      <c r="AP24" s="2287"/>
      <c r="AQ24" s="2287"/>
      <c r="AR24" s="2287"/>
      <c r="AS24" s="2288"/>
      <c r="AT24" s="2271">
        <f t="shared" si="1"/>
        <v>0</v>
      </c>
      <c r="AU24" s="2272"/>
      <c r="AV24" s="2272"/>
      <c r="AW24" s="2272"/>
      <c r="AX24" s="2272"/>
      <c r="AY24" s="2273"/>
      <c r="AZ24" s="1190"/>
      <c r="BA24" s="1190"/>
      <c r="BB24" s="1190"/>
      <c r="BC24" s="1190"/>
      <c r="BD24" s="1190"/>
      <c r="BE24" s="1194"/>
    </row>
    <row r="25" spans="1:58" ht="15">
      <c r="A25" s="1190"/>
      <c r="B25" s="2283">
        <v>0.9</v>
      </c>
      <c r="C25" s="2284"/>
      <c r="D25" s="2284"/>
      <c r="E25" s="2284"/>
      <c r="F25" s="2284"/>
      <c r="G25" s="2284"/>
      <c r="H25" s="2284"/>
      <c r="I25" s="2285"/>
      <c r="J25" s="2268"/>
      <c r="K25" s="2269"/>
      <c r="L25" s="2269"/>
      <c r="M25" s="2269"/>
      <c r="N25" s="2269"/>
      <c r="O25" s="2270"/>
      <c r="P25" s="2268"/>
      <c r="Q25" s="2269"/>
      <c r="R25" s="2269"/>
      <c r="S25" s="2269"/>
      <c r="T25" s="2269"/>
      <c r="U25" s="2270"/>
      <c r="V25" s="2268"/>
      <c r="W25" s="2269"/>
      <c r="X25" s="2269"/>
      <c r="Y25" s="2269"/>
      <c r="Z25" s="2269"/>
      <c r="AA25" s="2270"/>
      <c r="AB25" s="2268"/>
      <c r="AC25" s="2269"/>
      <c r="AD25" s="2269"/>
      <c r="AE25" s="2269"/>
      <c r="AF25" s="2269"/>
      <c r="AG25" s="2270"/>
      <c r="AH25" s="2268"/>
      <c r="AI25" s="2269"/>
      <c r="AJ25" s="2269"/>
      <c r="AK25" s="2269"/>
      <c r="AL25" s="2269"/>
      <c r="AM25" s="2270"/>
      <c r="AN25" s="2268"/>
      <c r="AO25" s="2269"/>
      <c r="AP25" s="2269"/>
      <c r="AQ25" s="2269"/>
      <c r="AR25" s="2269"/>
      <c r="AS25" s="2270"/>
      <c r="AT25" s="2271">
        <f t="shared" si="1"/>
        <v>0</v>
      </c>
      <c r="AU25" s="2272"/>
      <c r="AV25" s="2272"/>
      <c r="AW25" s="2272"/>
      <c r="AX25" s="2272"/>
      <c r="AY25" s="2273"/>
      <c r="AZ25" s="1190"/>
      <c r="BA25" s="1190"/>
      <c r="BB25" s="1190"/>
      <c r="BC25" s="1190"/>
      <c r="BD25" s="1190"/>
      <c r="BE25" s="1194"/>
    </row>
    <row r="26" spans="1:58" ht="15">
      <c r="A26" s="1190"/>
      <c r="B26" s="2283">
        <v>1</v>
      </c>
      <c r="C26" s="2284"/>
      <c r="D26" s="2284"/>
      <c r="E26" s="2284"/>
      <c r="F26" s="2284"/>
      <c r="G26" s="2284"/>
      <c r="H26" s="2284"/>
      <c r="I26" s="2285"/>
      <c r="J26" s="2268"/>
      <c r="K26" s="2269"/>
      <c r="L26" s="2269"/>
      <c r="M26" s="2269"/>
      <c r="N26" s="2269"/>
      <c r="O26" s="2270"/>
      <c r="P26" s="2268"/>
      <c r="Q26" s="2269"/>
      <c r="R26" s="2269"/>
      <c r="S26" s="2269"/>
      <c r="T26" s="2269"/>
      <c r="U26" s="2270"/>
      <c r="V26" s="2268"/>
      <c r="W26" s="2269"/>
      <c r="X26" s="2269"/>
      <c r="Y26" s="2269"/>
      <c r="Z26" s="2269"/>
      <c r="AA26" s="2270"/>
      <c r="AB26" s="2268"/>
      <c r="AC26" s="2269"/>
      <c r="AD26" s="2269"/>
      <c r="AE26" s="2269"/>
      <c r="AF26" s="2269"/>
      <c r="AG26" s="2270"/>
      <c r="AH26" s="2268"/>
      <c r="AI26" s="2269"/>
      <c r="AJ26" s="2269"/>
      <c r="AK26" s="2269"/>
      <c r="AL26" s="2269"/>
      <c r="AM26" s="2270"/>
      <c r="AN26" s="2268"/>
      <c r="AO26" s="2269"/>
      <c r="AP26" s="2269"/>
      <c r="AQ26" s="2269"/>
      <c r="AR26" s="2269"/>
      <c r="AS26" s="2270"/>
      <c r="AT26" s="2271">
        <f t="shared" si="1"/>
        <v>0</v>
      </c>
      <c r="AU26" s="2272"/>
      <c r="AV26" s="2272"/>
      <c r="AW26" s="2272"/>
      <c r="AX26" s="2272"/>
      <c r="AY26" s="2273"/>
      <c r="AZ26" s="1190"/>
      <c r="BA26" s="1190"/>
      <c r="BB26" s="1190"/>
      <c r="BC26" s="1190"/>
      <c r="BD26" s="1190"/>
      <c r="BE26" s="1194"/>
    </row>
    <row r="27" spans="1:58" ht="15">
      <c r="A27" s="1190"/>
      <c r="B27" s="2283">
        <v>1.2</v>
      </c>
      <c r="C27" s="2284"/>
      <c r="D27" s="2284"/>
      <c r="E27" s="2284"/>
      <c r="F27" s="2284"/>
      <c r="G27" s="2284"/>
      <c r="H27" s="2284"/>
      <c r="I27" s="2285"/>
      <c r="J27" s="2268"/>
      <c r="K27" s="2269"/>
      <c r="L27" s="2269"/>
      <c r="M27" s="2269"/>
      <c r="N27" s="2269"/>
      <c r="O27" s="2270"/>
      <c r="P27" s="2268"/>
      <c r="Q27" s="2269"/>
      <c r="R27" s="2269"/>
      <c r="S27" s="2269"/>
      <c r="T27" s="2269"/>
      <c r="U27" s="2270"/>
      <c r="V27" s="2268"/>
      <c r="W27" s="2269"/>
      <c r="X27" s="2269"/>
      <c r="Y27" s="2269"/>
      <c r="Z27" s="2269"/>
      <c r="AA27" s="2270"/>
      <c r="AB27" s="2268"/>
      <c r="AC27" s="2269"/>
      <c r="AD27" s="2269"/>
      <c r="AE27" s="2269"/>
      <c r="AF27" s="2269"/>
      <c r="AG27" s="2270"/>
      <c r="AH27" s="2268"/>
      <c r="AI27" s="2269"/>
      <c r="AJ27" s="2269"/>
      <c r="AK27" s="2269"/>
      <c r="AL27" s="2269"/>
      <c r="AM27" s="2270"/>
      <c r="AN27" s="2268"/>
      <c r="AO27" s="2269"/>
      <c r="AP27" s="2269"/>
      <c r="AQ27" s="2269"/>
      <c r="AR27" s="2269"/>
      <c r="AS27" s="2270"/>
      <c r="AT27" s="2271">
        <f t="shared" si="1"/>
        <v>0</v>
      </c>
      <c r="AU27" s="2272"/>
      <c r="AV27" s="2272"/>
      <c r="AW27" s="2272"/>
      <c r="AX27" s="2272"/>
      <c r="AY27" s="2273"/>
      <c r="AZ27" s="1190"/>
      <c r="BA27" s="1190"/>
      <c r="BB27" s="1190"/>
      <c r="BC27" s="1190"/>
      <c r="BD27" s="1190"/>
      <c r="BE27" s="1194"/>
    </row>
    <row r="28" spans="1:58" thickBot="1">
      <c r="A28" s="1190"/>
      <c r="B28" s="2274" t="s">
        <v>2429</v>
      </c>
      <c r="C28" s="2275"/>
      <c r="D28" s="2275"/>
      <c r="E28" s="2275"/>
      <c r="F28" s="2275"/>
      <c r="G28" s="2275"/>
      <c r="H28" s="2275"/>
      <c r="I28" s="2276"/>
      <c r="J28" s="2277">
        <f>SUM(P28:AS28)</f>
        <v>1</v>
      </c>
      <c r="K28" s="2278"/>
      <c r="L28" s="2278"/>
      <c r="M28" s="2278"/>
      <c r="N28" s="2278"/>
      <c r="O28" s="2279"/>
      <c r="P28" s="2277">
        <f>_xlfn.IFNA(VLOOKUP(P$18,Application!$J$773:$S$776,6,FALSE), 0)</f>
        <v>0</v>
      </c>
      <c r="Q28" s="2278"/>
      <c r="R28" s="2278"/>
      <c r="S28" s="2278"/>
      <c r="T28" s="2278"/>
      <c r="U28" s="2279"/>
      <c r="V28" s="2277">
        <f>_xlfn.IFNA(VLOOKUP(V$18,Application!$J$773:$S$776,6,FALSE), 0)</f>
        <v>0</v>
      </c>
      <c r="W28" s="2278"/>
      <c r="X28" s="2278"/>
      <c r="Y28" s="2278"/>
      <c r="Z28" s="2278"/>
      <c r="AA28" s="2279"/>
      <c r="AB28" s="2277">
        <f>_xlfn.IFNA(VLOOKUP(AB$18,Application!$J$773:$S$776,6,FALSE), 0)</f>
        <v>1</v>
      </c>
      <c r="AC28" s="2278"/>
      <c r="AD28" s="2278"/>
      <c r="AE28" s="2278"/>
      <c r="AF28" s="2278"/>
      <c r="AG28" s="2279"/>
      <c r="AH28" s="2277">
        <f>_xlfn.IFNA(VLOOKUP(AH$18,Application!$J$773:$S$776,6,FALSE), 0)</f>
        <v>0</v>
      </c>
      <c r="AI28" s="2278"/>
      <c r="AJ28" s="2278"/>
      <c r="AK28" s="2278"/>
      <c r="AL28" s="2278"/>
      <c r="AM28" s="2279"/>
      <c r="AN28" s="2277">
        <f>_xlfn.IFNA(VLOOKUP(AN$18,Application!$J$773:$S$776,6,FALSE), 0)</f>
        <v>0</v>
      </c>
      <c r="AO28" s="2278"/>
      <c r="AP28" s="2278"/>
      <c r="AQ28" s="2278"/>
      <c r="AR28" s="2278"/>
      <c r="AS28" s="2279"/>
      <c r="AT28" s="2280">
        <f t="shared" si="1"/>
        <v>8.0000000000000002E-3</v>
      </c>
      <c r="AU28" s="2281"/>
      <c r="AV28" s="2281"/>
      <c r="AW28" s="2281"/>
      <c r="AX28" s="2281"/>
      <c r="AY28" s="2282"/>
      <c r="AZ28" s="1190"/>
      <c r="BA28" s="1190"/>
      <c r="BB28" s="1190"/>
      <c r="BC28" s="1190"/>
      <c r="BD28" s="1190"/>
      <c r="BE28" s="1194"/>
    </row>
    <row r="29" spans="1:58" thickBot="1">
      <c r="A29" s="1190"/>
      <c r="B29" s="2257" t="s">
        <v>1586</v>
      </c>
      <c r="C29" s="2230"/>
      <c r="D29" s="2230"/>
      <c r="E29" s="2230"/>
      <c r="F29" s="2230"/>
      <c r="G29" s="2230"/>
      <c r="H29" s="2230"/>
      <c r="I29" s="2231"/>
      <c r="J29" s="2229">
        <f>SUM(J19:O28)</f>
        <v>125</v>
      </c>
      <c r="K29" s="2230"/>
      <c r="L29" s="2230"/>
      <c r="M29" s="2230"/>
      <c r="N29" s="2230"/>
      <c r="O29" s="2231"/>
      <c r="P29" s="2229">
        <f>SUM(P19:U28)</f>
        <v>0</v>
      </c>
      <c r="Q29" s="2230"/>
      <c r="R29" s="2230"/>
      <c r="S29" s="2230"/>
      <c r="T29" s="2230"/>
      <c r="U29" s="2231"/>
      <c r="V29" s="2229">
        <f>SUM(V19:AA28)</f>
        <v>45</v>
      </c>
      <c r="W29" s="2230"/>
      <c r="X29" s="2230"/>
      <c r="Y29" s="2230"/>
      <c r="Z29" s="2230"/>
      <c r="AA29" s="2231"/>
      <c r="AB29" s="2229">
        <f>SUM(AB19:AG28)</f>
        <v>48</v>
      </c>
      <c r="AC29" s="2230"/>
      <c r="AD29" s="2230"/>
      <c r="AE29" s="2230"/>
      <c r="AF29" s="2230"/>
      <c r="AG29" s="2231"/>
      <c r="AH29" s="2229">
        <f>SUM(AH19:AM28)</f>
        <v>32</v>
      </c>
      <c r="AI29" s="2230"/>
      <c r="AJ29" s="2230"/>
      <c r="AK29" s="2230"/>
      <c r="AL29" s="2230"/>
      <c r="AM29" s="2231"/>
      <c r="AN29" s="2229">
        <f>SUM(AN19:AS28)</f>
        <v>0</v>
      </c>
      <c r="AO29" s="2230"/>
      <c r="AP29" s="2230"/>
      <c r="AQ29" s="2230"/>
      <c r="AR29" s="2230"/>
      <c r="AS29" s="2231"/>
      <c r="AT29" s="2232">
        <f t="shared" si="1"/>
        <v>1</v>
      </c>
      <c r="AU29" s="2233"/>
      <c r="AV29" s="2233"/>
      <c r="AW29" s="2233"/>
      <c r="AX29" s="2233"/>
      <c r="AY29" s="2234"/>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5" t="s">
        <v>2428</v>
      </c>
      <c r="C31" s="2236"/>
      <c r="D31" s="2236"/>
      <c r="E31" s="2236"/>
      <c r="F31" s="2236"/>
      <c r="G31" s="2236"/>
      <c r="H31" s="2236"/>
      <c r="I31" s="2236"/>
      <c r="J31" s="2236"/>
      <c r="K31" s="2236"/>
      <c r="L31" s="2236"/>
      <c r="M31" s="2236"/>
      <c r="N31" s="2236"/>
      <c r="O31" s="2236"/>
      <c r="P31" s="2236"/>
      <c r="Q31" s="2236"/>
      <c r="R31" s="2236"/>
      <c r="S31" s="2236"/>
      <c r="T31" s="2236"/>
      <c r="U31" s="2236"/>
      <c r="V31" s="2236"/>
      <c r="W31" s="2236"/>
      <c r="X31" s="2236"/>
      <c r="Y31" s="2236"/>
      <c r="Z31" s="2236"/>
      <c r="AA31" s="2236"/>
      <c r="AB31" s="2236"/>
      <c r="AC31" s="2236"/>
      <c r="AD31" s="2236"/>
      <c r="AE31" s="2236"/>
      <c r="AF31" s="2236"/>
      <c r="AG31" s="2236"/>
      <c r="AH31" s="2236"/>
      <c r="AI31" s="2236"/>
      <c r="AJ31" s="2236"/>
      <c r="AK31" s="2236"/>
      <c r="AL31" s="2236"/>
      <c r="AM31" s="2236"/>
      <c r="AN31" s="2236"/>
      <c r="AO31" s="2236"/>
      <c r="AP31" s="2236"/>
      <c r="AQ31" s="2236"/>
      <c r="AR31" s="2236"/>
      <c r="AS31" s="2236"/>
      <c r="AT31" s="2236"/>
      <c r="AU31" s="2236"/>
      <c r="AV31" s="2236"/>
      <c r="AW31" s="2236"/>
      <c r="AX31" s="2236"/>
      <c r="AY31" s="2236"/>
      <c r="AZ31" s="2236"/>
      <c r="BA31" s="2236"/>
      <c r="BB31" s="2236"/>
      <c r="BC31" s="2236"/>
      <c r="BD31" s="2237"/>
      <c r="BE31" s="1194"/>
    </row>
    <row r="32" spans="1:58" thickBot="1">
      <c r="A32" s="1190"/>
      <c r="B32" s="2238" t="s">
        <v>2427</v>
      </c>
      <c r="C32" s="2239"/>
      <c r="D32" s="2239"/>
      <c r="E32" s="2239"/>
      <c r="F32" s="2239"/>
      <c r="G32" s="2239"/>
      <c r="H32" s="2239"/>
      <c r="I32" s="2239"/>
      <c r="J32" s="2242" t="s">
        <v>2426</v>
      </c>
      <c r="K32" s="2243"/>
      <c r="L32" s="2243"/>
      <c r="M32" s="2243"/>
      <c r="N32" s="2242" t="s">
        <v>2425</v>
      </c>
      <c r="O32" s="2243"/>
      <c r="P32" s="2243"/>
      <c r="Q32" s="2245"/>
      <c r="R32" s="2247" t="s">
        <v>2424</v>
      </c>
      <c r="S32" s="2248"/>
      <c r="T32" s="2248"/>
      <c r="U32" s="2248"/>
      <c r="V32" s="2248"/>
      <c r="W32" s="2248"/>
      <c r="X32" s="2248"/>
      <c r="Y32" s="2248"/>
      <c r="Z32" s="2248"/>
      <c r="AA32" s="2248"/>
      <c r="AB32" s="2248"/>
      <c r="AC32" s="2248"/>
      <c r="AD32" s="2248"/>
      <c r="AE32" s="2248"/>
      <c r="AF32" s="2248"/>
      <c r="AG32" s="2248"/>
      <c r="AH32" s="2248"/>
      <c r="AI32" s="2248"/>
      <c r="AJ32" s="2248"/>
      <c r="AK32" s="2248"/>
      <c r="AL32" s="2248"/>
      <c r="AM32" s="2248"/>
      <c r="AN32" s="2248"/>
      <c r="AO32" s="2248"/>
      <c r="AP32" s="2248"/>
      <c r="AQ32" s="2248"/>
      <c r="AR32" s="2248"/>
      <c r="AS32" s="2248"/>
      <c r="AT32" s="2248"/>
      <c r="AU32" s="2248"/>
      <c r="AV32" s="2248"/>
      <c r="AW32" s="2248"/>
      <c r="AX32" s="2248"/>
      <c r="AY32" s="2248"/>
      <c r="AZ32" s="2248"/>
      <c r="BA32" s="2248"/>
      <c r="BB32" s="2248"/>
      <c r="BC32" s="2248"/>
      <c r="BD32" s="2249"/>
      <c r="BE32" s="1194"/>
    </row>
    <row r="33" spans="1:58" ht="15" customHeight="1">
      <c r="A33" s="1190"/>
      <c r="B33" s="2240"/>
      <c r="C33" s="2241"/>
      <c r="D33" s="2241"/>
      <c r="E33" s="2241"/>
      <c r="F33" s="2241"/>
      <c r="G33" s="2241"/>
      <c r="H33" s="2241"/>
      <c r="I33" s="2241"/>
      <c r="J33" s="2244"/>
      <c r="K33" s="2244"/>
      <c r="L33" s="2244"/>
      <c r="M33" s="2244"/>
      <c r="N33" s="2244"/>
      <c r="O33" s="2244"/>
      <c r="P33" s="2244"/>
      <c r="Q33" s="2246"/>
      <c r="R33" s="2250" t="s">
        <v>2423</v>
      </c>
      <c r="S33" s="2251"/>
      <c r="T33" s="2251"/>
      <c r="U33" s="2251"/>
      <c r="V33" s="2251"/>
      <c r="W33" s="2251"/>
      <c r="X33" s="2251"/>
      <c r="Y33" s="2251"/>
      <c r="Z33" s="2251"/>
      <c r="AA33" s="2251"/>
      <c r="AB33" s="2251"/>
      <c r="AC33" s="2251"/>
      <c r="AD33" s="2251"/>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2251"/>
      <c r="BB33" s="2251"/>
      <c r="BC33" s="2251"/>
      <c r="BD33" s="2252"/>
      <c r="BE33" s="1194"/>
    </row>
    <row r="34" spans="1:58" ht="15.75" customHeight="1" thickBot="1">
      <c r="A34" s="1190"/>
      <c r="B34" s="2240"/>
      <c r="C34" s="2241"/>
      <c r="D34" s="2241"/>
      <c r="E34" s="2241"/>
      <c r="F34" s="2241"/>
      <c r="G34" s="2241"/>
      <c r="H34" s="2241"/>
      <c r="I34" s="2241"/>
      <c r="J34" s="2244"/>
      <c r="K34" s="2244"/>
      <c r="L34" s="2244"/>
      <c r="M34" s="2244"/>
      <c r="N34" s="2244"/>
      <c r="O34" s="2244"/>
      <c r="P34" s="2244"/>
      <c r="Q34" s="2246"/>
      <c r="R34" s="2253"/>
      <c r="S34" s="2254"/>
      <c r="T34" s="2254"/>
      <c r="U34" s="2254"/>
      <c r="V34" s="2254"/>
      <c r="W34" s="2254"/>
      <c r="X34" s="2254"/>
      <c r="Y34" s="2254"/>
      <c r="Z34" s="2254"/>
      <c r="AA34" s="2254"/>
      <c r="AB34" s="2254"/>
      <c r="AC34" s="2254"/>
      <c r="AD34" s="2254"/>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2254"/>
      <c r="BB34" s="2254"/>
      <c r="BC34" s="2254"/>
      <c r="BD34" s="2255"/>
      <c r="BE34" s="1194"/>
    </row>
    <row r="35" spans="1:58" ht="15.75" customHeight="1">
      <c r="A35" s="1190"/>
      <c r="B35" s="2240"/>
      <c r="C35" s="2241"/>
      <c r="D35" s="2241"/>
      <c r="E35" s="2241"/>
      <c r="F35" s="2241"/>
      <c r="G35" s="2241"/>
      <c r="H35" s="2241"/>
      <c r="I35" s="2241"/>
      <c r="J35" s="2244"/>
      <c r="K35" s="2244"/>
      <c r="L35" s="2244"/>
      <c r="M35" s="2244"/>
      <c r="N35" s="2244"/>
      <c r="O35" s="2244"/>
      <c r="P35" s="2244"/>
      <c r="Q35" s="2244"/>
      <c r="R35" s="2256">
        <v>0.3</v>
      </c>
      <c r="S35" s="2256"/>
      <c r="T35" s="2256"/>
      <c r="U35" s="2256"/>
      <c r="V35" s="2256">
        <v>0.4</v>
      </c>
      <c r="W35" s="2256"/>
      <c r="X35" s="2256"/>
      <c r="Y35" s="2256"/>
      <c r="Z35" s="2256">
        <v>0.5</v>
      </c>
      <c r="AA35" s="2256"/>
      <c r="AB35" s="2256"/>
      <c r="AC35" s="2256"/>
      <c r="AD35" s="2256">
        <v>0.6</v>
      </c>
      <c r="AE35" s="2256"/>
      <c r="AF35" s="2256"/>
      <c r="AG35" s="2256"/>
      <c r="AH35" s="2256">
        <v>0.7</v>
      </c>
      <c r="AI35" s="2256"/>
      <c r="AJ35" s="2256"/>
      <c r="AK35" s="2256"/>
      <c r="AL35" s="2261">
        <v>0.8</v>
      </c>
      <c r="AM35" s="2262"/>
      <c r="AN35" s="2262"/>
      <c r="AO35" s="2263"/>
      <c r="AP35" s="2264">
        <v>1.2</v>
      </c>
      <c r="AQ35" s="2265"/>
      <c r="AR35" s="2266"/>
      <c r="AS35" s="2258" t="s">
        <v>2422</v>
      </c>
      <c r="AT35" s="2259"/>
      <c r="AU35" s="2259"/>
      <c r="AV35" s="2259"/>
      <c r="AW35" s="2259"/>
      <c r="AX35" s="2267"/>
      <c r="AY35" s="2258" t="s">
        <v>2421</v>
      </c>
      <c r="AZ35" s="2259"/>
      <c r="BA35" s="2259"/>
      <c r="BB35" s="2259"/>
      <c r="BC35" s="2259"/>
      <c r="BD35" s="2260"/>
      <c r="BE35" s="1194"/>
    </row>
    <row r="36" spans="1:58" ht="15.75" customHeight="1">
      <c r="A36" s="1190"/>
      <c r="B36" s="2162" t="s">
        <v>2420</v>
      </c>
      <c r="C36" s="2163"/>
      <c r="D36" s="2163"/>
      <c r="E36" s="2163"/>
      <c r="F36" s="2163"/>
      <c r="G36" s="2163"/>
      <c r="H36" s="2163"/>
      <c r="I36" s="2163"/>
      <c r="J36" s="2227" t="s">
        <v>2419</v>
      </c>
      <c r="K36" s="2227"/>
      <c r="L36" s="2227"/>
      <c r="M36" s="2227"/>
      <c r="N36" s="2227">
        <v>55</v>
      </c>
      <c r="O36" s="2227"/>
      <c r="P36" s="2227"/>
      <c r="Q36" s="2227"/>
      <c r="R36" s="2228">
        <v>14</v>
      </c>
      <c r="S36" s="2228"/>
      <c r="T36" s="2228"/>
      <c r="U36" s="2228"/>
      <c r="V36" s="2228"/>
      <c r="W36" s="2228"/>
      <c r="X36" s="2228"/>
      <c r="Y36" s="2228"/>
      <c r="Z36" s="2228">
        <v>49</v>
      </c>
      <c r="AA36" s="2228"/>
      <c r="AB36" s="2228"/>
      <c r="AC36" s="2228"/>
      <c r="AD36" s="2228"/>
      <c r="AE36" s="2228"/>
      <c r="AF36" s="2228"/>
      <c r="AG36" s="2228"/>
      <c r="AH36" s="2228"/>
      <c r="AI36" s="2228"/>
      <c r="AJ36" s="2228"/>
      <c r="AK36" s="2228"/>
      <c r="AL36" s="2212"/>
      <c r="AM36" s="2213"/>
      <c r="AN36" s="2213"/>
      <c r="AO36" s="2214"/>
      <c r="AP36" s="2212"/>
      <c r="AQ36" s="2213"/>
      <c r="AR36" s="2214"/>
      <c r="AS36" s="2215">
        <f t="shared" ref="AS36:AS47" si="2">SUM(R36:AR36)</f>
        <v>63</v>
      </c>
      <c r="AT36" s="2216"/>
      <c r="AU36" s="2216"/>
      <c r="AV36" s="2216"/>
      <c r="AW36" s="2216"/>
      <c r="AX36" s="2217"/>
      <c r="AY36" s="2218">
        <f t="shared" ref="AY36:AY47" si="3">AS36/$J$29</f>
        <v>0.504</v>
      </c>
      <c r="AZ36" s="2219"/>
      <c r="BA36" s="2219"/>
      <c r="BB36" s="2219"/>
      <c r="BC36" s="2219"/>
      <c r="BD36" s="2220"/>
      <c r="BE36" s="1194"/>
    </row>
    <row r="37" spans="1:58" ht="15.75" customHeight="1">
      <c r="A37" s="1190"/>
      <c r="B37" s="2162" t="s">
        <v>2418</v>
      </c>
      <c r="C37" s="2163"/>
      <c r="D37" s="2163"/>
      <c r="E37" s="2163"/>
      <c r="F37" s="2163"/>
      <c r="G37" s="2163"/>
      <c r="H37" s="2163"/>
      <c r="I37" s="2163"/>
      <c r="J37" s="2227" t="s">
        <v>2417</v>
      </c>
      <c r="K37" s="2227"/>
      <c r="L37" s="2227"/>
      <c r="M37" s="2227"/>
      <c r="N37" s="2227">
        <v>55</v>
      </c>
      <c r="O37" s="2227"/>
      <c r="P37" s="2227"/>
      <c r="Q37" s="2227"/>
      <c r="R37" s="2228">
        <v>14</v>
      </c>
      <c r="S37" s="2228"/>
      <c r="T37" s="2228"/>
      <c r="U37" s="2228"/>
      <c r="V37" s="2228"/>
      <c r="W37" s="2228"/>
      <c r="X37" s="2228"/>
      <c r="Y37" s="2228"/>
      <c r="Z37" s="2228">
        <v>49</v>
      </c>
      <c r="AA37" s="2228"/>
      <c r="AB37" s="2228"/>
      <c r="AC37" s="2228"/>
      <c r="AD37" s="2228"/>
      <c r="AE37" s="2228"/>
      <c r="AF37" s="2228"/>
      <c r="AG37" s="2228"/>
      <c r="AH37" s="2228">
        <v>61</v>
      </c>
      <c r="AI37" s="2228"/>
      <c r="AJ37" s="2228"/>
      <c r="AK37" s="2228"/>
      <c r="AL37" s="2212"/>
      <c r="AM37" s="2213"/>
      <c r="AN37" s="2213"/>
      <c r="AO37" s="2214"/>
      <c r="AP37" s="2212"/>
      <c r="AQ37" s="2213"/>
      <c r="AR37" s="2214"/>
      <c r="AS37" s="2215">
        <f t="shared" si="2"/>
        <v>124</v>
      </c>
      <c r="AT37" s="2216"/>
      <c r="AU37" s="2216"/>
      <c r="AV37" s="2216"/>
      <c r="AW37" s="2216"/>
      <c r="AX37" s="2217"/>
      <c r="AY37" s="2218">
        <f t="shared" si="3"/>
        <v>0.99199999999999999</v>
      </c>
      <c r="AZ37" s="2219"/>
      <c r="BA37" s="2219"/>
      <c r="BB37" s="2219"/>
      <c r="BC37" s="2219"/>
      <c r="BD37" s="2220"/>
      <c r="BE37" s="1194"/>
    </row>
    <row r="38" spans="1:58" ht="15.75" customHeight="1">
      <c r="A38" s="1190"/>
      <c r="B38" s="2162" t="s">
        <v>2416</v>
      </c>
      <c r="C38" s="2163"/>
      <c r="D38" s="2163"/>
      <c r="E38" s="2163"/>
      <c r="F38" s="2163"/>
      <c r="G38" s="2163"/>
      <c r="H38" s="2163"/>
      <c r="I38" s="2163"/>
      <c r="J38" s="2227" t="s">
        <v>2415</v>
      </c>
      <c r="K38" s="2227"/>
      <c r="L38" s="2227"/>
      <c r="M38" s="2227"/>
      <c r="N38" s="2227">
        <v>55</v>
      </c>
      <c r="O38" s="2227"/>
      <c r="P38" s="2227"/>
      <c r="Q38" s="2227"/>
      <c r="R38" s="2228">
        <v>14</v>
      </c>
      <c r="S38" s="2228"/>
      <c r="T38" s="2228"/>
      <c r="U38" s="2228"/>
      <c r="V38" s="2228"/>
      <c r="W38" s="2228"/>
      <c r="X38" s="2228"/>
      <c r="Y38" s="2228"/>
      <c r="Z38" s="2228">
        <v>49</v>
      </c>
      <c r="AA38" s="2228"/>
      <c r="AB38" s="2228"/>
      <c r="AC38" s="2228"/>
      <c r="AD38" s="2228"/>
      <c r="AE38" s="2228"/>
      <c r="AF38" s="2228"/>
      <c r="AG38" s="2228"/>
      <c r="AH38" s="2228">
        <v>61</v>
      </c>
      <c r="AI38" s="2228"/>
      <c r="AJ38" s="2228"/>
      <c r="AK38" s="2228"/>
      <c r="AL38" s="2212"/>
      <c r="AM38" s="2213"/>
      <c r="AN38" s="2213"/>
      <c r="AO38" s="2214"/>
      <c r="AP38" s="2212"/>
      <c r="AQ38" s="2213"/>
      <c r="AR38" s="2214"/>
      <c r="AS38" s="2215">
        <f t="shared" si="2"/>
        <v>124</v>
      </c>
      <c r="AT38" s="2216"/>
      <c r="AU38" s="2216"/>
      <c r="AV38" s="2216"/>
      <c r="AW38" s="2216"/>
      <c r="AX38" s="2217"/>
      <c r="AY38" s="2218">
        <f t="shared" si="3"/>
        <v>0.99199999999999999</v>
      </c>
      <c r="AZ38" s="2219"/>
      <c r="BA38" s="2219"/>
      <c r="BB38" s="2219"/>
      <c r="BC38" s="2219"/>
      <c r="BD38" s="2220"/>
      <c r="BE38" s="1194"/>
    </row>
    <row r="39" spans="1:58" ht="15.75" customHeight="1">
      <c r="A39" s="1190"/>
      <c r="B39" s="2162" t="s">
        <v>2414</v>
      </c>
      <c r="C39" s="2163"/>
      <c r="D39" s="2163"/>
      <c r="E39" s="2163"/>
      <c r="F39" s="2163"/>
      <c r="G39" s="2163"/>
      <c r="H39" s="2163"/>
      <c r="I39" s="2163"/>
      <c r="J39" s="2227"/>
      <c r="K39" s="2227"/>
      <c r="L39" s="2227"/>
      <c r="M39" s="2227"/>
      <c r="N39" s="2227"/>
      <c r="O39" s="2227"/>
      <c r="P39" s="2227"/>
      <c r="Q39" s="2227"/>
      <c r="R39" s="2228"/>
      <c r="S39" s="2228"/>
      <c r="T39" s="2228"/>
      <c r="U39" s="2228"/>
      <c r="V39" s="2228"/>
      <c r="W39" s="2228"/>
      <c r="X39" s="2228"/>
      <c r="Y39" s="2228"/>
      <c r="Z39" s="2228"/>
      <c r="AA39" s="2228"/>
      <c r="AB39" s="2228"/>
      <c r="AC39" s="2228"/>
      <c r="AD39" s="2228"/>
      <c r="AE39" s="2228"/>
      <c r="AF39" s="2228"/>
      <c r="AG39" s="2228"/>
      <c r="AH39" s="2228"/>
      <c r="AI39" s="2228"/>
      <c r="AJ39" s="2228"/>
      <c r="AK39" s="2228"/>
      <c r="AL39" s="2212"/>
      <c r="AM39" s="2213"/>
      <c r="AN39" s="2213"/>
      <c r="AO39" s="2214"/>
      <c r="AP39" s="2212"/>
      <c r="AQ39" s="2213"/>
      <c r="AR39" s="2214"/>
      <c r="AS39" s="2215">
        <f t="shared" si="2"/>
        <v>0</v>
      </c>
      <c r="AT39" s="2216"/>
      <c r="AU39" s="2216"/>
      <c r="AV39" s="2216"/>
      <c r="AW39" s="2216"/>
      <c r="AX39" s="2217"/>
      <c r="AY39" s="2218">
        <f t="shared" si="3"/>
        <v>0</v>
      </c>
      <c r="AZ39" s="2219"/>
      <c r="BA39" s="2219"/>
      <c r="BB39" s="2219"/>
      <c r="BC39" s="2219"/>
      <c r="BD39" s="2220"/>
      <c r="BE39" s="1194"/>
    </row>
    <row r="40" spans="1:58" ht="15.75" customHeight="1">
      <c r="A40" s="1190"/>
      <c r="B40" s="2162" t="s">
        <v>2414</v>
      </c>
      <c r="C40" s="2163"/>
      <c r="D40" s="2163"/>
      <c r="E40" s="2163"/>
      <c r="F40" s="2163"/>
      <c r="G40" s="2163"/>
      <c r="H40" s="2163"/>
      <c r="I40" s="2163"/>
      <c r="J40" s="2227"/>
      <c r="K40" s="2227"/>
      <c r="L40" s="2227"/>
      <c r="M40" s="2227"/>
      <c r="N40" s="2227"/>
      <c r="O40" s="2227"/>
      <c r="P40" s="2227"/>
      <c r="Q40" s="2227"/>
      <c r="R40" s="2228"/>
      <c r="S40" s="2228"/>
      <c r="T40" s="2228"/>
      <c r="U40" s="2228"/>
      <c r="V40" s="2228"/>
      <c r="W40" s="2228"/>
      <c r="X40" s="2228"/>
      <c r="Y40" s="2228"/>
      <c r="Z40" s="2228"/>
      <c r="AA40" s="2228"/>
      <c r="AB40" s="2228"/>
      <c r="AC40" s="2228"/>
      <c r="AD40" s="2228"/>
      <c r="AE40" s="2228"/>
      <c r="AF40" s="2228"/>
      <c r="AG40" s="2228"/>
      <c r="AH40" s="2228"/>
      <c r="AI40" s="2228"/>
      <c r="AJ40" s="2228"/>
      <c r="AK40" s="2228"/>
      <c r="AL40" s="2212"/>
      <c r="AM40" s="2213"/>
      <c r="AN40" s="2213"/>
      <c r="AO40" s="2214"/>
      <c r="AP40" s="2212"/>
      <c r="AQ40" s="2213"/>
      <c r="AR40" s="2214"/>
      <c r="AS40" s="2215">
        <f t="shared" si="2"/>
        <v>0</v>
      </c>
      <c r="AT40" s="2216"/>
      <c r="AU40" s="2216"/>
      <c r="AV40" s="2216"/>
      <c r="AW40" s="2216"/>
      <c r="AX40" s="2217"/>
      <c r="AY40" s="2218">
        <f t="shared" si="3"/>
        <v>0</v>
      </c>
      <c r="AZ40" s="2219"/>
      <c r="BA40" s="2219"/>
      <c r="BB40" s="2219"/>
      <c r="BC40" s="2219"/>
      <c r="BD40" s="2220"/>
      <c r="BE40" s="1194"/>
    </row>
    <row r="41" spans="1:58" ht="15.75" customHeight="1">
      <c r="A41" s="1190"/>
      <c r="B41" s="2162" t="s">
        <v>2413</v>
      </c>
      <c r="C41" s="2163"/>
      <c r="D41" s="2163"/>
      <c r="E41" s="2163"/>
      <c r="F41" s="2163"/>
      <c r="G41" s="2163"/>
      <c r="H41" s="2163"/>
      <c r="I41" s="2163"/>
      <c r="J41" s="2227" t="s">
        <v>2415</v>
      </c>
      <c r="K41" s="2227"/>
      <c r="L41" s="2227"/>
      <c r="M41" s="2227"/>
      <c r="N41" s="2227">
        <v>55</v>
      </c>
      <c r="O41" s="2227"/>
      <c r="P41" s="2227"/>
      <c r="Q41" s="2227"/>
      <c r="R41" s="2228">
        <v>14</v>
      </c>
      <c r="S41" s="2228"/>
      <c r="T41" s="2228"/>
      <c r="U41" s="2228"/>
      <c r="V41" s="2228"/>
      <c r="W41" s="2228"/>
      <c r="X41" s="2228"/>
      <c r="Y41" s="2228"/>
      <c r="Z41" s="2228">
        <v>49</v>
      </c>
      <c r="AA41" s="2228"/>
      <c r="AB41" s="2228"/>
      <c r="AC41" s="2228"/>
      <c r="AD41" s="2228"/>
      <c r="AE41" s="2228"/>
      <c r="AF41" s="2228"/>
      <c r="AG41" s="2228"/>
      <c r="AH41" s="2228">
        <v>61</v>
      </c>
      <c r="AI41" s="2228"/>
      <c r="AJ41" s="2228"/>
      <c r="AK41" s="2228"/>
      <c r="AL41" s="2212"/>
      <c r="AM41" s="2213"/>
      <c r="AN41" s="2213"/>
      <c r="AO41" s="2214"/>
      <c r="AP41" s="2212"/>
      <c r="AQ41" s="2213"/>
      <c r="AR41" s="2214"/>
      <c r="AS41" s="2215">
        <f t="shared" si="2"/>
        <v>124</v>
      </c>
      <c r="AT41" s="2216"/>
      <c r="AU41" s="2216"/>
      <c r="AV41" s="2216"/>
      <c r="AW41" s="2216"/>
      <c r="AX41" s="2217"/>
      <c r="AY41" s="2218">
        <f t="shared" si="3"/>
        <v>0.99199999999999999</v>
      </c>
      <c r="AZ41" s="2219"/>
      <c r="BA41" s="2219"/>
      <c r="BB41" s="2219"/>
      <c r="BC41" s="2219"/>
      <c r="BD41" s="2220"/>
      <c r="BE41" s="1194"/>
    </row>
    <row r="42" spans="1:58" ht="15.75" customHeight="1">
      <c r="A42" s="1190"/>
      <c r="B42" s="2162" t="s">
        <v>2413</v>
      </c>
      <c r="C42" s="2163"/>
      <c r="D42" s="2163"/>
      <c r="E42" s="2163"/>
      <c r="F42" s="2163"/>
      <c r="G42" s="2163"/>
      <c r="H42" s="2163"/>
      <c r="I42" s="2163"/>
      <c r="J42" s="2227"/>
      <c r="K42" s="2227"/>
      <c r="L42" s="2227"/>
      <c r="M42" s="2227"/>
      <c r="N42" s="2227"/>
      <c r="O42" s="2227"/>
      <c r="P42" s="2227"/>
      <c r="Q42" s="2227"/>
      <c r="R42" s="2228"/>
      <c r="S42" s="2228"/>
      <c r="T42" s="2228"/>
      <c r="U42" s="2228"/>
      <c r="V42" s="2228"/>
      <c r="W42" s="2228"/>
      <c r="X42" s="2228"/>
      <c r="Y42" s="2228"/>
      <c r="Z42" s="2228"/>
      <c r="AA42" s="2228"/>
      <c r="AB42" s="2228"/>
      <c r="AC42" s="2228"/>
      <c r="AD42" s="2228"/>
      <c r="AE42" s="2228"/>
      <c r="AF42" s="2228"/>
      <c r="AG42" s="2228"/>
      <c r="AH42" s="2228"/>
      <c r="AI42" s="2228"/>
      <c r="AJ42" s="2228"/>
      <c r="AK42" s="2228"/>
      <c r="AL42" s="2212"/>
      <c r="AM42" s="2213"/>
      <c r="AN42" s="2213"/>
      <c r="AO42" s="2214"/>
      <c r="AP42" s="2212"/>
      <c r="AQ42" s="2213"/>
      <c r="AR42" s="2214"/>
      <c r="AS42" s="2215">
        <f t="shared" si="2"/>
        <v>0</v>
      </c>
      <c r="AT42" s="2216"/>
      <c r="AU42" s="2216"/>
      <c r="AV42" s="2216"/>
      <c r="AW42" s="2216"/>
      <c r="AX42" s="2217"/>
      <c r="AY42" s="2218">
        <f t="shared" si="3"/>
        <v>0</v>
      </c>
      <c r="AZ42" s="2219"/>
      <c r="BA42" s="2219"/>
      <c r="BB42" s="2219"/>
      <c r="BC42" s="2219"/>
      <c r="BD42" s="2220"/>
      <c r="BE42" s="1194"/>
    </row>
    <row r="43" spans="1:58" ht="15.75" customHeight="1">
      <c r="A43" s="1190"/>
      <c r="B43" s="2167" t="s">
        <v>2412</v>
      </c>
      <c r="C43" s="2168"/>
      <c r="D43" s="2168"/>
      <c r="E43" s="2168"/>
      <c r="F43" s="2168"/>
      <c r="G43" s="2168"/>
      <c r="H43" s="2168"/>
      <c r="I43" s="2168"/>
      <c r="J43" s="2227"/>
      <c r="K43" s="2227"/>
      <c r="L43" s="2227"/>
      <c r="M43" s="2227"/>
      <c r="N43" s="2227"/>
      <c r="O43" s="2227"/>
      <c r="P43" s="2227"/>
      <c r="Q43" s="2227"/>
      <c r="R43" s="2228"/>
      <c r="S43" s="2228"/>
      <c r="T43" s="2228"/>
      <c r="U43" s="2228"/>
      <c r="V43" s="2228"/>
      <c r="W43" s="2228"/>
      <c r="X43" s="2228"/>
      <c r="Y43" s="2228"/>
      <c r="Z43" s="2228"/>
      <c r="AA43" s="2228"/>
      <c r="AB43" s="2228"/>
      <c r="AC43" s="2228"/>
      <c r="AD43" s="2228"/>
      <c r="AE43" s="2228"/>
      <c r="AF43" s="2228"/>
      <c r="AG43" s="2228"/>
      <c r="AH43" s="2228"/>
      <c r="AI43" s="2228"/>
      <c r="AJ43" s="2228"/>
      <c r="AK43" s="2228"/>
      <c r="AL43" s="2212"/>
      <c r="AM43" s="2213"/>
      <c r="AN43" s="2213"/>
      <c r="AO43" s="2214"/>
      <c r="AP43" s="2212"/>
      <c r="AQ43" s="2213"/>
      <c r="AR43" s="2214"/>
      <c r="AS43" s="2215">
        <f t="shared" si="2"/>
        <v>0</v>
      </c>
      <c r="AT43" s="2216"/>
      <c r="AU43" s="2216"/>
      <c r="AV43" s="2216"/>
      <c r="AW43" s="2216"/>
      <c r="AX43" s="2217"/>
      <c r="AY43" s="2218">
        <f t="shared" si="3"/>
        <v>0</v>
      </c>
      <c r="AZ43" s="2219"/>
      <c r="BA43" s="2219"/>
      <c r="BB43" s="2219"/>
      <c r="BC43" s="2219"/>
      <c r="BD43" s="2220"/>
      <c r="BE43" s="1194"/>
    </row>
    <row r="44" spans="1:58" ht="15.75" customHeight="1">
      <c r="A44" s="1190"/>
      <c r="B44" s="2167" t="s">
        <v>2411</v>
      </c>
      <c r="C44" s="2168"/>
      <c r="D44" s="2168"/>
      <c r="E44" s="2168"/>
      <c r="F44" s="2168"/>
      <c r="G44" s="2168"/>
      <c r="H44" s="2168"/>
      <c r="I44" s="2168"/>
      <c r="J44" s="2227"/>
      <c r="K44" s="2227"/>
      <c r="L44" s="2227"/>
      <c r="M44" s="2227"/>
      <c r="N44" s="2227"/>
      <c r="O44" s="2227"/>
      <c r="P44" s="2227"/>
      <c r="Q44" s="2227"/>
      <c r="R44" s="2228"/>
      <c r="S44" s="2228"/>
      <c r="T44" s="2228"/>
      <c r="U44" s="2228"/>
      <c r="V44" s="2228"/>
      <c r="W44" s="2228"/>
      <c r="X44" s="2228"/>
      <c r="Y44" s="2228"/>
      <c r="Z44" s="2228"/>
      <c r="AA44" s="2228"/>
      <c r="AB44" s="2228"/>
      <c r="AC44" s="2228"/>
      <c r="AD44" s="2228"/>
      <c r="AE44" s="2228"/>
      <c r="AF44" s="2228"/>
      <c r="AG44" s="2228"/>
      <c r="AH44" s="2228"/>
      <c r="AI44" s="2228"/>
      <c r="AJ44" s="2228"/>
      <c r="AK44" s="2228"/>
      <c r="AL44" s="2212"/>
      <c r="AM44" s="2213"/>
      <c r="AN44" s="2213"/>
      <c r="AO44" s="2214"/>
      <c r="AP44" s="2212"/>
      <c r="AQ44" s="2213"/>
      <c r="AR44" s="2214"/>
      <c r="AS44" s="2215">
        <f t="shared" si="2"/>
        <v>0</v>
      </c>
      <c r="AT44" s="2216"/>
      <c r="AU44" s="2216"/>
      <c r="AV44" s="2216"/>
      <c r="AW44" s="2216"/>
      <c r="AX44" s="2217"/>
      <c r="AY44" s="2218">
        <f t="shared" si="3"/>
        <v>0</v>
      </c>
      <c r="AZ44" s="2219"/>
      <c r="BA44" s="2219"/>
      <c r="BB44" s="2219"/>
      <c r="BC44" s="2219"/>
      <c r="BD44" s="2220"/>
      <c r="BE44" s="1194"/>
    </row>
    <row r="45" spans="1:58" ht="15.75" customHeight="1">
      <c r="A45" s="1190"/>
      <c r="B45" s="2167" t="s">
        <v>2410</v>
      </c>
      <c r="C45" s="2168"/>
      <c r="D45" s="2168"/>
      <c r="E45" s="2168"/>
      <c r="F45" s="2168"/>
      <c r="G45" s="2168"/>
      <c r="H45" s="2168"/>
      <c r="I45" s="2168"/>
      <c r="J45" s="2227"/>
      <c r="K45" s="2227"/>
      <c r="L45" s="2227"/>
      <c r="M45" s="2227"/>
      <c r="N45" s="2227"/>
      <c r="O45" s="2227"/>
      <c r="P45" s="2227"/>
      <c r="Q45" s="2227"/>
      <c r="R45" s="2228"/>
      <c r="S45" s="2228"/>
      <c r="T45" s="2228"/>
      <c r="U45" s="2228"/>
      <c r="V45" s="2228"/>
      <c r="W45" s="2228"/>
      <c r="X45" s="2228"/>
      <c r="Y45" s="2228"/>
      <c r="Z45" s="2228"/>
      <c r="AA45" s="2228"/>
      <c r="AB45" s="2228"/>
      <c r="AC45" s="2228"/>
      <c r="AD45" s="2228"/>
      <c r="AE45" s="2228"/>
      <c r="AF45" s="2228"/>
      <c r="AG45" s="2228"/>
      <c r="AH45" s="2228"/>
      <c r="AI45" s="2228"/>
      <c r="AJ45" s="2228"/>
      <c r="AK45" s="2228"/>
      <c r="AL45" s="2212"/>
      <c r="AM45" s="2213"/>
      <c r="AN45" s="2213"/>
      <c r="AO45" s="2214"/>
      <c r="AP45" s="2212"/>
      <c r="AQ45" s="2213"/>
      <c r="AR45" s="2214"/>
      <c r="AS45" s="2215">
        <f t="shared" si="2"/>
        <v>0</v>
      </c>
      <c r="AT45" s="2216"/>
      <c r="AU45" s="2216"/>
      <c r="AV45" s="2216"/>
      <c r="AW45" s="2216"/>
      <c r="AX45" s="2217"/>
      <c r="AY45" s="2218">
        <f t="shared" si="3"/>
        <v>0</v>
      </c>
      <c r="AZ45" s="2219"/>
      <c r="BA45" s="2219"/>
      <c r="BB45" s="2219"/>
      <c r="BC45" s="2219"/>
      <c r="BD45" s="2220"/>
      <c r="BE45" s="1194"/>
    </row>
    <row r="46" spans="1:58" ht="15.75" customHeight="1">
      <c r="A46" s="1190"/>
      <c r="B46" s="2167" t="s">
        <v>2337</v>
      </c>
      <c r="C46" s="2168"/>
      <c r="D46" s="2168"/>
      <c r="E46" s="2168"/>
      <c r="F46" s="2168"/>
      <c r="G46" s="2168"/>
      <c r="H46" s="2168"/>
      <c r="I46" s="2168"/>
      <c r="J46" s="2227"/>
      <c r="K46" s="2227"/>
      <c r="L46" s="2227"/>
      <c r="M46" s="2227"/>
      <c r="N46" s="2227"/>
      <c r="O46" s="2227"/>
      <c r="P46" s="2227"/>
      <c r="Q46" s="2227"/>
      <c r="R46" s="2228"/>
      <c r="S46" s="2228"/>
      <c r="T46" s="2228"/>
      <c r="U46" s="2228"/>
      <c r="V46" s="2228"/>
      <c r="W46" s="2228"/>
      <c r="X46" s="2228"/>
      <c r="Y46" s="2228"/>
      <c r="Z46" s="2228"/>
      <c r="AA46" s="2228"/>
      <c r="AB46" s="2228"/>
      <c r="AC46" s="2228"/>
      <c r="AD46" s="2228"/>
      <c r="AE46" s="2228"/>
      <c r="AF46" s="2228"/>
      <c r="AG46" s="2228"/>
      <c r="AH46" s="2228"/>
      <c r="AI46" s="2228"/>
      <c r="AJ46" s="2228"/>
      <c r="AK46" s="2228"/>
      <c r="AL46" s="2212"/>
      <c r="AM46" s="2213"/>
      <c r="AN46" s="2213"/>
      <c r="AO46" s="2214"/>
      <c r="AP46" s="2212"/>
      <c r="AQ46" s="2213"/>
      <c r="AR46" s="2214"/>
      <c r="AS46" s="2215">
        <f t="shared" si="2"/>
        <v>0</v>
      </c>
      <c r="AT46" s="2216"/>
      <c r="AU46" s="2216"/>
      <c r="AV46" s="2216"/>
      <c r="AW46" s="2216"/>
      <c r="AX46" s="2217"/>
      <c r="AY46" s="2218">
        <f t="shared" si="3"/>
        <v>0</v>
      </c>
      <c r="AZ46" s="2219"/>
      <c r="BA46" s="2219"/>
      <c r="BB46" s="2219"/>
      <c r="BC46" s="2219"/>
      <c r="BD46" s="2220"/>
      <c r="BE46" s="1194"/>
    </row>
    <row r="47" spans="1:58" ht="15.75" customHeight="1" thickBot="1">
      <c r="A47" s="1190"/>
      <c r="B47" s="2221" t="s">
        <v>299</v>
      </c>
      <c r="C47" s="2222"/>
      <c r="D47" s="2222"/>
      <c r="E47" s="2222"/>
      <c r="F47" s="2222"/>
      <c r="G47" s="2222"/>
      <c r="H47" s="2222"/>
      <c r="I47" s="2222"/>
      <c r="J47" s="2223"/>
      <c r="K47" s="2223"/>
      <c r="L47" s="2223"/>
      <c r="M47" s="2223"/>
      <c r="N47" s="2223"/>
      <c r="O47" s="2223"/>
      <c r="P47" s="2223"/>
      <c r="Q47" s="2223"/>
      <c r="R47" s="2208"/>
      <c r="S47" s="2208"/>
      <c r="T47" s="2208"/>
      <c r="U47" s="2208"/>
      <c r="V47" s="2208"/>
      <c r="W47" s="2208"/>
      <c r="X47" s="2208"/>
      <c r="Y47" s="2208"/>
      <c r="Z47" s="2208"/>
      <c r="AA47" s="2208"/>
      <c r="AB47" s="2208"/>
      <c r="AC47" s="2208"/>
      <c r="AD47" s="2208"/>
      <c r="AE47" s="2208"/>
      <c r="AF47" s="2208"/>
      <c r="AG47" s="2208"/>
      <c r="AH47" s="2208"/>
      <c r="AI47" s="2208"/>
      <c r="AJ47" s="2208"/>
      <c r="AK47" s="2208"/>
      <c r="AL47" s="2209"/>
      <c r="AM47" s="2210"/>
      <c r="AN47" s="2210"/>
      <c r="AO47" s="2211"/>
      <c r="AP47" s="2209"/>
      <c r="AQ47" s="2210"/>
      <c r="AR47" s="2211"/>
      <c r="AS47" s="2215">
        <f t="shared" si="2"/>
        <v>0</v>
      </c>
      <c r="AT47" s="2216"/>
      <c r="AU47" s="2216"/>
      <c r="AV47" s="2216"/>
      <c r="AW47" s="2216"/>
      <c r="AX47" s="2217"/>
      <c r="AY47" s="2224">
        <f t="shared" si="3"/>
        <v>0</v>
      </c>
      <c r="AZ47" s="2225"/>
      <c r="BA47" s="2225"/>
      <c r="BB47" s="2225"/>
      <c r="BC47" s="2225"/>
      <c r="BD47" s="2226"/>
      <c r="BE47" s="1194"/>
    </row>
    <row r="48" spans="1:58" ht="15.75" customHeight="1">
      <c r="A48" s="1190"/>
      <c r="B48" s="1196" t="s">
        <v>2409</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2408</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2" t="s">
        <v>2407</v>
      </c>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2028"/>
      <c r="AI50" s="2028"/>
      <c r="AJ50" s="2028"/>
      <c r="AK50" s="2028"/>
      <c r="AL50" s="2028"/>
      <c r="AM50" s="2028"/>
      <c r="AN50" s="2028"/>
      <c r="AO50" s="202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7" t="s">
        <v>2401</v>
      </c>
      <c r="C51" s="2106"/>
      <c r="D51" s="2106"/>
      <c r="E51" s="2106"/>
      <c r="F51" s="2106"/>
      <c r="G51" s="2106"/>
      <c r="H51" s="2106"/>
      <c r="I51" s="2106"/>
      <c r="J51" s="2106" t="s">
        <v>2406</v>
      </c>
      <c r="K51" s="2106"/>
      <c r="L51" s="2106"/>
      <c r="M51" s="2106"/>
      <c r="N51" s="2106"/>
      <c r="O51" s="2106"/>
      <c r="P51" s="2106"/>
      <c r="Q51" s="2106"/>
      <c r="R51" s="2206" t="s">
        <v>2405</v>
      </c>
      <c r="S51" s="2206"/>
      <c r="T51" s="2206"/>
      <c r="U51" s="2206"/>
      <c r="V51" s="2206"/>
      <c r="W51" s="2206"/>
      <c r="X51" s="2206"/>
      <c r="Y51" s="2206"/>
      <c r="Z51" s="2206" t="s">
        <v>2404</v>
      </c>
      <c r="AA51" s="2206"/>
      <c r="AB51" s="2206"/>
      <c r="AC51" s="2206"/>
      <c r="AD51" s="2206"/>
      <c r="AE51" s="2206"/>
      <c r="AF51" s="2206"/>
      <c r="AG51" s="2206"/>
      <c r="AH51" s="2206" t="s">
        <v>2403</v>
      </c>
      <c r="AI51" s="2206"/>
      <c r="AJ51" s="2206"/>
      <c r="AK51" s="2206"/>
      <c r="AL51" s="2206"/>
      <c r="AM51" s="2206"/>
      <c r="AN51" s="2206"/>
      <c r="AO51" s="2207"/>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7" t="s">
        <v>2765</v>
      </c>
      <c r="C52" s="2168"/>
      <c r="D52" s="2168"/>
      <c r="E52" s="2168"/>
      <c r="F52" s="2168"/>
      <c r="G52" s="2168"/>
      <c r="H52" s="2168"/>
      <c r="I52" s="2168"/>
      <c r="J52" s="1989">
        <v>15</v>
      </c>
      <c r="K52" s="1989"/>
      <c r="L52" s="1989"/>
      <c r="M52" s="1989"/>
      <c r="N52" s="1989"/>
      <c r="O52" s="1989"/>
      <c r="P52" s="1989"/>
      <c r="Q52" s="1989"/>
      <c r="R52" s="2198">
        <v>30000</v>
      </c>
      <c r="S52" s="2198"/>
      <c r="T52" s="2198"/>
      <c r="U52" s="2198"/>
      <c r="V52" s="2198"/>
      <c r="W52" s="2198"/>
      <c r="X52" s="2198"/>
      <c r="Y52" s="2198"/>
      <c r="Z52" s="2199">
        <v>15</v>
      </c>
      <c r="AA52" s="2199"/>
      <c r="AB52" s="2199"/>
      <c r="AC52" s="2199"/>
      <c r="AD52" s="2199"/>
      <c r="AE52" s="2199"/>
      <c r="AF52" s="2199"/>
      <c r="AG52" s="2199"/>
      <c r="AH52" s="2200" t="s">
        <v>2766</v>
      </c>
      <c r="AI52" s="2200"/>
      <c r="AJ52" s="2200"/>
      <c r="AK52" s="2200"/>
      <c r="AL52" s="2200"/>
      <c r="AM52" s="2200"/>
      <c r="AN52" s="2200"/>
      <c r="AO52" s="2201"/>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7" t="s">
        <v>2402</v>
      </c>
      <c r="C53" s="2168"/>
      <c r="D53" s="2168"/>
      <c r="E53" s="2168"/>
      <c r="F53" s="2168"/>
      <c r="G53" s="2168"/>
      <c r="H53" s="2168"/>
      <c r="I53" s="2168"/>
      <c r="J53" s="1989">
        <v>0</v>
      </c>
      <c r="K53" s="1989"/>
      <c r="L53" s="1989"/>
      <c r="M53" s="1989"/>
      <c r="N53" s="1989"/>
      <c r="O53" s="1989"/>
      <c r="P53" s="1989"/>
      <c r="Q53" s="1989"/>
      <c r="R53" s="2198">
        <v>0</v>
      </c>
      <c r="S53" s="2198"/>
      <c r="T53" s="2198"/>
      <c r="U53" s="2198"/>
      <c r="V53" s="2198"/>
      <c r="W53" s="2198"/>
      <c r="X53" s="2198"/>
      <c r="Y53" s="2198"/>
      <c r="Z53" s="2199">
        <v>0</v>
      </c>
      <c r="AA53" s="2199"/>
      <c r="AB53" s="2199"/>
      <c r="AC53" s="2199"/>
      <c r="AD53" s="2199"/>
      <c r="AE53" s="2199"/>
      <c r="AF53" s="2199"/>
      <c r="AG53" s="2199"/>
      <c r="AH53" s="2200"/>
      <c r="AI53" s="2200"/>
      <c r="AJ53" s="2200"/>
      <c r="AK53" s="2200"/>
      <c r="AL53" s="2200"/>
      <c r="AM53" s="2200"/>
      <c r="AN53" s="2200"/>
      <c r="AO53" s="2201"/>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7"/>
      <c r="C54" s="2168"/>
      <c r="D54" s="2168"/>
      <c r="E54" s="2168"/>
      <c r="F54" s="2168"/>
      <c r="G54" s="2168"/>
      <c r="H54" s="2168"/>
      <c r="I54" s="2168"/>
      <c r="J54" s="1989"/>
      <c r="K54" s="1989"/>
      <c r="L54" s="1989"/>
      <c r="M54" s="1989"/>
      <c r="N54" s="1989"/>
      <c r="O54" s="1989"/>
      <c r="P54" s="1989"/>
      <c r="Q54" s="1989"/>
      <c r="R54" s="2198"/>
      <c r="S54" s="2198"/>
      <c r="T54" s="2198"/>
      <c r="U54" s="2198"/>
      <c r="V54" s="2198"/>
      <c r="W54" s="2198"/>
      <c r="X54" s="2198"/>
      <c r="Y54" s="2198"/>
      <c r="Z54" s="2199"/>
      <c r="AA54" s="2199"/>
      <c r="AB54" s="2199"/>
      <c r="AC54" s="2199"/>
      <c r="AD54" s="2199"/>
      <c r="AE54" s="2199"/>
      <c r="AF54" s="2199"/>
      <c r="AG54" s="2199"/>
      <c r="AH54" s="2200"/>
      <c r="AI54" s="2200"/>
      <c r="AJ54" s="2200"/>
      <c r="AK54" s="2200"/>
      <c r="AL54" s="2200"/>
      <c r="AM54" s="2200"/>
      <c r="AN54" s="2200"/>
      <c r="AO54" s="2201"/>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7"/>
      <c r="C55" s="2168"/>
      <c r="D55" s="2168"/>
      <c r="E55" s="2168"/>
      <c r="F55" s="2168"/>
      <c r="G55" s="2168"/>
      <c r="H55" s="2168"/>
      <c r="I55" s="2168"/>
      <c r="J55" s="1989"/>
      <c r="K55" s="1989"/>
      <c r="L55" s="1989"/>
      <c r="M55" s="1989"/>
      <c r="N55" s="1989"/>
      <c r="O55" s="1989"/>
      <c r="P55" s="1989"/>
      <c r="Q55" s="1989"/>
      <c r="R55" s="2198"/>
      <c r="S55" s="2198"/>
      <c r="T55" s="2198"/>
      <c r="U55" s="2198"/>
      <c r="V55" s="2198"/>
      <c r="W55" s="2198"/>
      <c r="X55" s="2198"/>
      <c r="Y55" s="2198"/>
      <c r="Z55" s="2199"/>
      <c r="AA55" s="2199"/>
      <c r="AB55" s="2199"/>
      <c r="AC55" s="2199"/>
      <c r="AD55" s="2199"/>
      <c r="AE55" s="2199"/>
      <c r="AF55" s="2199"/>
      <c r="AG55" s="2199"/>
      <c r="AH55" s="2200"/>
      <c r="AI55" s="2200"/>
      <c r="AJ55" s="2200"/>
      <c r="AK55" s="2200"/>
      <c r="AL55" s="2200"/>
      <c r="AM55" s="2200"/>
      <c r="AN55" s="2200"/>
      <c r="AO55" s="2201"/>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7"/>
      <c r="C56" s="2168"/>
      <c r="D56" s="2168"/>
      <c r="E56" s="2168"/>
      <c r="F56" s="2168"/>
      <c r="G56" s="2168"/>
      <c r="H56" s="2168"/>
      <c r="I56" s="2168"/>
      <c r="J56" s="1989"/>
      <c r="K56" s="1989"/>
      <c r="L56" s="1989"/>
      <c r="M56" s="1989"/>
      <c r="N56" s="1989"/>
      <c r="O56" s="1989"/>
      <c r="P56" s="1989"/>
      <c r="Q56" s="1989"/>
      <c r="R56" s="2198"/>
      <c r="S56" s="2198"/>
      <c r="T56" s="2198"/>
      <c r="U56" s="2198"/>
      <c r="V56" s="2198"/>
      <c r="W56" s="2198"/>
      <c r="X56" s="2198"/>
      <c r="Y56" s="2198"/>
      <c r="Z56" s="2199"/>
      <c r="AA56" s="2199"/>
      <c r="AB56" s="2199"/>
      <c r="AC56" s="2199"/>
      <c r="AD56" s="2199"/>
      <c r="AE56" s="2199"/>
      <c r="AF56" s="2199"/>
      <c r="AG56" s="2199"/>
      <c r="AH56" s="2200"/>
      <c r="AI56" s="2200"/>
      <c r="AJ56" s="2200"/>
      <c r="AK56" s="2200"/>
      <c r="AL56" s="2200"/>
      <c r="AM56" s="2200"/>
      <c r="AN56" s="2200"/>
      <c r="AO56" s="2201"/>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5" t="s">
        <v>1586</v>
      </c>
      <c r="C57" s="2136"/>
      <c r="D57" s="2136"/>
      <c r="E57" s="2136"/>
      <c r="F57" s="2136"/>
      <c r="G57" s="2136"/>
      <c r="H57" s="2136"/>
      <c r="I57" s="2136"/>
      <c r="J57" s="2136"/>
      <c r="K57" s="2136"/>
      <c r="L57" s="2136"/>
      <c r="M57" s="2136"/>
      <c r="N57" s="2136"/>
      <c r="O57" s="2136"/>
      <c r="P57" s="2136"/>
      <c r="Q57" s="2136"/>
      <c r="R57" s="2202">
        <f>SUM(R52:Y56)</f>
        <v>30000</v>
      </c>
      <c r="S57" s="2202"/>
      <c r="T57" s="2202"/>
      <c r="U57" s="2202"/>
      <c r="V57" s="2202"/>
      <c r="W57" s="2202"/>
      <c r="X57" s="2202"/>
      <c r="Y57" s="2202"/>
      <c r="Z57" s="2203">
        <f>SUM(Z52:AG56)</f>
        <v>15</v>
      </c>
      <c r="AA57" s="2203"/>
      <c r="AB57" s="2203"/>
      <c r="AC57" s="2203"/>
      <c r="AD57" s="2203"/>
      <c r="AE57" s="2203"/>
      <c r="AF57" s="2203"/>
      <c r="AG57" s="2203"/>
      <c r="AH57" s="2204"/>
      <c r="AI57" s="2204"/>
      <c r="AJ57" s="2204"/>
      <c r="AK57" s="2204"/>
      <c r="AL57" s="2204"/>
      <c r="AM57" s="2204"/>
      <c r="AN57" s="2204"/>
      <c r="AO57" s="2205"/>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5" t="s">
        <v>2401</v>
      </c>
      <c r="C59" s="2196"/>
      <c r="D59" s="2196"/>
      <c r="E59" s="2196"/>
      <c r="F59" s="2196"/>
      <c r="G59" s="2196"/>
      <c r="H59" s="2196"/>
      <c r="I59" s="2197"/>
      <c r="J59" s="2104" t="s">
        <v>2400</v>
      </c>
      <c r="K59" s="2104"/>
      <c r="L59" s="2104"/>
      <c r="M59" s="2104"/>
      <c r="N59" s="2104"/>
      <c r="O59" s="2104"/>
      <c r="P59" s="2104"/>
      <c r="Q59" s="2104"/>
      <c r="R59" s="2104"/>
      <c r="S59" s="2104"/>
      <c r="T59" s="2104"/>
      <c r="U59" s="2104"/>
      <c r="V59" s="2104"/>
      <c r="W59" s="2104"/>
      <c r="X59" s="2104"/>
      <c r="Y59" s="2104"/>
      <c r="Z59" s="2104"/>
      <c r="AA59" s="2104"/>
      <c r="AB59" s="2104"/>
      <c r="AC59" s="2104"/>
      <c r="AD59" s="2104"/>
      <c r="AE59" s="2104"/>
      <c r="AF59" s="2104"/>
      <c r="AG59" s="2104"/>
      <c r="AH59" s="2104"/>
      <c r="AI59" s="2104"/>
      <c r="AJ59" s="2104"/>
      <c r="AK59" s="2104"/>
      <c r="AL59" s="2104"/>
      <c r="AM59" s="2104"/>
      <c r="AN59" s="2104"/>
      <c r="AO59" s="2104"/>
      <c r="AP59" s="2104"/>
      <c r="AQ59" s="2104"/>
      <c r="AR59" s="2104"/>
      <c r="AS59" s="2104"/>
      <c r="AT59" s="2104"/>
      <c r="AU59" s="2104"/>
      <c r="AV59" s="2104"/>
      <c r="AW59" s="2105"/>
      <c r="AX59" s="1190"/>
      <c r="AY59" s="1190"/>
      <c r="AZ59" s="1190"/>
      <c r="BA59" s="1190"/>
      <c r="BB59" s="1190"/>
      <c r="BC59" s="1190"/>
      <c r="BD59" s="1190"/>
      <c r="BE59" s="1194"/>
    </row>
    <row r="60" spans="1:77" ht="15.75" customHeight="1">
      <c r="A60" s="1190"/>
      <c r="B60" s="2187" t="str">
        <f>IF(B52="", "", B52)</f>
        <v xml:space="preserve">Pacific Housing Inc. </v>
      </c>
      <c r="C60" s="2188"/>
      <c r="D60" s="2188"/>
      <c r="E60" s="2188"/>
      <c r="F60" s="2188"/>
      <c r="G60" s="2188"/>
      <c r="H60" s="2188"/>
      <c r="I60" s="2189"/>
      <c r="J60" s="2190" t="s">
        <v>2767</v>
      </c>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c r="AI60" s="1992"/>
      <c r="AJ60" s="1992"/>
      <c r="AK60" s="1992"/>
      <c r="AL60" s="1992"/>
      <c r="AM60" s="1992"/>
      <c r="AN60" s="1992"/>
      <c r="AO60" s="1992"/>
      <c r="AP60" s="1992"/>
      <c r="AQ60" s="1992"/>
      <c r="AR60" s="1992"/>
      <c r="AS60" s="1992"/>
      <c r="AT60" s="1992"/>
      <c r="AU60" s="1992"/>
      <c r="AV60" s="1992"/>
      <c r="AW60" s="1993"/>
      <c r="AX60" s="1190"/>
      <c r="AY60" s="1190"/>
      <c r="AZ60" s="1190"/>
      <c r="BA60" s="1190"/>
      <c r="BB60" s="1190"/>
      <c r="BC60" s="1190"/>
      <c r="BD60" s="1190"/>
      <c r="BE60" s="1194"/>
    </row>
    <row r="61" spans="1:77" ht="15.75" customHeight="1">
      <c r="A61" s="1190"/>
      <c r="B61" s="2187"/>
      <c r="C61" s="2188"/>
      <c r="D61" s="2188"/>
      <c r="E61" s="2188"/>
      <c r="F61" s="2188"/>
      <c r="G61" s="2188"/>
      <c r="H61" s="2188"/>
      <c r="I61" s="2189"/>
      <c r="J61" s="2190" t="s">
        <v>2768</v>
      </c>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c r="AI61" s="1992"/>
      <c r="AJ61" s="1992"/>
      <c r="AK61" s="1992"/>
      <c r="AL61" s="1992"/>
      <c r="AM61" s="1992"/>
      <c r="AN61" s="1992"/>
      <c r="AO61" s="1992"/>
      <c r="AP61" s="1992"/>
      <c r="AQ61" s="1992"/>
      <c r="AR61" s="1992"/>
      <c r="AS61" s="1992"/>
      <c r="AT61" s="1992"/>
      <c r="AU61" s="1992"/>
      <c r="AV61" s="1992"/>
      <c r="AW61" s="1993"/>
      <c r="AX61" s="1190"/>
      <c r="AY61" s="1190"/>
      <c r="AZ61" s="1190"/>
      <c r="BA61" s="1190"/>
      <c r="BB61" s="1190"/>
      <c r="BC61" s="1190"/>
      <c r="BD61" s="1190"/>
      <c r="BE61" s="1194"/>
    </row>
    <row r="62" spans="1:77" ht="15.75" customHeight="1">
      <c r="A62" s="1190"/>
      <c r="B62" s="2187" t="str">
        <f>IF(B54="", "", B54)</f>
        <v/>
      </c>
      <c r="C62" s="2188"/>
      <c r="D62" s="2188"/>
      <c r="E62" s="2188"/>
      <c r="F62" s="2188"/>
      <c r="G62" s="2188"/>
      <c r="H62" s="2188"/>
      <c r="I62" s="2189"/>
      <c r="J62" s="2190" t="s">
        <v>2769</v>
      </c>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c r="AI62" s="1992"/>
      <c r="AJ62" s="1992"/>
      <c r="AK62" s="1992"/>
      <c r="AL62" s="1992"/>
      <c r="AM62" s="1992"/>
      <c r="AN62" s="1992"/>
      <c r="AO62" s="1992"/>
      <c r="AP62" s="1992"/>
      <c r="AQ62" s="1992"/>
      <c r="AR62" s="1992"/>
      <c r="AS62" s="1992"/>
      <c r="AT62" s="1992"/>
      <c r="AU62" s="1992"/>
      <c r="AV62" s="1992"/>
      <c r="AW62" s="1993"/>
      <c r="AX62" s="1190"/>
      <c r="AY62" s="1190"/>
      <c r="AZ62" s="1190"/>
      <c r="BA62" s="1190"/>
      <c r="BB62" s="1190"/>
      <c r="BC62" s="1190"/>
      <c r="BD62" s="1190"/>
      <c r="BE62" s="1194"/>
    </row>
    <row r="63" spans="1:77" ht="15.75" customHeight="1">
      <c r="A63" s="1190"/>
      <c r="B63" s="2187" t="str">
        <f>IF(B55="", "", B55)</f>
        <v/>
      </c>
      <c r="C63" s="2188"/>
      <c r="D63" s="2188"/>
      <c r="E63" s="2188"/>
      <c r="F63" s="2188"/>
      <c r="G63" s="2188"/>
      <c r="H63" s="2188"/>
      <c r="I63" s="2189"/>
      <c r="J63" s="2190"/>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c r="AI63" s="1992"/>
      <c r="AJ63" s="1992"/>
      <c r="AK63" s="1992"/>
      <c r="AL63" s="1992"/>
      <c r="AM63" s="1992"/>
      <c r="AN63" s="1992"/>
      <c r="AO63" s="1992"/>
      <c r="AP63" s="1992"/>
      <c r="AQ63" s="1992"/>
      <c r="AR63" s="1992"/>
      <c r="AS63" s="1992"/>
      <c r="AT63" s="1992"/>
      <c r="AU63" s="1992"/>
      <c r="AV63" s="1992"/>
      <c r="AW63" s="1993"/>
      <c r="AX63" s="1190"/>
      <c r="AY63" s="1190"/>
      <c r="AZ63" s="1190"/>
      <c r="BA63" s="1190"/>
      <c r="BB63" s="1190"/>
      <c r="BC63" s="1190"/>
      <c r="BD63" s="1190"/>
      <c r="BE63" s="1194"/>
    </row>
    <row r="64" spans="1:77" ht="15.75" customHeight="1" thickBot="1">
      <c r="A64" s="1190"/>
      <c r="B64" s="2191" t="str">
        <f>IF(B56="", "", B56)</f>
        <v/>
      </c>
      <c r="C64" s="2192"/>
      <c r="D64" s="2192"/>
      <c r="E64" s="2192"/>
      <c r="F64" s="2192"/>
      <c r="G64" s="2192"/>
      <c r="H64" s="2192"/>
      <c r="I64" s="2193"/>
      <c r="J64" s="2194"/>
      <c r="K64" s="2177"/>
      <c r="L64" s="2177"/>
      <c r="M64" s="2177"/>
      <c r="N64" s="2177"/>
      <c r="O64" s="2177"/>
      <c r="P64" s="2177"/>
      <c r="Q64" s="2177"/>
      <c r="R64" s="2177"/>
      <c r="S64" s="2177"/>
      <c r="T64" s="2177"/>
      <c r="U64" s="2177"/>
      <c r="V64" s="2177"/>
      <c r="W64" s="2177"/>
      <c r="X64" s="2177"/>
      <c r="Y64" s="2177"/>
      <c r="Z64" s="2177"/>
      <c r="AA64" s="2177"/>
      <c r="AB64" s="2177"/>
      <c r="AC64" s="2177"/>
      <c r="AD64" s="2177"/>
      <c r="AE64" s="2177"/>
      <c r="AF64" s="2177"/>
      <c r="AG64" s="2177"/>
      <c r="AH64" s="2177"/>
      <c r="AI64" s="2177"/>
      <c r="AJ64" s="2177"/>
      <c r="AK64" s="2177"/>
      <c r="AL64" s="2177"/>
      <c r="AM64" s="2177"/>
      <c r="AN64" s="2177"/>
      <c r="AO64" s="2177"/>
      <c r="AP64" s="2177"/>
      <c r="AQ64" s="2177"/>
      <c r="AR64" s="2177"/>
      <c r="AS64" s="2177"/>
      <c r="AT64" s="2177"/>
      <c r="AU64" s="2177"/>
      <c r="AV64" s="2177"/>
      <c r="AW64" s="2178"/>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3" t="s">
        <v>2398</v>
      </c>
      <c r="C68" s="2104"/>
      <c r="D68" s="2104"/>
      <c r="E68" s="2104"/>
      <c r="F68" s="2104"/>
      <c r="G68" s="2104"/>
      <c r="H68" s="2104"/>
      <c r="I68" s="2104"/>
      <c r="J68" s="2104"/>
      <c r="K68" s="2104"/>
      <c r="L68" s="2104"/>
      <c r="M68" s="2104"/>
      <c r="N68" s="2104"/>
      <c r="O68" s="2104"/>
      <c r="P68" s="2104"/>
      <c r="Q68" s="2104"/>
      <c r="R68" s="2104"/>
      <c r="S68" s="2104"/>
      <c r="T68" s="2104"/>
      <c r="U68" s="2104"/>
      <c r="V68" s="2104"/>
      <c r="W68" s="2104"/>
      <c r="X68" s="2104"/>
      <c r="Y68" s="2104"/>
      <c r="Z68" s="2104"/>
      <c r="AA68" s="2105"/>
      <c r="AB68" s="1190"/>
      <c r="AC68" s="2026" t="s">
        <v>2397</v>
      </c>
      <c r="AD68" s="2027"/>
      <c r="AE68" s="2027"/>
      <c r="AF68" s="2027"/>
      <c r="AG68" s="2027"/>
      <c r="AH68" s="2027"/>
      <c r="AI68" s="2027"/>
      <c r="AJ68" s="2027"/>
      <c r="AK68" s="2027"/>
      <c r="AL68" s="2027"/>
      <c r="AM68" s="2027"/>
      <c r="AN68" s="2027"/>
      <c r="AO68" s="2027"/>
      <c r="AP68" s="2027"/>
      <c r="AQ68" s="2027"/>
      <c r="AR68" s="2027"/>
      <c r="AS68" s="2027"/>
      <c r="AT68" s="2027"/>
      <c r="AU68" s="2027"/>
      <c r="AV68" s="2179" t="s">
        <v>669</v>
      </c>
      <c r="AW68" s="2084"/>
      <c r="AX68" s="2084"/>
      <c r="AY68" s="2084"/>
      <c r="AZ68" s="2084"/>
      <c r="BA68" s="2084"/>
      <c r="BB68" s="2084"/>
      <c r="BC68" s="2085"/>
      <c r="BD68" s="1190"/>
      <c r="BE68" s="1194"/>
      <c r="BM68" s="1199" t="s">
        <v>2396</v>
      </c>
    </row>
    <row r="69" spans="1:94" ht="15.75" customHeight="1" thickTop="1" thickBot="1">
      <c r="A69" s="1190"/>
      <c r="B69" s="2180" t="s">
        <v>2395</v>
      </c>
      <c r="C69" s="2181"/>
      <c r="D69" s="2181"/>
      <c r="E69" s="2181"/>
      <c r="F69" s="2181"/>
      <c r="G69" s="2181"/>
      <c r="H69" s="2181"/>
      <c r="I69" s="2181"/>
      <c r="J69" s="2181"/>
      <c r="K69" s="2181"/>
      <c r="L69" s="2181"/>
      <c r="M69" s="2181"/>
      <c r="N69" s="2181"/>
      <c r="O69" s="2182" t="s">
        <v>2394</v>
      </c>
      <c r="P69" s="2183"/>
      <c r="Q69" s="2183"/>
      <c r="R69" s="2183"/>
      <c r="S69" s="2183"/>
      <c r="T69" s="2183"/>
      <c r="U69" s="2183"/>
      <c r="V69" s="2183"/>
      <c r="W69" s="2183"/>
      <c r="X69" s="2183"/>
      <c r="Y69" s="2183"/>
      <c r="Z69" s="2183"/>
      <c r="AA69" s="2184"/>
      <c r="AB69" s="1190"/>
      <c r="AC69" s="2185" t="s">
        <v>2393</v>
      </c>
      <c r="AD69" s="2186"/>
      <c r="AE69" s="2186"/>
      <c r="AF69" s="2186"/>
      <c r="AG69" s="2186"/>
      <c r="AH69" s="2186"/>
      <c r="AI69" s="2186"/>
      <c r="AJ69" s="2186"/>
      <c r="AK69" s="2186"/>
      <c r="AL69" s="2186"/>
      <c r="AM69" s="2186"/>
      <c r="AN69" s="2186"/>
      <c r="AO69" s="2186"/>
      <c r="AP69" s="2186"/>
      <c r="AQ69" s="2186"/>
      <c r="AR69" s="2186"/>
      <c r="AS69" s="2186"/>
      <c r="AT69" s="2186"/>
      <c r="AU69" s="2186"/>
      <c r="AV69" s="2179" t="s">
        <v>669</v>
      </c>
      <c r="AW69" s="2084"/>
      <c r="AX69" s="2084"/>
      <c r="AY69" s="2084"/>
      <c r="AZ69" s="2084"/>
      <c r="BA69" s="2084"/>
      <c r="BB69" s="2084"/>
      <c r="BC69" s="2085"/>
      <c r="BD69" s="1190"/>
      <c r="BE69" s="1194"/>
      <c r="BM69" s="1200" t="s">
        <v>545</v>
      </c>
    </row>
    <row r="70" spans="1:94" ht="15.75" customHeight="1">
      <c r="A70" s="1190"/>
      <c r="B70" s="2162" t="s">
        <v>2392</v>
      </c>
      <c r="C70" s="2163"/>
      <c r="D70" s="2163"/>
      <c r="E70" s="2163"/>
      <c r="F70" s="2163"/>
      <c r="G70" s="2163"/>
      <c r="H70" s="2163"/>
      <c r="I70" s="2163"/>
      <c r="J70" s="2163"/>
      <c r="K70" s="2163"/>
      <c r="L70" s="2163"/>
      <c r="M70" s="2163"/>
      <c r="N70" s="2163"/>
      <c r="O70" s="2034">
        <v>0</v>
      </c>
      <c r="P70" s="2034"/>
      <c r="Q70" s="2034"/>
      <c r="R70" s="2034"/>
      <c r="S70" s="2034"/>
      <c r="T70" s="2034"/>
      <c r="U70" s="2034"/>
      <c r="V70" s="2034"/>
      <c r="W70" s="2034"/>
      <c r="X70" s="2034"/>
      <c r="Y70" s="2034"/>
      <c r="Z70" s="2034"/>
      <c r="AA70" s="2164"/>
      <c r="AB70" s="1190"/>
      <c r="AC70" s="2072" t="s">
        <v>2391</v>
      </c>
      <c r="AD70" s="2028"/>
      <c r="AE70" s="2028"/>
      <c r="AF70" s="2173"/>
      <c r="AG70" s="2173"/>
      <c r="AH70" s="2173"/>
      <c r="AI70" s="2173"/>
      <c r="AJ70" s="2173"/>
      <c r="AK70" s="2173"/>
      <c r="AL70" s="2173"/>
      <c r="AM70" s="2173"/>
      <c r="AN70" s="2173"/>
      <c r="AO70" s="2173"/>
      <c r="AP70" s="2173"/>
      <c r="AQ70" s="2173"/>
      <c r="AR70" s="2173"/>
      <c r="AS70" s="2173"/>
      <c r="AT70" s="2173"/>
      <c r="AU70" s="2174"/>
      <c r="AV70" s="1190"/>
      <c r="AW70" s="1190"/>
      <c r="AX70" s="1190"/>
      <c r="AY70" s="1190"/>
      <c r="AZ70" s="1190"/>
      <c r="BA70" s="1190"/>
      <c r="BB70" s="1190"/>
      <c r="BC70" s="1190"/>
      <c r="BD70" s="1190"/>
      <c r="BE70" s="1194"/>
      <c r="BM70" s="1201" t="s">
        <v>669</v>
      </c>
    </row>
    <row r="71" spans="1:94" ht="15.75" customHeight="1" thickBot="1">
      <c r="A71" s="1190"/>
      <c r="B71" s="2162" t="s">
        <v>2390</v>
      </c>
      <c r="C71" s="2163"/>
      <c r="D71" s="2163"/>
      <c r="E71" s="2163"/>
      <c r="F71" s="2163"/>
      <c r="G71" s="2163"/>
      <c r="H71" s="2163"/>
      <c r="I71" s="2163"/>
      <c r="J71" s="2163"/>
      <c r="K71" s="2163"/>
      <c r="L71" s="2163"/>
      <c r="M71" s="2163"/>
      <c r="N71" s="2163"/>
      <c r="O71" s="2034">
        <v>0</v>
      </c>
      <c r="P71" s="2034"/>
      <c r="Q71" s="2034"/>
      <c r="R71" s="2034"/>
      <c r="S71" s="2034"/>
      <c r="T71" s="2034"/>
      <c r="U71" s="2034"/>
      <c r="V71" s="2034"/>
      <c r="W71" s="2034"/>
      <c r="X71" s="2034"/>
      <c r="Y71" s="2034"/>
      <c r="Z71" s="2034"/>
      <c r="AA71" s="2164"/>
      <c r="AB71" s="1190"/>
      <c r="AC71" s="2175" t="s">
        <v>2389</v>
      </c>
      <c r="AD71" s="2176"/>
      <c r="AE71" s="2176"/>
      <c r="AF71" s="2177"/>
      <c r="AG71" s="2177"/>
      <c r="AH71" s="2177"/>
      <c r="AI71" s="2177"/>
      <c r="AJ71" s="2177"/>
      <c r="AK71" s="2177"/>
      <c r="AL71" s="2177"/>
      <c r="AM71" s="2177"/>
      <c r="AN71" s="2177"/>
      <c r="AO71" s="2177"/>
      <c r="AP71" s="2177"/>
      <c r="AQ71" s="2177"/>
      <c r="AR71" s="2177"/>
      <c r="AS71" s="2177"/>
      <c r="AT71" s="2177"/>
      <c r="AU71" s="2178"/>
      <c r="AV71" s="1190"/>
      <c r="AW71" s="1190"/>
      <c r="AX71" s="1190"/>
      <c r="AY71" s="1190"/>
      <c r="AZ71" s="1190"/>
      <c r="BA71" s="1190"/>
      <c r="BB71" s="1190"/>
      <c r="BC71" s="1190"/>
      <c r="BD71" s="1190"/>
      <c r="BE71" s="1194"/>
      <c r="BM71" s="1187" t="s">
        <v>2388</v>
      </c>
    </row>
    <row r="72" spans="1:94" ht="15.75" customHeight="1">
      <c r="A72" s="1190"/>
      <c r="B72" s="2162" t="s">
        <v>2387</v>
      </c>
      <c r="C72" s="2163"/>
      <c r="D72" s="2163"/>
      <c r="E72" s="2163"/>
      <c r="F72" s="2163"/>
      <c r="G72" s="2163"/>
      <c r="H72" s="2163"/>
      <c r="I72" s="2163"/>
      <c r="J72" s="2163"/>
      <c r="K72" s="2163"/>
      <c r="L72" s="2163"/>
      <c r="M72" s="2163"/>
      <c r="N72" s="2163"/>
      <c r="O72" s="2034">
        <v>0</v>
      </c>
      <c r="P72" s="2034"/>
      <c r="Q72" s="2034"/>
      <c r="R72" s="2034"/>
      <c r="S72" s="2034"/>
      <c r="T72" s="2034"/>
      <c r="U72" s="2034"/>
      <c r="V72" s="2034"/>
      <c r="W72" s="2034"/>
      <c r="X72" s="2034"/>
      <c r="Y72" s="2034"/>
      <c r="Z72" s="2034"/>
      <c r="AA72" s="2164"/>
      <c r="AB72" s="1190"/>
      <c r="AC72" s="2165" t="s">
        <v>2386</v>
      </c>
      <c r="AD72" s="2166"/>
      <c r="AE72" s="2166"/>
      <c r="AF72" s="2166"/>
      <c r="AG72" s="2166"/>
      <c r="AH72" s="2166"/>
      <c r="AI72" s="2166"/>
      <c r="AJ72" s="2166"/>
      <c r="AK72" s="2166"/>
      <c r="AL72" s="2166"/>
      <c r="AM72" s="2166"/>
      <c r="AN72" s="2166"/>
      <c r="AO72" s="2166"/>
      <c r="AP72" s="2166"/>
      <c r="AQ72" s="2166"/>
      <c r="AR72" s="2166"/>
      <c r="AS72" s="2166"/>
      <c r="AT72" s="2166"/>
      <c r="AU72" s="2166"/>
      <c r="AV72" s="2028"/>
      <c r="AW72" s="2028"/>
      <c r="AX72" s="2028"/>
      <c r="AY72" s="2028"/>
      <c r="AZ72" s="2028"/>
      <c r="BA72" s="2028"/>
      <c r="BB72" s="2028"/>
      <c r="BC72" s="2029"/>
      <c r="BD72" s="1190"/>
      <c r="BE72" s="1194"/>
    </row>
    <row r="73" spans="1:94" ht="15.75" customHeight="1">
      <c r="A73" s="1190"/>
      <c r="B73" s="2167" t="s">
        <v>2385</v>
      </c>
      <c r="C73" s="2168"/>
      <c r="D73" s="2168"/>
      <c r="E73" s="2168"/>
      <c r="F73" s="2168"/>
      <c r="G73" s="2168"/>
      <c r="H73" s="2168"/>
      <c r="I73" s="2168"/>
      <c r="J73" s="2168"/>
      <c r="K73" s="2168"/>
      <c r="L73" s="2168"/>
      <c r="M73" s="2168"/>
      <c r="N73" s="2168"/>
      <c r="O73" s="2034">
        <v>0</v>
      </c>
      <c r="P73" s="2034"/>
      <c r="Q73" s="2034"/>
      <c r="R73" s="2034"/>
      <c r="S73" s="2034"/>
      <c r="T73" s="2034"/>
      <c r="U73" s="2034"/>
      <c r="V73" s="2034"/>
      <c r="W73" s="2034"/>
      <c r="X73" s="2034"/>
      <c r="Y73" s="2034"/>
      <c r="Z73" s="2034"/>
      <c r="AA73" s="2164"/>
      <c r="AB73" s="1190"/>
      <c r="AC73" s="2043" t="s">
        <v>2332</v>
      </c>
      <c r="AD73" s="2044"/>
      <c r="AE73" s="2044"/>
      <c r="AF73" s="2044"/>
      <c r="AG73" s="2044"/>
      <c r="AH73" s="2044"/>
      <c r="AI73" s="2044"/>
      <c r="AJ73" s="2044"/>
      <c r="AK73" s="2044"/>
      <c r="AL73" s="2044"/>
      <c r="AM73" s="2044"/>
      <c r="AN73" s="2044"/>
      <c r="AO73" s="2044"/>
      <c r="AP73" s="2044"/>
      <c r="AQ73" s="2044"/>
      <c r="AR73" s="2044"/>
      <c r="AS73" s="2044"/>
      <c r="AT73" s="2044"/>
      <c r="AU73" s="2044"/>
      <c r="AV73" s="2044"/>
      <c r="AW73" s="2044"/>
      <c r="AX73" s="2044"/>
      <c r="AY73" s="2044"/>
      <c r="AZ73" s="2044"/>
      <c r="BA73" s="2044"/>
      <c r="BB73" s="2044"/>
      <c r="BC73" s="2045"/>
      <c r="BD73" s="1190"/>
      <c r="BE73" s="1194"/>
      <c r="CK73" s="1188"/>
      <c r="CL73" s="1188"/>
      <c r="CM73" s="1188"/>
      <c r="CN73" s="1188"/>
      <c r="CO73" s="1188"/>
      <c r="CP73" s="1188"/>
    </row>
    <row r="74" spans="1:94" ht="15.75" customHeight="1">
      <c r="A74" s="1190"/>
      <c r="B74" s="1988"/>
      <c r="C74" s="1989"/>
      <c r="D74" s="1989"/>
      <c r="E74" s="1989"/>
      <c r="F74" s="1989"/>
      <c r="G74" s="1989"/>
      <c r="H74" s="1989"/>
      <c r="I74" s="1989"/>
      <c r="J74" s="1989"/>
      <c r="K74" s="1989"/>
      <c r="L74" s="1989"/>
      <c r="M74" s="1989"/>
      <c r="N74" s="1989"/>
      <c r="O74" s="2034"/>
      <c r="P74" s="2034"/>
      <c r="Q74" s="2034"/>
      <c r="R74" s="2034"/>
      <c r="S74" s="2034"/>
      <c r="T74" s="2034"/>
      <c r="U74" s="2034"/>
      <c r="V74" s="2034"/>
      <c r="W74" s="2034"/>
      <c r="X74" s="2034"/>
      <c r="Y74" s="2034"/>
      <c r="Z74" s="2034"/>
      <c r="AA74" s="2164"/>
      <c r="AB74" s="1190"/>
      <c r="AC74" s="2043"/>
      <c r="AD74" s="2044"/>
      <c r="AE74" s="2044"/>
      <c r="AF74" s="2044"/>
      <c r="AG74" s="2044"/>
      <c r="AH74" s="2044"/>
      <c r="AI74" s="2044"/>
      <c r="AJ74" s="2044"/>
      <c r="AK74" s="2044"/>
      <c r="AL74" s="2044"/>
      <c r="AM74" s="2044"/>
      <c r="AN74" s="2044"/>
      <c r="AO74" s="2044"/>
      <c r="AP74" s="2044"/>
      <c r="AQ74" s="2044"/>
      <c r="AR74" s="2044"/>
      <c r="AS74" s="2044"/>
      <c r="AT74" s="2044"/>
      <c r="AU74" s="2044"/>
      <c r="AV74" s="2044"/>
      <c r="AW74" s="2044"/>
      <c r="AX74" s="2044"/>
      <c r="AY74" s="2044"/>
      <c r="AZ74" s="2044"/>
      <c r="BA74" s="2044"/>
      <c r="BB74" s="2044"/>
      <c r="BC74" s="2045"/>
      <c r="BD74" s="1190"/>
      <c r="BE74" s="1194"/>
      <c r="CK74" s="1188"/>
      <c r="CL74" s="1188"/>
      <c r="CM74" s="1188"/>
      <c r="CN74" s="1188"/>
      <c r="CO74" s="1188"/>
      <c r="CP74" s="1188"/>
    </row>
    <row r="75" spans="1:94" ht="15.75" customHeight="1" thickBot="1">
      <c r="A75" s="1190"/>
      <c r="B75" s="2169" t="s">
        <v>124</v>
      </c>
      <c r="C75" s="2170"/>
      <c r="D75" s="2170"/>
      <c r="E75" s="2170"/>
      <c r="F75" s="2170"/>
      <c r="G75" s="2170"/>
      <c r="H75" s="2170"/>
      <c r="I75" s="2170"/>
      <c r="J75" s="2170"/>
      <c r="K75" s="2170"/>
      <c r="L75" s="2170"/>
      <c r="M75" s="2170"/>
      <c r="N75" s="2170"/>
      <c r="O75" s="2171">
        <f>SUM(O70:AA74)</f>
        <v>0</v>
      </c>
      <c r="P75" s="2171"/>
      <c r="Q75" s="2171"/>
      <c r="R75" s="2171"/>
      <c r="S75" s="2171"/>
      <c r="T75" s="2171"/>
      <c r="U75" s="2171"/>
      <c r="V75" s="2171"/>
      <c r="W75" s="2171"/>
      <c r="X75" s="2171"/>
      <c r="Y75" s="2171"/>
      <c r="Z75" s="2171"/>
      <c r="AA75" s="2172"/>
      <c r="AB75" s="1190"/>
      <c r="AC75" s="2043"/>
      <c r="AD75" s="2044"/>
      <c r="AE75" s="2044"/>
      <c r="AF75" s="2044"/>
      <c r="AG75" s="2044"/>
      <c r="AH75" s="2044"/>
      <c r="AI75" s="2044"/>
      <c r="AJ75" s="2044"/>
      <c r="AK75" s="2044"/>
      <c r="AL75" s="2044"/>
      <c r="AM75" s="2044"/>
      <c r="AN75" s="2044"/>
      <c r="AO75" s="2044"/>
      <c r="AP75" s="2044"/>
      <c r="AQ75" s="2044"/>
      <c r="AR75" s="2044"/>
      <c r="AS75" s="2044"/>
      <c r="AT75" s="2044"/>
      <c r="AU75" s="2044"/>
      <c r="AV75" s="2044"/>
      <c r="AW75" s="2044"/>
      <c r="AX75" s="2044"/>
      <c r="AY75" s="2044"/>
      <c r="AZ75" s="2044"/>
      <c r="BA75" s="2044"/>
      <c r="BB75" s="2044"/>
      <c r="BC75" s="204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4"/>
      <c r="AE76" s="2044"/>
      <c r="AF76" s="2044"/>
      <c r="AG76" s="2044"/>
      <c r="AH76" s="2044"/>
      <c r="AI76" s="2044"/>
      <c r="AJ76" s="2044"/>
      <c r="AK76" s="2044"/>
      <c r="AL76" s="2044"/>
      <c r="AM76" s="2044"/>
      <c r="AN76" s="2044"/>
      <c r="AO76" s="2044"/>
      <c r="AP76" s="2044"/>
      <c r="AQ76" s="2044"/>
      <c r="AR76" s="2044"/>
      <c r="AS76" s="2044"/>
      <c r="AT76" s="2044"/>
      <c r="AU76" s="2044"/>
      <c r="AV76" s="2044"/>
      <c r="AW76" s="2044"/>
      <c r="AX76" s="2044"/>
      <c r="AY76" s="2044"/>
      <c r="AZ76" s="2044"/>
      <c r="BA76" s="2044"/>
      <c r="BB76" s="2044"/>
      <c r="BC76" s="204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6"/>
      <c r="AD77" s="2047"/>
      <c r="AE77" s="2047"/>
      <c r="AF77" s="2047"/>
      <c r="AG77" s="2047"/>
      <c r="AH77" s="2047"/>
      <c r="AI77" s="2047"/>
      <c r="AJ77" s="2047"/>
      <c r="AK77" s="2047"/>
      <c r="AL77" s="2047"/>
      <c r="AM77" s="2047"/>
      <c r="AN77" s="2047"/>
      <c r="AO77" s="2047"/>
      <c r="AP77" s="2047"/>
      <c r="AQ77" s="2047"/>
      <c r="AR77" s="2047"/>
      <c r="AS77" s="2047"/>
      <c r="AT77" s="2047"/>
      <c r="AU77" s="2047"/>
      <c r="AV77" s="2047"/>
      <c r="AW77" s="2047"/>
      <c r="AX77" s="2047"/>
      <c r="AY77" s="2047"/>
      <c r="AZ77" s="2047"/>
      <c r="BA77" s="2047"/>
      <c r="BB77" s="2047"/>
      <c r="BC77" s="2048"/>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7" t="s">
        <v>2770</v>
      </c>
      <c r="G79" s="2148"/>
      <c r="H79" s="2148"/>
      <c r="I79" s="2148"/>
      <c r="J79" s="2148"/>
      <c r="K79" s="2148"/>
      <c r="L79" s="2148"/>
      <c r="M79" s="2148"/>
      <c r="N79" s="2148"/>
      <c r="O79" s="2148"/>
      <c r="P79" s="2148"/>
      <c r="Q79" s="2148"/>
      <c r="R79" s="2148"/>
      <c r="S79" s="2148"/>
      <c r="T79" s="2149"/>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0" t="s">
        <v>2383</v>
      </c>
      <c r="C80" s="2151"/>
      <c r="D80" s="2151"/>
      <c r="E80" s="2151"/>
      <c r="F80" s="2151"/>
      <c r="G80" s="2151"/>
      <c r="H80" s="2151"/>
      <c r="I80" s="2151"/>
      <c r="J80" s="2151"/>
      <c r="K80" s="2151"/>
      <c r="L80" s="2151"/>
      <c r="M80" s="2151"/>
      <c r="N80" s="2151"/>
      <c r="O80" s="2151"/>
      <c r="P80" s="2151"/>
      <c r="Q80" s="2151"/>
      <c r="R80" s="2153">
        <f>IFERROR(INDEX(BR96:BR98,MATCH(F79,$BQ$96:$BQ$98,0))/SUM($BR$96:$BR$98),"")</f>
        <v>0.5</v>
      </c>
      <c r="S80" s="2154"/>
      <c r="T80" s="2155"/>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6" t="s">
        <v>2382</v>
      </c>
      <c r="C81" s="2157"/>
      <c r="D81" s="2157"/>
      <c r="E81" s="2157"/>
      <c r="F81" s="2157"/>
      <c r="G81" s="2157"/>
      <c r="H81" s="2157"/>
      <c r="I81" s="2157"/>
      <c r="J81" s="2157"/>
      <c r="K81" s="2157"/>
      <c r="L81" s="2157"/>
      <c r="M81" s="2157"/>
      <c r="N81" s="2157"/>
      <c r="O81" s="2157"/>
      <c r="P81" s="2157"/>
      <c r="Q81" s="2157"/>
      <c r="R81" s="2138">
        <v>1</v>
      </c>
      <c r="S81" s="2139"/>
      <c r="T81" s="2140"/>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9" t="s">
        <v>2381</v>
      </c>
      <c r="C83" s="2160"/>
      <c r="D83" s="2160"/>
      <c r="E83" s="2160"/>
      <c r="F83" s="2160"/>
      <c r="G83" s="2160"/>
      <c r="H83" s="2160"/>
      <c r="I83" s="2160"/>
      <c r="J83" s="2160"/>
      <c r="K83" s="2160"/>
      <c r="L83" s="2160"/>
      <c r="M83" s="2160"/>
      <c r="N83" s="2160"/>
      <c r="O83" s="2160"/>
      <c r="P83" s="2160"/>
      <c r="Q83" s="2160"/>
      <c r="R83" s="2160"/>
      <c r="S83" s="2160"/>
      <c r="T83" s="2160"/>
      <c r="U83" s="2160"/>
      <c r="V83" s="2160"/>
      <c r="W83" s="2160"/>
      <c r="X83" s="2160"/>
      <c r="Y83" s="2160"/>
      <c r="Z83" s="2160"/>
      <c r="AA83" s="2160"/>
      <c r="AB83" s="2160"/>
      <c r="AC83" s="2160"/>
      <c r="AD83" s="2160"/>
      <c r="AE83" s="2160"/>
      <c r="AF83" s="2160"/>
      <c r="AG83" s="2160"/>
      <c r="AH83" s="2161"/>
      <c r="AI83" s="1190"/>
      <c r="AJ83" s="2126" t="s">
        <v>2380</v>
      </c>
      <c r="AK83" s="2127"/>
      <c r="AL83" s="2127"/>
      <c r="AM83" s="2127"/>
      <c r="AN83" s="2127"/>
      <c r="AO83" s="2127"/>
      <c r="AP83" s="2127"/>
      <c r="AQ83" s="2127"/>
      <c r="AR83" s="2127"/>
      <c r="AS83" s="2127"/>
      <c r="AT83" s="2127"/>
      <c r="AU83" s="2127"/>
      <c r="AV83" s="2127"/>
      <c r="AW83" s="2127"/>
      <c r="AX83" s="2127"/>
      <c r="AY83" s="2143" t="s">
        <v>669</v>
      </c>
      <c r="AZ83" s="2143"/>
      <c r="BA83" s="2143"/>
      <c r="BB83" s="2144"/>
      <c r="BC83" s="1190"/>
      <c r="BD83" s="1190"/>
      <c r="BE83" s="1194"/>
      <c r="CK83" s="1188"/>
      <c r="CL83" s="1188"/>
      <c r="CM83" s="1188"/>
      <c r="CN83" s="1188"/>
      <c r="CO83" s="1188"/>
      <c r="CP83" s="1188"/>
    </row>
    <row r="84" spans="1:94" ht="15.75" customHeight="1">
      <c r="A84" s="1190"/>
      <c r="B84" s="2137"/>
      <c r="C84" s="2106"/>
      <c r="D84" s="2106"/>
      <c r="E84" s="2106"/>
      <c r="F84" s="2106"/>
      <c r="G84" s="2106"/>
      <c r="H84" s="2106"/>
      <c r="I84" s="2106" t="s">
        <v>2370</v>
      </c>
      <c r="J84" s="2106"/>
      <c r="K84" s="2106"/>
      <c r="L84" s="2106"/>
      <c r="M84" s="2106"/>
      <c r="N84" s="2106"/>
      <c r="O84" s="2106" t="s">
        <v>2348</v>
      </c>
      <c r="P84" s="2106"/>
      <c r="Q84" s="2106"/>
      <c r="R84" s="2106"/>
      <c r="S84" s="2106"/>
      <c r="T84" s="2106"/>
      <c r="U84" s="2106"/>
      <c r="V84" s="2141" t="s">
        <v>2347</v>
      </c>
      <c r="W84" s="2141"/>
      <c r="X84" s="2141"/>
      <c r="Y84" s="2141"/>
      <c r="Z84" s="2141"/>
      <c r="AA84" s="2141"/>
      <c r="AB84" s="2073" t="s">
        <v>2369</v>
      </c>
      <c r="AC84" s="2073"/>
      <c r="AD84" s="2073"/>
      <c r="AE84" s="2073"/>
      <c r="AF84" s="2073"/>
      <c r="AG84" s="2073"/>
      <c r="AH84" s="2142"/>
      <c r="AI84" s="1190"/>
      <c r="AJ84" s="2129"/>
      <c r="AK84" s="2130"/>
      <c r="AL84" s="2130"/>
      <c r="AM84" s="2130"/>
      <c r="AN84" s="2130"/>
      <c r="AO84" s="2130"/>
      <c r="AP84" s="2130"/>
      <c r="AQ84" s="2130"/>
      <c r="AR84" s="2130"/>
      <c r="AS84" s="2130"/>
      <c r="AT84" s="2130"/>
      <c r="AU84" s="2130"/>
      <c r="AV84" s="2130"/>
      <c r="AW84" s="2130"/>
      <c r="AX84" s="2130"/>
      <c r="AY84" s="2145"/>
      <c r="AZ84" s="2145"/>
      <c r="BA84" s="2145"/>
      <c r="BB84" s="2146"/>
      <c r="BC84" s="1190"/>
      <c r="BD84" s="1190"/>
      <c r="BE84" s="1194"/>
      <c r="CK84" s="1188"/>
      <c r="CL84" s="1188"/>
      <c r="CM84" s="1188"/>
      <c r="CN84" s="1188"/>
      <c r="CO84" s="1188"/>
      <c r="CP84" s="1188"/>
    </row>
    <row r="85" spans="1:94" ht="15.75" customHeight="1">
      <c r="A85" s="1190"/>
      <c r="B85" s="2137"/>
      <c r="C85" s="2106"/>
      <c r="D85" s="2106"/>
      <c r="E85" s="2106"/>
      <c r="F85" s="2106"/>
      <c r="G85" s="2106"/>
      <c r="H85" s="2106"/>
      <c r="I85" s="2106"/>
      <c r="J85" s="2106"/>
      <c r="K85" s="2106"/>
      <c r="L85" s="2106"/>
      <c r="M85" s="2106"/>
      <c r="N85" s="2106"/>
      <c r="O85" s="2106"/>
      <c r="P85" s="2106"/>
      <c r="Q85" s="2106"/>
      <c r="R85" s="2106"/>
      <c r="S85" s="2106"/>
      <c r="T85" s="2106"/>
      <c r="U85" s="2106"/>
      <c r="V85" s="2141"/>
      <c r="W85" s="2141"/>
      <c r="X85" s="2141"/>
      <c r="Y85" s="2141"/>
      <c r="Z85" s="2141"/>
      <c r="AA85" s="2141"/>
      <c r="AB85" s="2073"/>
      <c r="AC85" s="2073"/>
      <c r="AD85" s="2073"/>
      <c r="AE85" s="2073"/>
      <c r="AF85" s="2073"/>
      <c r="AG85" s="2073"/>
      <c r="AH85" s="2142"/>
      <c r="AI85" s="1190"/>
      <c r="AJ85" s="2129"/>
      <c r="AK85" s="2130"/>
      <c r="AL85" s="2130"/>
      <c r="AM85" s="2130"/>
      <c r="AN85" s="2130"/>
      <c r="AO85" s="2130"/>
      <c r="AP85" s="2130"/>
      <c r="AQ85" s="2130"/>
      <c r="AR85" s="2130"/>
      <c r="AS85" s="2130"/>
      <c r="AT85" s="2130"/>
      <c r="AU85" s="2130"/>
      <c r="AV85" s="2130"/>
      <c r="AW85" s="2130"/>
      <c r="AX85" s="2130"/>
      <c r="AY85" s="2145"/>
      <c r="AZ85" s="2145"/>
      <c r="BA85" s="2145"/>
      <c r="BB85" s="2146"/>
      <c r="BC85" s="1190"/>
      <c r="BD85" s="1190"/>
      <c r="BE85" s="1194"/>
      <c r="CK85" s="1188"/>
      <c r="CL85" s="1188"/>
      <c r="CM85" s="1188"/>
      <c r="CN85" s="1188"/>
      <c r="CO85" s="1188"/>
      <c r="CP85" s="1188"/>
    </row>
    <row r="86" spans="1:94" ht="15.75" customHeight="1">
      <c r="A86" s="1190"/>
      <c r="B86" s="2137" t="s">
        <v>2368</v>
      </c>
      <c r="C86" s="2106"/>
      <c r="D86" s="2106"/>
      <c r="E86" s="2106"/>
      <c r="F86" s="2106"/>
      <c r="G86" s="2106"/>
      <c r="H86" s="2106"/>
      <c r="I86" s="2076">
        <v>1031</v>
      </c>
      <c r="J86" s="2076"/>
      <c r="K86" s="2076"/>
      <c r="L86" s="2076"/>
      <c r="M86" s="2076"/>
      <c r="N86" s="2076"/>
      <c r="O86" s="2076">
        <v>0</v>
      </c>
      <c r="P86" s="2076"/>
      <c r="Q86" s="2076"/>
      <c r="R86" s="2076"/>
      <c r="S86" s="2076"/>
      <c r="T86" s="2076"/>
      <c r="U86" s="2076"/>
      <c r="V86" s="2076">
        <v>0</v>
      </c>
      <c r="W86" s="2076"/>
      <c r="X86" s="2076"/>
      <c r="Y86" s="2076"/>
      <c r="Z86" s="2076"/>
      <c r="AA86" s="2076"/>
      <c r="AB86" s="2076">
        <v>0</v>
      </c>
      <c r="AC86" s="2076"/>
      <c r="AD86" s="2076"/>
      <c r="AE86" s="2076"/>
      <c r="AF86" s="2076"/>
      <c r="AG86" s="2076"/>
      <c r="AH86" s="2077"/>
      <c r="AI86" s="1190"/>
      <c r="AJ86" s="2129"/>
      <c r="AK86" s="2130"/>
      <c r="AL86" s="2130"/>
      <c r="AM86" s="2130"/>
      <c r="AN86" s="2130"/>
      <c r="AO86" s="2130"/>
      <c r="AP86" s="2130"/>
      <c r="AQ86" s="2130"/>
      <c r="AR86" s="2130"/>
      <c r="AS86" s="2130"/>
      <c r="AT86" s="2130"/>
      <c r="AU86" s="2130"/>
      <c r="AV86" s="2130"/>
      <c r="AW86" s="2130"/>
      <c r="AX86" s="2130"/>
      <c r="AY86" s="2145"/>
      <c r="AZ86" s="2145"/>
      <c r="BA86" s="2145"/>
      <c r="BB86" s="2146"/>
      <c r="BC86" s="1190"/>
      <c r="BD86" s="1190"/>
      <c r="BE86" s="1194"/>
      <c r="CK86" s="1188"/>
      <c r="CL86" s="1188"/>
      <c r="CM86" s="1188"/>
      <c r="CN86" s="1188"/>
      <c r="CO86" s="1188"/>
      <c r="CP86" s="1188"/>
    </row>
    <row r="87" spans="1:94" ht="15.75" customHeight="1">
      <c r="A87" s="1190"/>
      <c r="B87" s="2137" t="s">
        <v>2367</v>
      </c>
      <c r="C87" s="2106"/>
      <c r="D87" s="2106"/>
      <c r="E87" s="2106"/>
      <c r="F87" s="2106"/>
      <c r="G87" s="2106"/>
      <c r="H87" s="2106"/>
      <c r="I87" s="2076">
        <v>0</v>
      </c>
      <c r="J87" s="2076"/>
      <c r="K87" s="2076"/>
      <c r="L87" s="2076"/>
      <c r="M87" s="2076"/>
      <c r="N87" s="2076"/>
      <c r="O87" s="2076">
        <v>0</v>
      </c>
      <c r="P87" s="2076"/>
      <c r="Q87" s="2076"/>
      <c r="R87" s="2076"/>
      <c r="S87" s="2076"/>
      <c r="T87" s="2076"/>
      <c r="U87" s="2076"/>
      <c r="V87" s="2076">
        <v>0</v>
      </c>
      <c r="W87" s="2076"/>
      <c r="X87" s="2076"/>
      <c r="Y87" s="2076"/>
      <c r="Z87" s="2076"/>
      <c r="AA87" s="2076"/>
      <c r="AB87" s="2076">
        <v>0</v>
      </c>
      <c r="AC87" s="2076"/>
      <c r="AD87" s="2076"/>
      <c r="AE87" s="2076"/>
      <c r="AF87" s="2076"/>
      <c r="AG87" s="2076"/>
      <c r="AH87" s="2077"/>
      <c r="AI87" s="1190"/>
      <c r="AJ87" s="2043" t="s">
        <v>2771</v>
      </c>
      <c r="AK87" s="2044"/>
      <c r="AL87" s="2044"/>
      <c r="AM87" s="2044"/>
      <c r="AN87" s="2044"/>
      <c r="AO87" s="2044"/>
      <c r="AP87" s="2044"/>
      <c r="AQ87" s="2044"/>
      <c r="AR87" s="2044"/>
      <c r="AS87" s="2044"/>
      <c r="AT87" s="2044"/>
      <c r="AU87" s="2044"/>
      <c r="AV87" s="2044"/>
      <c r="AW87" s="2044"/>
      <c r="AX87" s="2044"/>
      <c r="AY87" s="2044"/>
      <c r="AZ87" s="2044"/>
      <c r="BA87" s="2044"/>
      <c r="BB87" s="2045"/>
      <c r="BC87" s="1190"/>
      <c r="BD87" s="1190"/>
      <c r="BE87" s="1194"/>
      <c r="CK87" s="1188"/>
      <c r="CL87" s="1188"/>
      <c r="CM87" s="1188"/>
      <c r="CN87" s="1188"/>
      <c r="CO87" s="1188"/>
      <c r="CP87" s="1188"/>
    </row>
    <row r="88" spans="1:94" ht="15.75" customHeight="1" thickBot="1">
      <c r="A88" s="1190"/>
      <c r="B88" s="2135" t="s">
        <v>2366</v>
      </c>
      <c r="C88" s="2136"/>
      <c r="D88" s="2136"/>
      <c r="E88" s="2136"/>
      <c r="F88" s="2136"/>
      <c r="G88" s="2136"/>
      <c r="H88" s="2136"/>
      <c r="I88" s="2070">
        <v>1031</v>
      </c>
      <c r="J88" s="2070"/>
      <c r="K88" s="2070"/>
      <c r="L88" s="2070"/>
      <c r="M88" s="2070"/>
      <c r="N88" s="2070"/>
      <c r="O88" s="2070">
        <v>0</v>
      </c>
      <c r="P88" s="2070"/>
      <c r="Q88" s="2070"/>
      <c r="R88" s="2070"/>
      <c r="S88" s="2070"/>
      <c r="T88" s="2070"/>
      <c r="U88" s="2070"/>
      <c r="V88" s="2070">
        <v>0</v>
      </c>
      <c r="W88" s="2070"/>
      <c r="X88" s="2070"/>
      <c r="Y88" s="2070"/>
      <c r="Z88" s="2070"/>
      <c r="AA88" s="2070"/>
      <c r="AB88" s="2070">
        <v>0</v>
      </c>
      <c r="AC88" s="2070"/>
      <c r="AD88" s="2070"/>
      <c r="AE88" s="2070"/>
      <c r="AF88" s="2070"/>
      <c r="AG88" s="2070"/>
      <c r="AH88" s="2071"/>
      <c r="AI88" s="1190"/>
      <c r="AJ88" s="2046"/>
      <c r="AK88" s="2047"/>
      <c r="AL88" s="2047"/>
      <c r="AM88" s="2047"/>
      <c r="AN88" s="2047"/>
      <c r="AO88" s="2047"/>
      <c r="AP88" s="2047"/>
      <c r="AQ88" s="2047"/>
      <c r="AR88" s="2047"/>
      <c r="AS88" s="2047"/>
      <c r="AT88" s="2047"/>
      <c r="AU88" s="2047"/>
      <c r="AV88" s="2047"/>
      <c r="AW88" s="2047"/>
      <c r="AX88" s="2047"/>
      <c r="AY88" s="2047"/>
      <c r="AZ88" s="2047"/>
      <c r="BA88" s="2047"/>
      <c r="BB88" s="204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7" t="s">
        <v>2772</v>
      </c>
      <c r="G92" s="2148"/>
      <c r="H92" s="2148"/>
      <c r="I92" s="2148"/>
      <c r="J92" s="2148"/>
      <c r="K92" s="2148"/>
      <c r="L92" s="2148"/>
      <c r="M92" s="2148"/>
      <c r="N92" s="2148"/>
      <c r="O92" s="2148"/>
      <c r="P92" s="2148"/>
      <c r="Q92" s="2148"/>
      <c r="R92" s="2148"/>
      <c r="S92" s="2148"/>
      <c r="T92" s="2149"/>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0" t="s">
        <v>2378</v>
      </c>
      <c r="C93" s="2151"/>
      <c r="D93" s="2151"/>
      <c r="E93" s="2151"/>
      <c r="F93" s="2151"/>
      <c r="G93" s="2151"/>
      <c r="H93" s="2151"/>
      <c r="I93" s="2151"/>
      <c r="J93" s="2151"/>
      <c r="K93" s="2151"/>
      <c r="L93" s="2151"/>
      <c r="M93" s="2151"/>
      <c r="N93" s="2151"/>
      <c r="O93" s="2151"/>
      <c r="P93" s="2151"/>
      <c r="Q93" s="2152"/>
      <c r="R93" s="2153">
        <f>IFERROR(INDEX(BR96:BR98,MATCH(F92,$BQ$96:$BQ$98,0))/SUM($BR$96:$BR$98),"")</f>
        <v>0.5</v>
      </c>
      <c r="S93" s="2154"/>
      <c r="T93" s="2155"/>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6" t="s">
        <v>2377</v>
      </c>
      <c r="C94" s="2157"/>
      <c r="D94" s="2157"/>
      <c r="E94" s="2157"/>
      <c r="F94" s="2157"/>
      <c r="G94" s="2157"/>
      <c r="H94" s="2157"/>
      <c r="I94" s="2157"/>
      <c r="J94" s="2157"/>
      <c r="K94" s="2157"/>
      <c r="L94" s="2157"/>
      <c r="M94" s="2157"/>
      <c r="N94" s="2157"/>
      <c r="O94" s="2157"/>
      <c r="P94" s="2157"/>
      <c r="Q94" s="2158"/>
      <c r="R94" s="2138" t="s">
        <v>2189</v>
      </c>
      <c r="S94" s="2139"/>
      <c r="T94" s="2140"/>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9" t="s">
        <v>2376</v>
      </c>
      <c r="C96" s="2160"/>
      <c r="D96" s="2160"/>
      <c r="E96" s="2160"/>
      <c r="F96" s="2160"/>
      <c r="G96" s="2160"/>
      <c r="H96" s="2160"/>
      <c r="I96" s="2160"/>
      <c r="J96" s="2160"/>
      <c r="K96" s="2160"/>
      <c r="L96" s="2160"/>
      <c r="M96" s="2160"/>
      <c r="N96" s="2160"/>
      <c r="O96" s="2160"/>
      <c r="P96" s="2160"/>
      <c r="Q96" s="2160"/>
      <c r="R96" s="2160"/>
      <c r="S96" s="2160"/>
      <c r="T96" s="2160"/>
      <c r="U96" s="2160"/>
      <c r="V96" s="2160"/>
      <c r="W96" s="2160"/>
      <c r="X96" s="2160"/>
      <c r="Y96" s="2160"/>
      <c r="Z96" s="2160"/>
      <c r="AA96" s="2160"/>
      <c r="AB96" s="2160"/>
      <c r="AC96" s="2160"/>
      <c r="AD96" s="2160"/>
      <c r="AE96" s="2160"/>
      <c r="AF96" s="2160"/>
      <c r="AG96" s="2160"/>
      <c r="AH96" s="2161"/>
      <c r="AI96" s="1190"/>
      <c r="AJ96" s="2126" t="s">
        <v>2375</v>
      </c>
      <c r="AK96" s="2127"/>
      <c r="AL96" s="2127"/>
      <c r="AM96" s="2127"/>
      <c r="AN96" s="2127"/>
      <c r="AO96" s="2127"/>
      <c r="AP96" s="2127"/>
      <c r="AQ96" s="2127"/>
      <c r="AR96" s="2127"/>
      <c r="AS96" s="2127"/>
      <c r="AT96" s="2127"/>
      <c r="AU96" s="2127"/>
      <c r="AV96" s="2127"/>
      <c r="AW96" s="2127"/>
      <c r="AX96" s="2127"/>
      <c r="AY96" s="2143" t="s">
        <v>545</v>
      </c>
      <c r="AZ96" s="2143"/>
      <c r="BA96" s="2143"/>
      <c r="BB96" s="2144"/>
      <c r="BC96" s="1190"/>
      <c r="BD96" s="1190"/>
      <c r="BE96" s="1194"/>
      <c r="BQ96" s="1256" t="str">
        <f>Application!M243&amp;IF(TRIM(Application!AA249)&lt;&gt;""," ("&amp;Application!AA249&amp;")","")</f>
        <v>Marinwood GP, L.L.C. (Impact Residential Development, LLC)</v>
      </c>
      <c r="BR96" s="1259">
        <f>Application!AH246</f>
        <v>1E-3</v>
      </c>
      <c r="CM96" s="1188"/>
      <c r="CN96" s="1188"/>
      <c r="CO96" s="1188"/>
      <c r="CP96" s="1188"/>
    </row>
    <row r="97" spans="1:94" ht="15.75" customHeight="1">
      <c r="A97" s="1190"/>
      <c r="B97" s="2137"/>
      <c r="C97" s="2106"/>
      <c r="D97" s="2106"/>
      <c r="E97" s="2106"/>
      <c r="F97" s="2106"/>
      <c r="G97" s="2106"/>
      <c r="H97" s="2106"/>
      <c r="I97" s="2106" t="s">
        <v>2370</v>
      </c>
      <c r="J97" s="2106"/>
      <c r="K97" s="2106"/>
      <c r="L97" s="2106"/>
      <c r="M97" s="2106"/>
      <c r="N97" s="2106"/>
      <c r="O97" s="2106" t="s">
        <v>2348</v>
      </c>
      <c r="P97" s="2106"/>
      <c r="Q97" s="2106"/>
      <c r="R97" s="2106"/>
      <c r="S97" s="2106"/>
      <c r="T97" s="2106"/>
      <c r="U97" s="2106"/>
      <c r="V97" s="2141" t="s">
        <v>2347</v>
      </c>
      <c r="W97" s="2141"/>
      <c r="X97" s="2141"/>
      <c r="Y97" s="2141"/>
      <c r="Z97" s="2141"/>
      <c r="AA97" s="2141"/>
      <c r="AB97" s="2073" t="s">
        <v>2369</v>
      </c>
      <c r="AC97" s="2073"/>
      <c r="AD97" s="2073"/>
      <c r="AE97" s="2073"/>
      <c r="AF97" s="2073"/>
      <c r="AG97" s="2073"/>
      <c r="AH97" s="2142"/>
      <c r="AI97" s="1190"/>
      <c r="AJ97" s="2129"/>
      <c r="AK97" s="2130"/>
      <c r="AL97" s="2130"/>
      <c r="AM97" s="2130"/>
      <c r="AN97" s="2130"/>
      <c r="AO97" s="2130"/>
      <c r="AP97" s="2130"/>
      <c r="AQ97" s="2130"/>
      <c r="AR97" s="2130"/>
      <c r="AS97" s="2130"/>
      <c r="AT97" s="2130"/>
      <c r="AU97" s="2130"/>
      <c r="AV97" s="2130"/>
      <c r="AW97" s="2130"/>
      <c r="AX97" s="2130"/>
      <c r="AY97" s="2145"/>
      <c r="AZ97" s="2145"/>
      <c r="BA97" s="2145"/>
      <c r="BB97" s="2146"/>
      <c r="BC97" s="1190"/>
      <c r="BD97" s="1190"/>
      <c r="BE97" s="1194"/>
      <c r="BQ97" s="1256" t="str">
        <f>Application!M251&amp;IF(TRIM(Application!AA257)&lt;&gt;""," ("&amp;Application!AA257&amp;")","")</f>
        <v>PACH San Jose Holding LLC (Pacific Housing, Inc.)</v>
      </c>
      <c r="BR97" s="1259">
        <f>Application!AH254</f>
        <v>1E-3</v>
      </c>
      <c r="CM97" s="1188"/>
      <c r="CN97" s="1188"/>
      <c r="CO97" s="1188"/>
      <c r="CP97" s="1188"/>
    </row>
    <row r="98" spans="1:94" ht="15.75" customHeight="1">
      <c r="A98" s="1190"/>
      <c r="B98" s="2137"/>
      <c r="C98" s="2106"/>
      <c r="D98" s="2106"/>
      <c r="E98" s="2106"/>
      <c r="F98" s="2106"/>
      <c r="G98" s="2106"/>
      <c r="H98" s="2106"/>
      <c r="I98" s="2106"/>
      <c r="J98" s="2106"/>
      <c r="K98" s="2106"/>
      <c r="L98" s="2106"/>
      <c r="M98" s="2106"/>
      <c r="N98" s="2106"/>
      <c r="O98" s="2106"/>
      <c r="P98" s="2106"/>
      <c r="Q98" s="2106"/>
      <c r="R98" s="2106"/>
      <c r="S98" s="2106"/>
      <c r="T98" s="2106"/>
      <c r="U98" s="2106"/>
      <c r="V98" s="2141"/>
      <c r="W98" s="2141"/>
      <c r="X98" s="2141"/>
      <c r="Y98" s="2141"/>
      <c r="Z98" s="2141"/>
      <c r="AA98" s="2141"/>
      <c r="AB98" s="2073"/>
      <c r="AC98" s="2073"/>
      <c r="AD98" s="2073"/>
      <c r="AE98" s="2073"/>
      <c r="AF98" s="2073"/>
      <c r="AG98" s="2073"/>
      <c r="AH98" s="2142"/>
      <c r="AI98" s="1190"/>
      <c r="AJ98" s="2129"/>
      <c r="AK98" s="2130"/>
      <c r="AL98" s="2130"/>
      <c r="AM98" s="2130"/>
      <c r="AN98" s="2130"/>
      <c r="AO98" s="2130"/>
      <c r="AP98" s="2130"/>
      <c r="AQ98" s="2130"/>
      <c r="AR98" s="2130"/>
      <c r="AS98" s="2130"/>
      <c r="AT98" s="2130"/>
      <c r="AU98" s="2130"/>
      <c r="AV98" s="2130"/>
      <c r="AW98" s="2130"/>
      <c r="AX98" s="2130"/>
      <c r="AY98" s="2145"/>
      <c r="AZ98" s="2145"/>
      <c r="BA98" s="2145"/>
      <c r="BB98" s="2146"/>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7" t="s">
        <v>2368</v>
      </c>
      <c r="C99" s="2106"/>
      <c r="D99" s="2106"/>
      <c r="E99" s="2106"/>
      <c r="F99" s="2106"/>
      <c r="G99" s="2106"/>
      <c r="H99" s="2106"/>
      <c r="I99" s="2076">
        <v>2000</v>
      </c>
      <c r="J99" s="2076"/>
      <c r="K99" s="2076"/>
      <c r="L99" s="2076"/>
      <c r="M99" s="2076"/>
      <c r="N99" s="2076"/>
      <c r="O99" s="2076">
        <v>1187</v>
      </c>
      <c r="P99" s="2076"/>
      <c r="Q99" s="2076"/>
      <c r="R99" s="2076"/>
      <c r="S99" s="2076"/>
      <c r="T99" s="2076"/>
      <c r="U99" s="2076"/>
      <c r="V99" s="2076">
        <v>845</v>
      </c>
      <c r="W99" s="2076"/>
      <c r="X99" s="2076"/>
      <c r="Y99" s="2076"/>
      <c r="Z99" s="2076"/>
      <c r="AA99" s="2076"/>
      <c r="AB99" s="2076">
        <v>1072</v>
      </c>
      <c r="AC99" s="2076"/>
      <c r="AD99" s="2076"/>
      <c r="AE99" s="2076"/>
      <c r="AF99" s="2076"/>
      <c r="AG99" s="2076"/>
      <c r="AH99" s="2077"/>
      <c r="AI99" s="1190"/>
      <c r="AJ99" s="2129"/>
      <c r="AK99" s="2130"/>
      <c r="AL99" s="2130"/>
      <c r="AM99" s="2130"/>
      <c r="AN99" s="2130"/>
      <c r="AO99" s="2130"/>
      <c r="AP99" s="2130"/>
      <c r="AQ99" s="2130"/>
      <c r="AR99" s="2130"/>
      <c r="AS99" s="2130"/>
      <c r="AT99" s="2130"/>
      <c r="AU99" s="2130"/>
      <c r="AV99" s="2130"/>
      <c r="AW99" s="2130"/>
      <c r="AX99" s="2130"/>
      <c r="AY99" s="2145"/>
      <c r="AZ99" s="2145"/>
      <c r="BA99" s="2145"/>
      <c r="BB99" s="2146"/>
      <c r="BC99" s="1190"/>
      <c r="BD99" s="1190"/>
      <c r="BE99" s="1194"/>
      <c r="CM99" s="1188"/>
      <c r="CN99" s="1188"/>
      <c r="CO99" s="1188"/>
      <c r="CP99" s="1188"/>
    </row>
    <row r="100" spans="1:94" ht="15.75" customHeight="1">
      <c r="A100" s="1190"/>
      <c r="B100" s="2137" t="s">
        <v>2367</v>
      </c>
      <c r="C100" s="2106"/>
      <c r="D100" s="2106"/>
      <c r="E100" s="2106"/>
      <c r="F100" s="2106"/>
      <c r="G100" s="2106"/>
      <c r="H100" s="2106"/>
      <c r="I100" s="2076">
        <v>0</v>
      </c>
      <c r="J100" s="2076"/>
      <c r="K100" s="2076"/>
      <c r="L100" s="2076"/>
      <c r="M100" s="2076"/>
      <c r="N100" s="2076"/>
      <c r="O100" s="2076">
        <v>0</v>
      </c>
      <c r="P100" s="2076"/>
      <c r="Q100" s="2076"/>
      <c r="R100" s="2076"/>
      <c r="S100" s="2076"/>
      <c r="T100" s="2076"/>
      <c r="U100" s="2076"/>
      <c r="V100" s="2076">
        <v>0</v>
      </c>
      <c r="W100" s="2076"/>
      <c r="X100" s="2076"/>
      <c r="Y100" s="2076"/>
      <c r="Z100" s="2076"/>
      <c r="AA100" s="2076"/>
      <c r="AB100" s="2076">
        <v>0</v>
      </c>
      <c r="AC100" s="2076"/>
      <c r="AD100" s="2076"/>
      <c r="AE100" s="2076"/>
      <c r="AF100" s="2076"/>
      <c r="AG100" s="2076"/>
      <c r="AH100" s="2077"/>
      <c r="AI100" s="1190"/>
      <c r="AJ100" s="2043" t="s">
        <v>2374</v>
      </c>
      <c r="AK100" s="2044"/>
      <c r="AL100" s="2044"/>
      <c r="AM100" s="2044"/>
      <c r="AN100" s="2044"/>
      <c r="AO100" s="2044"/>
      <c r="AP100" s="2044"/>
      <c r="AQ100" s="2044"/>
      <c r="AR100" s="2044"/>
      <c r="AS100" s="2044"/>
      <c r="AT100" s="2044"/>
      <c r="AU100" s="2044"/>
      <c r="AV100" s="2044"/>
      <c r="AW100" s="2044"/>
      <c r="AX100" s="2044"/>
      <c r="AY100" s="2044"/>
      <c r="AZ100" s="2044"/>
      <c r="BA100" s="2044"/>
      <c r="BB100" s="2045"/>
      <c r="BC100" s="1190"/>
      <c r="BD100" s="1190"/>
      <c r="BE100" s="1194"/>
      <c r="CM100" s="1188"/>
      <c r="CN100" s="1188"/>
      <c r="CO100" s="1188"/>
      <c r="CP100" s="1188"/>
    </row>
    <row r="101" spans="1:94" ht="15.75" customHeight="1" thickBot="1">
      <c r="A101" s="1190"/>
      <c r="B101" s="2135" t="s">
        <v>2366</v>
      </c>
      <c r="C101" s="2136"/>
      <c r="D101" s="2136"/>
      <c r="E101" s="2136"/>
      <c r="F101" s="2136"/>
      <c r="G101" s="2136"/>
      <c r="H101" s="2136"/>
      <c r="I101" s="2070">
        <v>2000</v>
      </c>
      <c r="J101" s="2070"/>
      <c r="K101" s="2070"/>
      <c r="L101" s="2070"/>
      <c r="M101" s="2070"/>
      <c r="N101" s="2070"/>
      <c r="O101" s="2070">
        <v>1187</v>
      </c>
      <c r="P101" s="2070"/>
      <c r="Q101" s="2070"/>
      <c r="R101" s="2070"/>
      <c r="S101" s="2070"/>
      <c r="T101" s="2070"/>
      <c r="U101" s="2070"/>
      <c r="V101" s="2070">
        <v>845</v>
      </c>
      <c r="W101" s="2070"/>
      <c r="X101" s="2070"/>
      <c r="Y101" s="2070"/>
      <c r="Z101" s="2070"/>
      <c r="AA101" s="2070"/>
      <c r="AB101" s="2070">
        <v>1072</v>
      </c>
      <c r="AC101" s="2070"/>
      <c r="AD101" s="2070"/>
      <c r="AE101" s="2070"/>
      <c r="AF101" s="2070"/>
      <c r="AG101" s="2070"/>
      <c r="AH101" s="2071"/>
      <c r="AI101" s="1190"/>
      <c r="AJ101" s="2046"/>
      <c r="AK101" s="2047"/>
      <c r="AL101" s="2047"/>
      <c r="AM101" s="2047"/>
      <c r="AN101" s="2047"/>
      <c r="AO101" s="2047"/>
      <c r="AP101" s="2047"/>
      <c r="AQ101" s="2047"/>
      <c r="AR101" s="2047"/>
      <c r="AS101" s="2047"/>
      <c r="AT101" s="2047"/>
      <c r="AU101" s="2047"/>
      <c r="AV101" s="2047"/>
      <c r="AW101" s="2047"/>
      <c r="AX101" s="2047"/>
      <c r="AY101" s="2047"/>
      <c r="AZ101" s="2047"/>
      <c r="BA101" s="2047"/>
      <c r="BB101" s="2048"/>
      <c r="BC101" s="1190"/>
      <c r="BD101" s="1190"/>
      <c r="BE101" s="1194"/>
      <c r="BQ101" s="1256" t="str">
        <f>Application!AA335</f>
        <v xml:space="preserve">Aperto Property Management, Inc.										</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9"/>
      <c r="G104" s="2100"/>
      <c r="H104" s="2100"/>
      <c r="I104" s="2100"/>
      <c r="J104" s="2100"/>
      <c r="K104" s="2100"/>
      <c r="L104" s="2100"/>
      <c r="M104" s="2100"/>
      <c r="N104" s="2100"/>
      <c r="O104" s="2100"/>
      <c r="P104" s="2100"/>
      <c r="Q104" s="2100"/>
      <c r="R104" s="2101"/>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138" t="str">
        <f>IFERROR(INDEX(BR96:BR98,MATCH(F104,$BQ$96:$BQ$98,0))/SUM($BR$96:$BR$98),"")</f>
        <v/>
      </c>
      <c r="P105" s="2139"/>
      <c r="Q105" s="2139"/>
      <c r="R105" s="2140"/>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6" t="s">
        <v>2371</v>
      </c>
      <c r="C107" s="2027"/>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3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7"/>
      <c r="C108" s="2106"/>
      <c r="D108" s="2106"/>
      <c r="E108" s="2106"/>
      <c r="F108" s="2106"/>
      <c r="G108" s="2106"/>
      <c r="H108" s="2106"/>
      <c r="I108" s="2106" t="s">
        <v>2370</v>
      </c>
      <c r="J108" s="2106"/>
      <c r="K108" s="2106"/>
      <c r="L108" s="2106"/>
      <c r="M108" s="2106"/>
      <c r="N108" s="2106"/>
      <c r="O108" s="2106" t="s">
        <v>2348</v>
      </c>
      <c r="P108" s="2106"/>
      <c r="Q108" s="2106"/>
      <c r="R108" s="2106"/>
      <c r="S108" s="2106"/>
      <c r="T108" s="2106"/>
      <c r="U108" s="2106"/>
      <c r="V108" s="2141" t="s">
        <v>2347</v>
      </c>
      <c r="W108" s="2141"/>
      <c r="X108" s="2141"/>
      <c r="Y108" s="2141"/>
      <c r="Z108" s="2141"/>
      <c r="AA108" s="2141"/>
      <c r="AB108" s="2073" t="s">
        <v>2369</v>
      </c>
      <c r="AC108" s="2073"/>
      <c r="AD108" s="2073"/>
      <c r="AE108" s="2073"/>
      <c r="AF108" s="2073"/>
      <c r="AG108" s="2073"/>
      <c r="AH108" s="2142"/>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7"/>
      <c r="C109" s="2106"/>
      <c r="D109" s="2106"/>
      <c r="E109" s="2106"/>
      <c r="F109" s="2106"/>
      <c r="G109" s="2106"/>
      <c r="H109" s="2106"/>
      <c r="I109" s="2106"/>
      <c r="J109" s="2106"/>
      <c r="K109" s="2106"/>
      <c r="L109" s="2106"/>
      <c r="M109" s="2106"/>
      <c r="N109" s="2106"/>
      <c r="O109" s="2106"/>
      <c r="P109" s="2106"/>
      <c r="Q109" s="2106"/>
      <c r="R109" s="2106"/>
      <c r="S109" s="2106"/>
      <c r="T109" s="2106"/>
      <c r="U109" s="2106"/>
      <c r="V109" s="2141"/>
      <c r="W109" s="2141"/>
      <c r="X109" s="2141"/>
      <c r="Y109" s="2141"/>
      <c r="Z109" s="2141"/>
      <c r="AA109" s="2141"/>
      <c r="AB109" s="2073"/>
      <c r="AC109" s="2073"/>
      <c r="AD109" s="2073"/>
      <c r="AE109" s="2073"/>
      <c r="AF109" s="2073"/>
      <c r="AG109" s="2073"/>
      <c r="AH109" s="2142"/>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7" t="s">
        <v>2368</v>
      </c>
      <c r="C110" s="2106"/>
      <c r="D110" s="2106"/>
      <c r="E110" s="2106"/>
      <c r="F110" s="2106"/>
      <c r="G110" s="2106"/>
      <c r="H110" s="2106"/>
      <c r="I110" s="2076">
        <v>0</v>
      </c>
      <c r="J110" s="2076"/>
      <c r="K110" s="2076"/>
      <c r="L110" s="2076"/>
      <c r="M110" s="2076"/>
      <c r="N110" s="2076"/>
      <c r="O110" s="2076">
        <v>0</v>
      </c>
      <c r="P110" s="2076"/>
      <c r="Q110" s="2076"/>
      <c r="R110" s="2076"/>
      <c r="S110" s="2076"/>
      <c r="T110" s="2076"/>
      <c r="U110" s="2076"/>
      <c r="V110" s="2076">
        <v>0</v>
      </c>
      <c r="W110" s="2076"/>
      <c r="X110" s="2076"/>
      <c r="Y110" s="2076"/>
      <c r="Z110" s="2076"/>
      <c r="AA110" s="2076"/>
      <c r="AB110" s="2076">
        <v>0</v>
      </c>
      <c r="AC110" s="2076"/>
      <c r="AD110" s="2076"/>
      <c r="AE110" s="2076"/>
      <c r="AF110" s="2076"/>
      <c r="AG110" s="2076"/>
      <c r="AH110" s="207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7" t="s">
        <v>2367</v>
      </c>
      <c r="C111" s="2106"/>
      <c r="D111" s="2106"/>
      <c r="E111" s="2106"/>
      <c r="F111" s="2106"/>
      <c r="G111" s="2106"/>
      <c r="H111" s="2106"/>
      <c r="I111" s="2076">
        <v>0</v>
      </c>
      <c r="J111" s="2076"/>
      <c r="K111" s="2076"/>
      <c r="L111" s="2076"/>
      <c r="M111" s="2076"/>
      <c r="N111" s="2076"/>
      <c r="O111" s="2076">
        <v>0</v>
      </c>
      <c r="P111" s="2076"/>
      <c r="Q111" s="2076"/>
      <c r="R111" s="2076"/>
      <c r="S111" s="2076"/>
      <c r="T111" s="2076"/>
      <c r="U111" s="2076"/>
      <c r="V111" s="2076">
        <v>0</v>
      </c>
      <c r="W111" s="2076"/>
      <c r="X111" s="2076"/>
      <c r="Y111" s="2076"/>
      <c r="Z111" s="2076"/>
      <c r="AA111" s="2076"/>
      <c r="AB111" s="2076">
        <v>0</v>
      </c>
      <c r="AC111" s="2076"/>
      <c r="AD111" s="2076"/>
      <c r="AE111" s="2076"/>
      <c r="AF111" s="2076"/>
      <c r="AG111" s="2076"/>
      <c r="AH111" s="207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5" t="s">
        <v>2366</v>
      </c>
      <c r="C112" s="2136"/>
      <c r="D112" s="2136"/>
      <c r="E112" s="2136"/>
      <c r="F112" s="2136"/>
      <c r="G112" s="2136"/>
      <c r="H112" s="2136"/>
      <c r="I112" s="2070">
        <v>0</v>
      </c>
      <c r="J112" s="2070"/>
      <c r="K112" s="2070"/>
      <c r="L112" s="2070"/>
      <c r="M112" s="2070"/>
      <c r="N112" s="2070"/>
      <c r="O112" s="2070">
        <v>0</v>
      </c>
      <c r="P112" s="2070"/>
      <c r="Q112" s="2070"/>
      <c r="R112" s="2070"/>
      <c r="S112" s="2070"/>
      <c r="T112" s="2070"/>
      <c r="U112" s="2070"/>
      <c r="V112" s="2070">
        <v>0</v>
      </c>
      <c r="W112" s="2070"/>
      <c r="X112" s="2070"/>
      <c r="Y112" s="2070"/>
      <c r="Z112" s="2070"/>
      <c r="AA112" s="2070"/>
      <c r="AB112" s="2070">
        <v>0</v>
      </c>
      <c r="AC112" s="2070"/>
      <c r="AD112" s="2070"/>
      <c r="AE112" s="2070"/>
      <c r="AF112" s="2070"/>
      <c r="AG112" s="2070"/>
      <c r="AH112" s="207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9" t="str">
        <f>Application!AA335</f>
        <v xml:space="preserve">Aperto Property Management, Inc.										</v>
      </c>
      <c r="G115" s="2100"/>
      <c r="H115" s="2100"/>
      <c r="I115" s="2100"/>
      <c r="J115" s="2100"/>
      <c r="K115" s="2100"/>
      <c r="L115" s="2100"/>
      <c r="M115" s="2100"/>
      <c r="N115" s="2100"/>
      <c r="O115" s="2100"/>
      <c r="P115" s="2100"/>
      <c r="Q115" s="2100"/>
      <c r="R115" s="2101"/>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1" t="s">
        <v>2364</v>
      </c>
      <c r="C117" s="2112"/>
      <c r="D117" s="2112"/>
      <c r="E117" s="2112"/>
      <c r="F117" s="2112"/>
      <c r="G117" s="2112"/>
      <c r="H117" s="2112"/>
      <c r="I117" s="2112"/>
      <c r="J117" s="2112"/>
      <c r="K117" s="2112"/>
      <c r="L117" s="2112"/>
      <c r="M117" s="2112"/>
      <c r="N117" s="2112"/>
      <c r="O117" s="2112"/>
      <c r="P117" s="2112"/>
      <c r="Q117" s="2112"/>
      <c r="R117" s="2112"/>
      <c r="S117" s="2112"/>
      <c r="T117" s="2112"/>
      <c r="U117" s="2115" t="s">
        <v>545</v>
      </c>
      <c r="V117" s="2115"/>
      <c r="W117" s="2115"/>
      <c r="X117" s="2116"/>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3"/>
      <c r="C118" s="2114"/>
      <c r="D118" s="2114"/>
      <c r="E118" s="2114"/>
      <c r="F118" s="2114"/>
      <c r="G118" s="2114"/>
      <c r="H118" s="2114"/>
      <c r="I118" s="2114"/>
      <c r="J118" s="2114"/>
      <c r="K118" s="2114"/>
      <c r="L118" s="2114"/>
      <c r="M118" s="2114"/>
      <c r="N118" s="2114"/>
      <c r="O118" s="2114"/>
      <c r="P118" s="2114"/>
      <c r="Q118" s="2114"/>
      <c r="R118" s="2114"/>
      <c r="S118" s="2114"/>
      <c r="T118" s="2114"/>
      <c r="U118" s="2117"/>
      <c r="V118" s="2117"/>
      <c r="W118" s="2117"/>
      <c r="X118" s="2118"/>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3"/>
      <c r="C119" s="2114"/>
      <c r="D119" s="2114"/>
      <c r="E119" s="2114"/>
      <c r="F119" s="2114"/>
      <c r="G119" s="2114"/>
      <c r="H119" s="2114"/>
      <c r="I119" s="2114"/>
      <c r="J119" s="2114"/>
      <c r="K119" s="2114"/>
      <c r="L119" s="2114"/>
      <c r="M119" s="2114"/>
      <c r="N119" s="2114"/>
      <c r="O119" s="2114"/>
      <c r="P119" s="2114"/>
      <c r="Q119" s="2114"/>
      <c r="R119" s="2114"/>
      <c r="S119" s="2114"/>
      <c r="T119" s="2114"/>
      <c r="U119" s="2117"/>
      <c r="V119" s="2117"/>
      <c r="W119" s="2117"/>
      <c r="X119" s="2118"/>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3"/>
      <c r="C120" s="2114"/>
      <c r="D120" s="2114"/>
      <c r="E120" s="2114"/>
      <c r="F120" s="2114"/>
      <c r="G120" s="2114"/>
      <c r="H120" s="2114"/>
      <c r="I120" s="2114"/>
      <c r="J120" s="2114"/>
      <c r="K120" s="2114"/>
      <c r="L120" s="2114"/>
      <c r="M120" s="2114"/>
      <c r="N120" s="2114"/>
      <c r="O120" s="2114"/>
      <c r="P120" s="2114"/>
      <c r="Q120" s="2114"/>
      <c r="R120" s="2114"/>
      <c r="S120" s="2114"/>
      <c r="T120" s="2114"/>
      <c r="U120" s="2117"/>
      <c r="V120" s="2117"/>
      <c r="W120" s="2117"/>
      <c r="X120" s="2118"/>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02" t="s">
        <v>2364</v>
      </c>
      <c r="C121" s="2119"/>
      <c r="D121" s="2119"/>
      <c r="E121" s="2119"/>
      <c r="F121" s="2119"/>
      <c r="G121" s="2119"/>
      <c r="H121" s="2119"/>
      <c r="I121" s="2119"/>
      <c r="J121" s="2119"/>
      <c r="K121" s="2119"/>
      <c r="L121" s="2119"/>
      <c r="M121" s="2119"/>
      <c r="N121" s="2119"/>
      <c r="O121" s="2119"/>
      <c r="P121" s="2119"/>
      <c r="Q121" s="2119"/>
      <c r="R121" s="2119"/>
      <c r="S121" s="2119"/>
      <c r="T121" s="2119"/>
      <c r="U121" s="2122" t="s">
        <v>545</v>
      </c>
      <c r="V121" s="2122"/>
      <c r="W121" s="2122"/>
      <c r="X121" s="2123"/>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0"/>
      <c r="C122" s="2121"/>
      <c r="D122" s="2121"/>
      <c r="E122" s="2121"/>
      <c r="F122" s="2121"/>
      <c r="G122" s="2121"/>
      <c r="H122" s="2121"/>
      <c r="I122" s="2121"/>
      <c r="J122" s="2121"/>
      <c r="K122" s="2121"/>
      <c r="L122" s="2121"/>
      <c r="M122" s="2121"/>
      <c r="N122" s="2121"/>
      <c r="O122" s="2121"/>
      <c r="P122" s="2121"/>
      <c r="Q122" s="2121"/>
      <c r="R122" s="2121"/>
      <c r="S122" s="2121"/>
      <c r="T122" s="2121"/>
      <c r="U122" s="2124"/>
      <c r="V122" s="2124"/>
      <c r="W122" s="2124"/>
      <c r="X122" s="2125"/>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6" t="s">
        <v>2362</v>
      </c>
      <c r="Y125" s="2127"/>
      <c r="Z125" s="2127"/>
      <c r="AA125" s="2127"/>
      <c r="AB125" s="2127"/>
      <c r="AC125" s="2127"/>
      <c r="AD125" s="2127"/>
      <c r="AE125" s="2127"/>
      <c r="AF125" s="2127"/>
      <c r="AG125" s="2127"/>
      <c r="AH125" s="2127"/>
      <c r="AI125" s="2127"/>
      <c r="AJ125" s="2127"/>
      <c r="AK125" s="2127"/>
      <c r="AL125" s="2127"/>
      <c r="AM125" s="2127"/>
      <c r="AN125" s="2127"/>
      <c r="AO125" s="2127"/>
      <c r="AP125" s="2127"/>
      <c r="AQ125" s="2127"/>
      <c r="AR125" s="2127"/>
      <c r="AS125" s="2127"/>
      <c r="AT125" s="2127"/>
      <c r="AU125" s="2127"/>
      <c r="AV125" s="2127"/>
      <c r="AW125" s="2127"/>
      <c r="AX125" s="2127"/>
      <c r="AY125" s="2127"/>
      <c r="AZ125" s="2127"/>
      <c r="BA125" s="2127"/>
      <c r="BB125" s="2127"/>
      <c r="BC125" s="2127"/>
      <c r="BD125" s="2128"/>
      <c r="BE125" s="1194"/>
    </row>
    <row r="126" spans="1:57" ht="15.75" customHeight="1">
      <c r="A126" s="1190"/>
      <c r="B126" s="2132" t="s">
        <v>1576</v>
      </c>
      <c r="C126" s="2133"/>
      <c r="D126" s="2133"/>
      <c r="E126" s="2133"/>
      <c r="F126" s="2133"/>
      <c r="G126" s="2133"/>
      <c r="H126" s="2133"/>
      <c r="I126" s="2133"/>
      <c r="J126" s="2133"/>
      <c r="K126" s="2133"/>
      <c r="L126" s="2133"/>
      <c r="M126" s="2133"/>
      <c r="N126" s="2133"/>
      <c r="O126" s="2133"/>
      <c r="P126" s="2133"/>
      <c r="Q126" s="2133"/>
      <c r="R126" s="2133"/>
      <c r="S126" s="2133"/>
      <c r="T126" s="2133"/>
      <c r="U126" s="2134"/>
      <c r="V126" s="1190"/>
      <c r="W126" s="1190"/>
      <c r="X126" s="2129"/>
      <c r="Y126" s="2130"/>
      <c r="Z126" s="2130"/>
      <c r="AA126" s="2130"/>
      <c r="AB126" s="2130"/>
      <c r="AC126" s="2130"/>
      <c r="AD126" s="2130"/>
      <c r="AE126" s="2130"/>
      <c r="AF126" s="2130"/>
      <c r="AG126" s="2130"/>
      <c r="AH126" s="2130"/>
      <c r="AI126" s="2130"/>
      <c r="AJ126" s="2130"/>
      <c r="AK126" s="2130"/>
      <c r="AL126" s="2130"/>
      <c r="AM126" s="2130"/>
      <c r="AN126" s="2130"/>
      <c r="AO126" s="2130"/>
      <c r="AP126" s="2130"/>
      <c r="AQ126" s="2130"/>
      <c r="AR126" s="2130"/>
      <c r="AS126" s="2130"/>
      <c r="AT126" s="2130"/>
      <c r="AU126" s="2130"/>
      <c r="AV126" s="2130"/>
      <c r="AW126" s="2130"/>
      <c r="AX126" s="2130"/>
      <c r="AY126" s="2130"/>
      <c r="AZ126" s="2130"/>
      <c r="BA126" s="2130"/>
      <c r="BB126" s="2130"/>
      <c r="BC126" s="2130"/>
      <c r="BD126" s="2131"/>
      <c r="BE126" s="1194"/>
    </row>
    <row r="127" spans="1:57" ht="15.75" customHeight="1">
      <c r="A127" s="1190"/>
      <c r="B127" s="2040"/>
      <c r="C127" s="2041"/>
      <c r="D127" s="2041"/>
      <c r="E127" s="2041"/>
      <c r="F127" s="2041"/>
      <c r="G127" s="2041"/>
      <c r="H127" s="2041"/>
      <c r="I127" s="2106" t="s">
        <v>2361</v>
      </c>
      <c r="J127" s="2106"/>
      <c r="K127" s="2106"/>
      <c r="L127" s="2106"/>
      <c r="M127" s="2106"/>
      <c r="N127" s="2106"/>
      <c r="O127" s="2107" t="s">
        <v>2360</v>
      </c>
      <c r="P127" s="2107"/>
      <c r="Q127" s="2107"/>
      <c r="R127" s="2107"/>
      <c r="S127" s="2107"/>
      <c r="T127" s="2107"/>
      <c r="U127" s="2108"/>
      <c r="V127" s="1190"/>
      <c r="W127" s="1190"/>
      <c r="X127" s="2102" t="s">
        <v>2773</v>
      </c>
      <c r="Y127" s="2044"/>
      <c r="Z127" s="2044"/>
      <c r="AA127" s="2044"/>
      <c r="AB127" s="2044"/>
      <c r="AC127" s="2044"/>
      <c r="AD127" s="2044"/>
      <c r="AE127" s="2044"/>
      <c r="AF127" s="2044"/>
      <c r="AG127" s="2044"/>
      <c r="AH127" s="2044"/>
      <c r="AI127" s="2044"/>
      <c r="AJ127" s="2044"/>
      <c r="AK127" s="2044"/>
      <c r="AL127" s="2044"/>
      <c r="AM127" s="2044"/>
      <c r="AN127" s="2044"/>
      <c r="AO127" s="2044"/>
      <c r="AP127" s="2044"/>
      <c r="AQ127" s="2044"/>
      <c r="AR127" s="2044"/>
      <c r="AS127" s="2044"/>
      <c r="AT127" s="2044"/>
      <c r="AU127" s="2044"/>
      <c r="AV127" s="2044"/>
      <c r="AW127" s="2044"/>
      <c r="AX127" s="2044"/>
      <c r="AY127" s="2044"/>
      <c r="AZ127" s="2044"/>
      <c r="BA127" s="2044"/>
      <c r="BB127" s="2044"/>
      <c r="BC127" s="2044"/>
      <c r="BD127" s="2045"/>
      <c r="BE127" s="1194"/>
    </row>
    <row r="128" spans="1:57" ht="15.75" customHeight="1">
      <c r="A128" s="1190"/>
      <c r="B128" s="2074" t="s">
        <v>2346</v>
      </c>
      <c r="C128" s="2075"/>
      <c r="D128" s="2075"/>
      <c r="E128" s="2075"/>
      <c r="F128" s="2075"/>
      <c r="G128" s="2075"/>
      <c r="H128" s="2075"/>
      <c r="I128" s="2076">
        <v>125</v>
      </c>
      <c r="J128" s="2076"/>
      <c r="K128" s="2076"/>
      <c r="L128" s="2076"/>
      <c r="M128" s="2076"/>
      <c r="N128" s="2076"/>
      <c r="O128" s="2076">
        <v>6</v>
      </c>
      <c r="P128" s="2076"/>
      <c r="Q128" s="2076"/>
      <c r="R128" s="2076"/>
      <c r="S128" s="2076"/>
      <c r="T128" s="2076"/>
      <c r="U128" s="2077"/>
      <c r="V128" s="1190"/>
      <c r="W128" s="1190"/>
      <c r="X128" s="2043"/>
      <c r="Y128" s="2044"/>
      <c r="Z128" s="2044"/>
      <c r="AA128" s="2044"/>
      <c r="AB128" s="2044"/>
      <c r="AC128" s="2044"/>
      <c r="AD128" s="2044"/>
      <c r="AE128" s="2044"/>
      <c r="AF128" s="2044"/>
      <c r="AG128" s="2044"/>
      <c r="AH128" s="2044"/>
      <c r="AI128" s="2044"/>
      <c r="AJ128" s="2044"/>
      <c r="AK128" s="2044"/>
      <c r="AL128" s="2044"/>
      <c r="AM128" s="2044"/>
      <c r="AN128" s="2044"/>
      <c r="AO128" s="2044"/>
      <c r="AP128" s="2044"/>
      <c r="AQ128" s="2044"/>
      <c r="AR128" s="2044"/>
      <c r="AS128" s="2044"/>
      <c r="AT128" s="2044"/>
      <c r="AU128" s="2044"/>
      <c r="AV128" s="2044"/>
      <c r="AW128" s="2044"/>
      <c r="AX128" s="2044"/>
      <c r="AY128" s="2044"/>
      <c r="AZ128" s="2044"/>
      <c r="BA128" s="2044"/>
      <c r="BB128" s="2044"/>
      <c r="BC128" s="2044"/>
      <c r="BD128" s="2045"/>
      <c r="BE128" s="1194"/>
    </row>
    <row r="129" spans="1:57" ht="15.75" customHeight="1" thickBot="1">
      <c r="A129" s="1190"/>
      <c r="B129" s="2068" t="s">
        <v>2345</v>
      </c>
      <c r="C129" s="2069"/>
      <c r="D129" s="2069"/>
      <c r="E129" s="2069"/>
      <c r="F129" s="2069"/>
      <c r="G129" s="2069"/>
      <c r="H129" s="2069"/>
      <c r="I129" s="2070">
        <v>25</v>
      </c>
      <c r="J129" s="2070"/>
      <c r="K129" s="2070"/>
      <c r="L129" s="2070"/>
      <c r="M129" s="2070"/>
      <c r="N129" s="2070"/>
      <c r="O129" s="2109"/>
      <c r="P129" s="2109"/>
      <c r="Q129" s="2109"/>
      <c r="R129" s="2109"/>
      <c r="S129" s="2109"/>
      <c r="T129" s="2109"/>
      <c r="U129" s="2110"/>
      <c r="V129" s="1190"/>
      <c r="W129" s="1190"/>
      <c r="X129" s="2043"/>
      <c r="Y129" s="2044"/>
      <c r="Z129" s="2044"/>
      <c r="AA129" s="2044"/>
      <c r="AB129" s="2044"/>
      <c r="AC129" s="2044"/>
      <c r="AD129" s="2044"/>
      <c r="AE129" s="2044"/>
      <c r="AF129" s="2044"/>
      <c r="AG129" s="2044"/>
      <c r="AH129" s="2044"/>
      <c r="AI129" s="2044"/>
      <c r="AJ129" s="2044"/>
      <c r="AK129" s="2044"/>
      <c r="AL129" s="2044"/>
      <c r="AM129" s="2044"/>
      <c r="AN129" s="2044"/>
      <c r="AO129" s="2044"/>
      <c r="AP129" s="2044"/>
      <c r="AQ129" s="2044"/>
      <c r="AR129" s="2044"/>
      <c r="AS129" s="2044"/>
      <c r="AT129" s="2044"/>
      <c r="AU129" s="2044"/>
      <c r="AV129" s="2044"/>
      <c r="AW129" s="2044"/>
      <c r="AX129" s="2044"/>
      <c r="AY129" s="2044"/>
      <c r="AZ129" s="2044"/>
      <c r="BA129" s="2044"/>
      <c r="BB129" s="2044"/>
      <c r="BC129" s="2044"/>
      <c r="BD129" s="204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4"/>
      <c r="Z130" s="2044"/>
      <c r="AA130" s="2044"/>
      <c r="AB130" s="2044"/>
      <c r="AC130" s="2044"/>
      <c r="AD130" s="2044"/>
      <c r="AE130" s="2044"/>
      <c r="AF130" s="2044"/>
      <c r="AG130" s="2044"/>
      <c r="AH130" s="2044"/>
      <c r="AI130" s="2044"/>
      <c r="AJ130" s="2044"/>
      <c r="AK130" s="2044"/>
      <c r="AL130" s="2044"/>
      <c r="AM130" s="2044"/>
      <c r="AN130" s="2044"/>
      <c r="AO130" s="2044"/>
      <c r="AP130" s="2044"/>
      <c r="AQ130" s="2044"/>
      <c r="AR130" s="2044"/>
      <c r="AS130" s="2044"/>
      <c r="AT130" s="2044"/>
      <c r="AU130" s="2044"/>
      <c r="AV130" s="2044"/>
      <c r="AW130" s="2044"/>
      <c r="AX130" s="2044"/>
      <c r="AY130" s="2044"/>
      <c r="AZ130" s="2044"/>
      <c r="BA130" s="2044"/>
      <c r="BB130" s="2044"/>
      <c r="BC130" s="2044"/>
      <c r="BD130" s="2045"/>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3"/>
      <c r="Y131" s="2044"/>
      <c r="Z131" s="2044"/>
      <c r="AA131" s="2044"/>
      <c r="AB131" s="2044"/>
      <c r="AC131" s="2044"/>
      <c r="AD131" s="2044"/>
      <c r="AE131" s="2044"/>
      <c r="AF131" s="2044"/>
      <c r="AG131" s="2044"/>
      <c r="AH131" s="2044"/>
      <c r="AI131" s="2044"/>
      <c r="AJ131" s="2044"/>
      <c r="AK131" s="2044"/>
      <c r="AL131" s="2044"/>
      <c r="AM131" s="2044"/>
      <c r="AN131" s="2044"/>
      <c r="AO131" s="2044"/>
      <c r="AP131" s="2044"/>
      <c r="AQ131" s="2044"/>
      <c r="AR131" s="2044"/>
      <c r="AS131" s="2044"/>
      <c r="AT131" s="2044"/>
      <c r="AU131" s="2044"/>
      <c r="AV131" s="2044"/>
      <c r="AW131" s="2044"/>
      <c r="AX131" s="2044"/>
      <c r="AY131" s="2044"/>
      <c r="AZ131" s="2044"/>
      <c r="BA131" s="2044"/>
      <c r="BB131" s="2044"/>
      <c r="BC131" s="2044"/>
      <c r="BD131" s="204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4"/>
      <c r="Z132" s="2044"/>
      <c r="AA132" s="2044"/>
      <c r="AB132" s="2044"/>
      <c r="AC132" s="2044"/>
      <c r="AD132" s="2044"/>
      <c r="AE132" s="2044"/>
      <c r="AF132" s="2044"/>
      <c r="AG132" s="2044"/>
      <c r="AH132" s="2044"/>
      <c r="AI132" s="2044"/>
      <c r="AJ132" s="2044"/>
      <c r="AK132" s="2044"/>
      <c r="AL132" s="2044"/>
      <c r="AM132" s="2044"/>
      <c r="AN132" s="2044"/>
      <c r="AO132" s="2044"/>
      <c r="AP132" s="2044"/>
      <c r="AQ132" s="2044"/>
      <c r="AR132" s="2044"/>
      <c r="AS132" s="2044"/>
      <c r="AT132" s="2044"/>
      <c r="AU132" s="2044"/>
      <c r="AV132" s="2044"/>
      <c r="AW132" s="2044"/>
      <c r="AX132" s="2044"/>
      <c r="AY132" s="2044"/>
      <c r="AZ132" s="2044"/>
      <c r="BA132" s="2044"/>
      <c r="BB132" s="2044"/>
      <c r="BC132" s="2044"/>
      <c r="BD132" s="2045"/>
      <c r="BE132" s="1194"/>
    </row>
    <row r="133" spans="1:57" ht="15.75" customHeight="1">
      <c r="A133" s="1190"/>
      <c r="B133" s="2103" t="s">
        <v>2358</v>
      </c>
      <c r="C133" s="2104"/>
      <c r="D133" s="2104"/>
      <c r="E133" s="2104"/>
      <c r="F133" s="2104"/>
      <c r="G133" s="2104"/>
      <c r="H133" s="2104"/>
      <c r="I133" s="2104"/>
      <c r="J133" s="2104"/>
      <c r="K133" s="2104"/>
      <c r="L133" s="2104"/>
      <c r="M133" s="2104"/>
      <c r="N133" s="2104"/>
      <c r="O133" s="2104"/>
      <c r="P133" s="2104"/>
      <c r="Q133" s="2104"/>
      <c r="R133" s="2104"/>
      <c r="S133" s="2104"/>
      <c r="T133" s="2104"/>
      <c r="U133" s="2105"/>
      <c r="V133" s="1190"/>
      <c r="W133" s="1190"/>
      <c r="X133" s="2043"/>
      <c r="Y133" s="2044"/>
      <c r="Z133" s="2044"/>
      <c r="AA133" s="2044"/>
      <c r="AB133" s="2044"/>
      <c r="AC133" s="2044"/>
      <c r="AD133" s="2044"/>
      <c r="AE133" s="2044"/>
      <c r="AF133" s="2044"/>
      <c r="AG133" s="2044"/>
      <c r="AH133" s="2044"/>
      <c r="AI133" s="2044"/>
      <c r="AJ133" s="2044"/>
      <c r="AK133" s="2044"/>
      <c r="AL133" s="2044"/>
      <c r="AM133" s="2044"/>
      <c r="AN133" s="2044"/>
      <c r="AO133" s="2044"/>
      <c r="AP133" s="2044"/>
      <c r="AQ133" s="2044"/>
      <c r="AR133" s="2044"/>
      <c r="AS133" s="2044"/>
      <c r="AT133" s="2044"/>
      <c r="AU133" s="2044"/>
      <c r="AV133" s="2044"/>
      <c r="AW133" s="2044"/>
      <c r="AX133" s="2044"/>
      <c r="AY133" s="2044"/>
      <c r="AZ133" s="2044"/>
      <c r="BA133" s="2044"/>
      <c r="BB133" s="2044"/>
      <c r="BC133" s="2044"/>
      <c r="BD133" s="2045"/>
      <c r="BE133" s="1194"/>
    </row>
    <row r="134" spans="1:57" ht="15.75" customHeight="1">
      <c r="A134" s="1190"/>
      <c r="B134" s="2040"/>
      <c r="C134" s="2041"/>
      <c r="D134" s="2041"/>
      <c r="E134" s="2041"/>
      <c r="F134" s="2041"/>
      <c r="G134" s="2041"/>
      <c r="H134" s="2041"/>
      <c r="I134" s="2079" t="s">
        <v>2348</v>
      </c>
      <c r="J134" s="2079"/>
      <c r="K134" s="2079"/>
      <c r="L134" s="2079"/>
      <c r="M134" s="2079"/>
      <c r="N134" s="2079"/>
      <c r="O134" s="2079"/>
      <c r="P134" s="2079" t="s">
        <v>2347</v>
      </c>
      <c r="Q134" s="2079"/>
      <c r="R134" s="2079"/>
      <c r="S134" s="2079"/>
      <c r="T134" s="2079"/>
      <c r="U134" s="2080"/>
      <c r="V134" s="1190"/>
      <c r="W134" s="1190"/>
      <c r="X134" s="2043"/>
      <c r="Y134" s="2044"/>
      <c r="Z134" s="2044"/>
      <c r="AA134" s="2044"/>
      <c r="AB134" s="2044"/>
      <c r="AC134" s="2044"/>
      <c r="AD134" s="2044"/>
      <c r="AE134" s="2044"/>
      <c r="AF134" s="2044"/>
      <c r="AG134" s="2044"/>
      <c r="AH134" s="2044"/>
      <c r="AI134" s="2044"/>
      <c r="AJ134" s="2044"/>
      <c r="AK134" s="2044"/>
      <c r="AL134" s="2044"/>
      <c r="AM134" s="2044"/>
      <c r="AN134" s="2044"/>
      <c r="AO134" s="2044"/>
      <c r="AP134" s="2044"/>
      <c r="AQ134" s="2044"/>
      <c r="AR134" s="2044"/>
      <c r="AS134" s="2044"/>
      <c r="AT134" s="2044"/>
      <c r="AU134" s="2044"/>
      <c r="AV134" s="2044"/>
      <c r="AW134" s="2044"/>
      <c r="AX134" s="2044"/>
      <c r="AY134" s="2044"/>
      <c r="AZ134" s="2044"/>
      <c r="BA134" s="2044"/>
      <c r="BB134" s="2044"/>
      <c r="BC134" s="2044"/>
      <c r="BD134" s="2045"/>
      <c r="BE134" s="1194"/>
    </row>
    <row r="135" spans="1:57" ht="15.75" customHeight="1">
      <c r="A135" s="1190"/>
      <c r="B135" s="2040"/>
      <c r="C135" s="2041"/>
      <c r="D135" s="2041"/>
      <c r="E135" s="2041"/>
      <c r="F135" s="2041"/>
      <c r="G135" s="2041"/>
      <c r="H135" s="2041"/>
      <c r="I135" s="2079"/>
      <c r="J135" s="2079"/>
      <c r="K135" s="2079"/>
      <c r="L135" s="2079"/>
      <c r="M135" s="2079"/>
      <c r="N135" s="2079"/>
      <c r="O135" s="2079"/>
      <c r="P135" s="2079"/>
      <c r="Q135" s="2079"/>
      <c r="R135" s="2079"/>
      <c r="S135" s="2079"/>
      <c r="T135" s="2079"/>
      <c r="U135" s="2080"/>
      <c r="V135" s="1190"/>
      <c r="W135" s="1190"/>
      <c r="X135" s="2043"/>
      <c r="Y135" s="2044"/>
      <c r="Z135" s="2044"/>
      <c r="AA135" s="2044"/>
      <c r="AB135" s="2044"/>
      <c r="AC135" s="2044"/>
      <c r="AD135" s="2044"/>
      <c r="AE135" s="2044"/>
      <c r="AF135" s="2044"/>
      <c r="AG135" s="2044"/>
      <c r="AH135" s="2044"/>
      <c r="AI135" s="2044"/>
      <c r="AJ135" s="2044"/>
      <c r="AK135" s="2044"/>
      <c r="AL135" s="2044"/>
      <c r="AM135" s="2044"/>
      <c r="AN135" s="2044"/>
      <c r="AO135" s="2044"/>
      <c r="AP135" s="2044"/>
      <c r="AQ135" s="2044"/>
      <c r="AR135" s="2044"/>
      <c r="AS135" s="2044"/>
      <c r="AT135" s="2044"/>
      <c r="AU135" s="2044"/>
      <c r="AV135" s="2044"/>
      <c r="AW135" s="2044"/>
      <c r="AX135" s="2044"/>
      <c r="AY135" s="2044"/>
      <c r="AZ135" s="2044"/>
      <c r="BA135" s="2044"/>
      <c r="BB135" s="2044"/>
      <c r="BC135" s="2044"/>
      <c r="BD135" s="2045"/>
      <c r="BE135" s="1194"/>
    </row>
    <row r="136" spans="1:57" ht="15.75" customHeight="1">
      <c r="A136" s="1190"/>
      <c r="B136" s="2074" t="s">
        <v>2346</v>
      </c>
      <c r="C136" s="2075"/>
      <c r="D136" s="2075"/>
      <c r="E136" s="2075"/>
      <c r="F136" s="2075"/>
      <c r="G136" s="2075"/>
      <c r="H136" s="2075"/>
      <c r="I136" s="2076">
        <v>1</v>
      </c>
      <c r="J136" s="2076"/>
      <c r="K136" s="2076"/>
      <c r="L136" s="2076"/>
      <c r="M136" s="2076"/>
      <c r="N136" s="2076"/>
      <c r="O136" s="2076"/>
      <c r="P136" s="2076">
        <v>5</v>
      </c>
      <c r="Q136" s="2076"/>
      <c r="R136" s="2076"/>
      <c r="S136" s="2076"/>
      <c r="T136" s="2076"/>
      <c r="U136" s="2077"/>
      <c r="V136" s="1190"/>
      <c r="W136" s="1190"/>
      <c r="X136" s="2043"/>
      <c r="Y136" s="2044"/>
      <c r="Z136" s="2044"/>
      <c r="AA136" s="2044"/>
      <c r="AB136" s="2044"/>
      <c r="AC136" s="2044"/>
      <c r="AD136" s="2044"/>
      <c r="AE136" s="2044"/>
      <c r="AF136" s="2044"/>
      <c r="AG136" s="2044"/>
      <c r="AH136" s="2044"/>
      <c r="AI136" s="2044"/>
      <c r="AJ136" s="2044"/>
      <c r="AK136" s="2044"/>
      <c r="AL136" s="2044"/>
      <c r="AM136" s="2044"/>
      <c r="AN136" s="2044"/>
      <c r="AO136" s="2044"/>
      <c r="AP136" s="2044"/>
      <c r="AQ136" s="2044"/>
      <c r="AR136" s="2044"/>
      <c r="AS136" s="2044"/>
      <c r="AT136" s="2044"/>
      <c r="AU136" s="2044"/>
      <c r="AV136" s="2044"/>
      <c r="AW136" s="2044"/>
      <c r="AX136" s="2044"/>
      <c r="AY136" s="2044"/>
      <c r="AZ136" s="2044"/>
      <c r="BA136" s="2044"/>
      <c r="BB136" s="2044"/>
      <c r="BC136" s="2044"/>
      <c r="BD136" s="2045"/>
      <c r="BE136" s="1194"/>
    </row>
    <row r="137" spans="1:57" ht="15.75" customHeight="1" thickBot="1">
      <c r="A137" s="1190"/>
      <c r="B137" s="2068" t="s">
        <v>2345</v>
      </c>
      <c r="C137" s="2069"/>
      <c r="D137" s="2069"/>
      <c r="E137" s="2069"/>
      <c r="F137" s="2069"/>
      <c r="G137" s="2069"/>
      <c r="H137" s="2069"/>
      <c r="I137" s="2070">
        <v>0</v>
      </c>
      <c r="J137" s="2070"/>
      <c r="K137" s="2070"/>
      <c r="L137" s="2070"/>
      <c r="M137" s="2070"/>
      <c r="N137" s="2070"/>
      <c r="O137" s="2070"/>
      <c r="P137" s="2070">
        <v>0</v>
      </c>
      <c r="Q137" s="2070"/>
      <c r="R137" s="2070"/>
      <c r="S137" s="2070"/>
      <c r="T137" s="2070"/>
      <c r="U137" s="2071"/>
      <c r="V137" s="1190"/>
      <c r="W137" s="1190"/>
      <c r="X137" s="2046"/>
      <c r="Y137" s="2047"/>
      <c r="Z137" s="2047"/>
      <c r="AA137" s="2047"/>
      <c r="AB137" s="2047"/>
      <c r="AC137" s="2047"/>
      <c r="AD137" s="2047"/>
      <c r="AE137" s="2047"/>
      <c r="AF137" s="2047"/>
      <c r="AG137" s="2047"/>
      <c r="AH137" s="2047"/>
      <c r="AI137" s="2047"/>
      <c r="AJ137" s="2047"/>
      <c r="AK137" s="2047"/>
      <c r="AL137" s="2047"/>
      <c r="AM137" s="2047"/>
      <c r="AN137" s="2047"/>
      <c r="AO137" s="2047"/>
      <c r="AP137" s="2047"/>
      <c r="AQ137" s="2047"/>
      <c r="AR137" s="2047"/>
      <c r="AS137" s="2047"/>
      <c r="AT137" s="2047"/>
      <c r="AU137" s="2047"/>
      <c r="AV137" s="2047"/>
      <c r="AW137" s="2047"/>
      <c r="AX137" s="2047"/>
      <c r="AY137" s="2047"/>
      <c r="AZ137" s="2047"/>
      <c r="BA137" s="2047"/>
      <c r="BB137" s="2047"/>
      <c r="BC137" s="2047"/>
      <c r="BD137" s="204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7" t="s">
        <v>2357</v>
      </c>
      <c r="C139" s="2098"/>
      <c r="D139" s="2098"/>
      <c r="E139" s="2098"/>
      <c r="F139" s="2098"/>
      <c r="G139" s="2098"/>
      <c r="H139" s="2098"/>
      <c r="I139" s="2098"/>
      <c r="J139" s="2098"/>
      <c r="K139" s="2098"/>
      <c r="L139" s="2098"/>
      <c r="M139" s="2098"/>
      <c r="N139" s="2098"/>
      <c r="O139" s="2098"/>
      <c r="P139" s="2098"/>
      <c r="Q139" s="2098"/>
      <c r="R139" s="2098"/>
      <c r="S139" s="2098"/>
      <c r="T139" s="2098"/>
      <c r="U139" s="2098"/>
      <c r="V139" s="2098"/>
      <c r="W139" s="2098"/>
      <c r="X139" s="2098"/>
      <c r="Y139" s="2098"/>
      <c r="Z139" s="2098"/>
      <c r="AA139" s="2098"/>
      <c r="AB139" s="2098"/>
      <c r="AC139" s="2098"/>
      <c r="AD139" s="2098"/>
      <c r="AE139" s="2098"/>
      <c r="AF139" s="2098"/>
      <c r="AG139" s="2098"/>
      <c r="AH139" s="2084" t="s">
        <v>545</v>
      </c>
      <c r="AI139" s="2084"/>
      <c r="AJ139" s="2084"/>
      <c r="AK139" s="2084"/>
      <c r="AL139" s="2084"/>
      <c r="AM139" s="2084"/>
      <c r="AN139" s="2084"/>
      <c r="AO139" s="2084"/>
      <c r="AP139" s="2084"/>
      <c r="AQ139" s="2084"/>
      <c r="AR139" s="2084"/>
      <c r="AS139" s="2084"/>
      <c r="AT139" s="2084"/>
      <c r="AU139" s="2084"/>
      <c r="AV139" s="2084"/>
      <c r="AW139" s="2084"/>
      <c r="AX139" s="2085"/>
      <c r="AY139" s="1190"/>
      <c r="AZ139" s="1190"/>
      <c r="BA139" s="1190"/>
      <c r="BB139" s="1190"/>
      <c r="BC139" s="1190"/>
      <c r="BD139" s="1190"/>
      <c r="BE139" s="1194"/>
    </row>
    <row r="140" spans="1:57" ht="15.75" customHeight="1" thickBot="1">
      <c r="A140" s="1190"/>
      <c r="B140" s="2081" t="s">
        <v>2356</v>
      </c>
      <c r="C140" s="2082"/>
      <c r="D140" s="2082"/>
      <c r="E140" s="2082"/>
      <c r="F140" s="2082"/>
      <c r="G140" s="2082"/>
      <c r="H140" s="2082"/>
      <c r="I140" s="2082"/>
      <c r="J140" s="2082"/>
      <c r="K140" s="2082"/>
      <c r="L140" s="2082"/>
      <c r="M140" s="2082"/>
      <c r="N140" s="2082"/>
      <c r="O140" s="2082"/>
      <c r="P140" s="2082"/>
      <c r="Q140" s="2082"/>
      <c r="R140" s="2082"/>
      <c r="S140" s="2082"/>
      <c r="T140" s="2082"/>
      <c r="U140" s="2082"/>
      <c r="V140" s="2082"/>
      <c r="W140" s="2082"/>
      <c r="X140" s="2082"/>
      <c r="Y140" s="2082"/>
      <c r="Z140" s="2082"/>
      <c r="AA140" s="2082"/>
      <c r="AB140" s="2082"/>
      <c r="AC140" s="2082"/>
      <c r="AD140" s="2082"/>
      <c r="AE140" s="2082"/>
      <c r="AF140" s="2082"/>
      <c r="AG140" s="2083"/>
      <c r="AH140" s="2099" t="s">
        <v>2806</v>
      </c>
      <c r="AI140" s="2100"/>
      <c r="AJ140" s="2100"/>
      <c r="AK140" s="2100"/>
      <c r="AL140" s="2100"/>
      <c r="AM140" s="2100"/>
      <c r="AN140" s="2100"/>
      <c r="AO140" s="2100"/>
      <c r="AP140" s="2100"/>
      <c r="AQ140" s="2100"/>
      <c r="AR140" s="2100"/>
      <c r="AS140" s="2100"/>
      <c r="AT140" s="2100"/>
      <c r="AU140" s="2100"/>
      <c r="AV140" s="2100"/>
      <c r="AW140" s="2100"/>
      <c r="AX140" s="2101"/>
      <c r="AY140" s="1190"/>
      <c r="AZ140" s="1190"/>
      <c r="BA140" s="1190"/>
      <c r="BB140" s="1190"/>
      <c r="BC140" s="1190"/>
      <c r="BD140" s="1190"/>
      <c r="BE140" s="1194"/>
    </row>
    <row r="141" spans="1:57" ht="15.75" customHeight="1">
      <c r="A141" s="1190"/>
      <c r="B141" s="2081" t="s">
        <v>2355</v>
      </c>
      <c r="C141" s="2082"/>
      <c r="D141" s="2082"/>
      <c r="E141" s="2082"/>
      <c r="F141" s="2082"/>
      <c r="G141" s="2082"/>
      <c r="H141" s="2082"/>
      <c r="I141" s="2082"/>
      <c r="J141" s="2082"/>
      <c r="K141" s="2082"/>
      <c r="L141" s="2082"/>
      <c r="M141" s="2082"/>
      <c r="N141" s="2082"/>
      <c r="O141" s="2082"/>
      <c r="P141" s="2082"/>
      <c r="Q141" s="2082"/>
      <c r="R141" s="2082"/>
      <c r="S141" s="2082"/>
      <c r="T141" s="2082"/>
      <c r="U141" s="2082"/>
      <c r="V141" s="2082"/>
      <c r="W141" s="2082"/>
      <c r="X141" s="2082"/>
      <c r="Y141" s="2082"/>
      <c r="Z141" s="2082"/>
      <c r="AA141" s="2082"/>
      <c r="AB141" s="2082"/>
      <c r="AC141" s="2082"/>
      <c r="AD141" s="2082"/>
      <c r="AE141" s="2082"/>
      <c r="AF141" s="2082"/>
      <c r="AG141" s="2083"/>
      <c r="AH141" s="2084" t="s">
        <v>669</v>
      </c>
      <c r="AI141" s="2084"/>
      <c r="AJ141" s="2084"/>
      <c r="AK141" s="2084"/>
      <c r="AL141" s="2084"/>
      <c r="AM141" s="2084"/>
      <c r="AN141" s="2084"/>
      <c r="AO141" s="2084"/>
      <c r="AP141" s="2084"/>
      <c r="AQ141" s="2084"/>
      <c r="AR141" s="2084"/>
      <c r="AS141" s="2084"/>
      <c r="AT141" s="2084"/>
      <c r="AU141" s="2084"/>
      <c r="AV141" s="2084"/>
      <c r="AW141" s="2084"/>
      <c r="AX141" s="2085"/>
      <c r="AY141" s="1190"/>
      <c r="AZ141" s="1190"/>
      <c r="BA141" s="1190"/>
      <c r="BB141" s="1190"/>
      <c r="BC141" s="1190"/>
      <c r="BD141" s="1190"/>
      <c r="BE141" s="1194"/>
    </row>
    <row r="142" spans="1:57" ht="15.75" customHeight="1">
      <c r="A142" s="1190"/>
      <c r="B142" s="2086" t="s">
        <v>2354</v>
      </c>
      <c r="C142" s="2087"/>
      <c r="D142" s="2087"/>
      <c r="E142" s="2087"/>
      <c r="F142" s="2087"/>
      <c r="G142" s="2087"/>
      <c r="H142" s="2087"/>
      <c r="I142" s="2087"/>
      <c r="J142" s="2087"/>
      <c r="K142" s="2087"/>
      <c r="L142" s="2087"/>
      <c r="M142" s="2087"/>
      <c r="N142" s="2087"/>
      <c r="O142" s="2087"/>
      <c r="P142" s="2087"/>
      <c r="Q142" s="2087"/>
      <c r="R142" s="2088" t="s">
        <v>2774</v>
      </c>
      <c r="S142" s="2088"/>
      <c r="T142" s="2088"/>
      <c r="U142" s="2088"/>
      <c r="V142" s="2088"/>
      <c r="W142" s="2088"/>
      <c r="X142" s="2088"/>
      <c r="Y142" s="2088"/>
      <c r="Z142" s="2088"/>
      <c r="AA142" s="2088"/>
      <c r="AB142" s="2088"/>
      <c r="AC142" s="2088"/>
      <c r="AD142" s="2088"/>
      <c r="AE142" s="2088"/>
      <c r="AF142" s="2088"/>
      <c r="AG142" s="2088"/>
      <c r="AH142" s="2088"/>
      <c r="AI142" s="2088"/>
      <c r="AJ142" s="2088"/>
      <c r="AK142" s="2088"/>
      <c r="AL142" s="2088"/>
      <c r="AM142" s="2088"/>
      <c r="AN142" s="2088"/>
      <c r="AO142" s="2088"/>
      <c r="AP142" s="2088"/>
      <c r="AQ142" s="2088"/>
      <c r="AR142" s="2088"/>
      <c r="AS142" s="2088"/>
      <c r="AT142" s="2088"/>
      <c r="AU142" s="2088"/>
      <c r="AV142" s="2088"/>
      <c r="AW142" s="2088"/>
      <c r="AX142" s="2089"/>
      <c r="AY142" s="1190"/>
      <c r="AZ142" s="1190"/>
      <c r="BA142" s="1190"/>
      <c r="BB142" s="1190"/>
      <c r="BC142" s="1190" t="s">
        <v>249</v>
      </c>
      <c r="BD142" s="1190"/>
      <c r="BE142" s="1194"/>
    </row>
    <row r="143" spans="1:57" ht="15.75" customHeight="1">
      <c r="A143" s="1190"/>
      <c r="B143" s="2090" t="s">
        <v>2775</v>
      </c>
      <c r="C143" s="2091"/>
      <c r="D143" s="2091"/>
      <c r="E143" s="2091"/>
      <c r="F143" s="2091"/>
      <c r="G143" s="2091"/>
      <c r="H143" s="2091"/>
      <c r="I143" s="2091"/>
      <c r="J143" s="2091"/>
      <c r="K143" s="2091"/>
      <c r="L143" s="2091"/>
      <c r="M143" s="2091"/>
      <c r="N143" s="2091"/>
      <c r="O143" s="2091"/>
      <c r="P143" s="2091"/>
      <c r="Q143" s="2091"/>
      <c r="R143" s="2091"/>
      <c r="S143" s="2091"/>
      <c r="T143" s="2091"/>
      <c r="U143" s="2091"/>
      <c r="V143" s="2091"/>
      <c r="W143" s="2091"/>
      <c r="X143" s="2091"/>
      <c r="Y143" s="2091"/>
      <c r="Z143" s="2091"/>
      <c r="AA143" s="2091"/>
      <c r="AB143" s="2091"/>
      <c r="AC143" s="2091"/>
      <c r="AD143" s="2091"/>
      <c r="AE143" s="2091"/>
      <c r="AF143" s="2091"/>
      <c r="AG143" s="2091"/>
      <c r="AH143" s="2091"/>
      <c r="AI143" s="2091"/>
      <c r="AJ143" s="2091"/>
      <c r="AK143" s="2091"/>
      <c r="AL143" s="2091"/>
      <c r="AM143" s="2091"/>
      <c r="AN143" s="2091"/>
      <c r="AO143" s="2091"/>
      <c r="AP143" s="2091"/>
      <c r="AQ143" s="2091"/>
      <c r="AR143" s="2091"/>
      <c r="AS143" s="2091"/>
      <c r="AT143" s="2091"/>
      <c r="AU143" s="2091"/>
      <c r="AV143" s="2091"/>
      <c r="AW143" s="2091"/>
      <c r="AX143" s="2092"/>
      <c r="AY143" s="1190"/>
      <c r="AZ143" s="1190"/>
      <c r="BA143" s="1190"/>
      <c r="BB143" s="1190"/>
      <c r="BC143" s="1190"/>
      <c r="BD143" s="1190"/>
      <c r="BE143" s="1194"/>
    </row>
    <row r="144" spans="1:57" ht="15.75" customHeight="1">
      <c r="A144" s="1190"/>
      <c r="B144" s="2093"/>
      <c r="C144" s="2091"/>
      <c r="D144" s="2091"/>
      <c r="E144" s="2091"/>
      <c r="F144" s="2091"/>
      <c r="G144" s="2091"/>
      <c r="H144" s="2091"/>
      <c r="I144" s="2091"/>
      <c r="J144" s="2091"/>
      <c r="K144" s="2091"/>
      <c r="L144" s="2091"/>
      <c r="M144" s="2091"/>
      <c r="N144" s="2091"/>
      <c r="O144" s="2091"/>
      <c r="P144" s="2091"/>
      <c r="Q144" s="2091"/>
      <c r="R144" s="2091"/>
      <c r="S144" s="2091"/>
      <c r="T144" s="2091"/>
      <c r="U144" s="2091"/>
      <c r="V144" s="2091"/>
      <c r="W144" s="2091"/>
      <c r="X144" s="2091"/>
      <c r="Y144" s="2091"/>
      <c r="Z144" s="2091"/>
      <c r="AA144" s="2091"/>
      <c r="AB144" s="2091"/>
      <c r="AC144" s="2091"/>
      <c r="AD144" s="2091"/>
      <c r="AE144" s="2091"/>
      <c r="AF144" s="2091"/>
      <c r="AG144" s="2091"/>
      <c r="AH144" s="2091"/>
      <c r="AI144" s="2091"/>
      <c r="AJ144" s="2091"/>
      <c r="AK144" s="2091"/>
      <c r="AL144" s="2091"/>
      <c r="AM144" s="2091"/>
      <c r="AN144" s="2091"/>
      <c r="AO144" s="2091"/>
      <c r="AP144" s="2091"/>
      <c r="AQ144" s="2091"/>
      <c r="AR144" s="2091"/>
      <c r="AS144" s="2091"/>
      <c r="AT144" s="2091"/>
      <c r="AU144" s="2091"/>
      <c r="AV144" s="2091"/>
      <c r="AW144" s="2091"/>
      <c r="AX144" s="2092"/>
      <c r="AY144" s="1190"/>
      <c r="AZ144" s="1190"/>
      <c r="BA144" s="1190"/>
      <c r="BB144" s="1190"/>
      <c r="BC144" s="1190"/>
      <c r="BD144" s="1190"/>
      <c r="BE144" s="1194"/>
    </row>
    <row r="145" spans="1:57" ht="15.75" customHeight="1">
      <c r="A145" s="1190"/>
      <c r="B145" s="2093"/>
      <c r="C145" s="2091"/>
      <c r="D145" s="2091"/>
      <c r="E145" s="2091"/>
      <c r="F145" s="2091"/>
      <c r="G145" s="2091"/>
      <c r="H145" s="2091"/>
      <c r="I145" s="2091"/>
      <c r="J145" s="2091"/>
      <c r="K145" s="2091"/>
      <c r="L145" s="2091"/>
      <c r="M145" s="2091"/>
      <c r="N145" s="2091"/>
      <c r="O145" s="2091"/>
      <c r="P145" s="2091"/>
      <c r="Q145" s="2091"/>
      <c r="R145" s="2091"/>
      <c r="S145" s="2091"/>
      <c r="T145" s="2091"/>
      <c r="U145" s="2091"/>
      <c r="V145" s="2091"/>
      <c r="W145" s="2091"/>
      <c r="X145" s="2091"/>
      <c r="Y145" s="2091"/>
      <c r="Z145" s="2091"/>
      <c r="AA145" s="2091"/>
      <c r="AB145" s="2091"/>
      <c r="AC145" s="2091"/>
      <c r="AD145" s="2091"/>
      <c r="AE145" s="2091"/>
      <c r="AF145" s="2091"/>
      <c r="AG145" s="2091"/>
      <c r="AH145" s="2091"/>
      <c r="AI145" s="2091"/>
      <c r="AJ145" s="2091"/>
      <c r="AK145" s="2091"/>
      <c r="AL145" s="2091"/>
      <c r="AM145" s="2091"/>
      <c r="AN145" s="2091"/>
      <c r="AO145" s="2091"/>
      <c r="AP145" s="2091"/>
      <c r="AQ145" s="2091"/>
      <c r="AR145" s="2091"/>
      <c r="AS145" s="2091"/>
      <c r="AT145" s="2091"/>
      <c r="AU145" s="2091"/>
      <c r="AV145" s="2091"/>
      <c r="AW145" s="2091"/>
      <c r="AX145" s="2092"/>
      <c r="AY145" s="1190"/>
      <c r="AZ145" s="1190"/>
      <c r="BA145" s="1190"/>
      <c r="BB145" s="1190"/>
      <c r="BC145" s="1190"/>
      <c r="BD145" s="1190"/>
      <c r="BE145" s="1194"/>
    </row>
    <row r="146" spans="1:57" ht="15.75" customHeight="1">
      <c r="A146" s="1190"/>
      <c r="B146" s="2093"/>
      <c r="C146" s="2091"/>
      <c r="D146" s="2091"/>
      <c r="E146" s="2091"/>
      <c r="F146" s="2091"/>
      <c r="G146" s="2091"/>
      <c r="H146" s="2091"/>
      <c r="I146" s="2091"/>
      <c r="J146" s="2091"/>
      <c r="K146" s="2091"/>
      <c r="L146" s="2091"/>
      <c r="M146" s="2091"/>
      <c r="N146" s="2091"/>
      <c r="O146" s="2091"/>
      <c r="P146" s="2091"/>
      <c r="Q146" s="2091"/>
      <c r="R146" s="2091"/>
      <c r="S146" s="2091"/>
      <c r="T146" s="2091"/>
      <c r="U146" s="2091"/>
      <c r="V146" s="2091"/>
      <c r="W146" s="2091"/>
      <c r="X146" s="2091"/>
      <c r="Y146" s="2091"/>
      <c r="Z146" s="2091"/>
      <c r="AA146" s="2091"/>
      <c r="AB146" s="2091"/>
      <c r="AC146" s="2091"/>
      <c r="AD146" s="2091"/>
      <c r="AE146" s="2091"/>
      <c r="AF146" s="2091"/>
      <c r="AG146" s="2091"/>
      <c r="AH146" s="2091"/>
      <c r="AI146" s="2091"/>
      <c r="AJ146" s="2091"/>
      <c r="AK146" s="2091"/>
      <c r="AL146" s="2091"/>
      <c r="AM146" s="2091"/>
      <c r="AN146" s="2091"/>
      <c r="AO146" s="2091"/>
      <c r="AP146" s="2091"/>
      <c r="AQ146" s="2091"/>
      <c r="AR146" s="2091"/>
      <c r="AS146" s="2091"/>
      <c r="AT146" s="2091"/>
      <c r="AU146" s="2091"/>
      <c r="AV146" s="2091"/>
      <c r="AW146" s="2091"/>
      <c r="AX146" s="2092"/>
      <c r="AY146" s="1190"/>
      <c r="AZ146" s="1190"/>
      <c r="BA146" s="1190"/>
      <c r="BB146" s="1190"/>
      <c r="BC146" s="1190"/>
      <c r="BD146" s="1190"/>
      <c r="BE146" s="1194"/>
    </row>
    <row r="147" spans="1:57" ht="15.75" customHeight="1">
      <c r="A147" s="1190"/>
      <c r="B147" s="2093"/>
      <c r="C147" s="2091"/>
      <c r="D147" s="2091"/>
      <c r="E147" s="2091"/>
      <c r="F147" s="2091"/>
      <c r="G147" s="2091"/>
      <c r="H147" s="2091"/>
      <c r="I147" s="2091"/>
      <c r="J147" s="2091"/>
      <c r="K147" s="2091"/>
      <c r="L147" s="2091"/>
      <c r="M147" s="2091"/>
      <c r="N147" s="2091"/>
      <c r="O147" s="2091"/>
      <c r="P147" s="2091"/>
      <c r="Q147" s="2091"/>
      <c r="R147" s="2091"/>
      <c r="S147" s="2091"/>
      <c r="T147" s="2091"/>
      <c r="U147" s="2091"/>
      <c r="V147" s="2091"/>
      <c r="W147" s="2091"/>
      <c r="X147" s="2091"/>
      <c r="Y147" s="2091"/>
      <c r="Z147" s="2091"/>
      <c r="AA147" s="2091"/>
      <c r="AB147" s="2091"/>
      <c r="AC147" s="2091"/>
      <c r="AD147" s="2091"/>
      <c r="AE147" s="2091"/>
      <c r="AF147" s="2091"/>
      <c r="AG147" s="2091"/>
      <c r="AH147" s="2091"/>
      <c r="AI147" s="2091"/>
      <c r="AJ147" s="2091"/>
      <c r="AK147" s="2091"/>
      <c r="AL147" s="2091"/>
      <c r="AM147" s="2091"/>
      <c r="AN147" s="2091"/>
      <c r="AO147" s="2091"/>
      <c r="AP147" s="2091"/>
      <c r="AQ147" s="2091"/>
      <c r="AR147" s="2091"/>
      <c r="AS147" s="2091"/>
      <c r="AT147" s="2091"/>
      <c r="AU147" s="2091"/>
      <c r="AV147" s="2091"/>
      <c r="AW147" s="2091"/>
      <c r="AX147" s="2092"/>
      <c r="AY147" s="1190"/>
      <c r="AZ147" s="1190"/>
      <c r="BA147" s="1190"/>
      <c r="BB147" s="1190"/>
      <c r="BC147" s="1190"/>
      <c r="BD147" s="1190"/>
      <c r="BE147" s="1194"/>
    </row>
    <row r="148" spans="1:57" ht="15.75" customHeight="1">
      <c r="A148" s="1190"/>
      <c r="B148" s="2093"/>
      <c r="C148" s="2091"/>
      <c r="D148" s="2091"/>
      <c r="E148" s="2091"/>
      <c r="F148" s="2091"/>
      <c r="G148" s="2091"/>
      <c r="H148" s="2091"/>
      <c r="I148" s="2091"/>
      <c r="J148" s="2091"/>
      <c r="K148" s="2091"/>
      <c r="L148" s="2091"/>
      <c r="M148" s="2091"/>
      <c r="N148" s="2091"/>
      <c r="O148" s="2091"/>
      <c r="P148" s="2091"/>
      <c r="Q148" s="2091"/>
      <c r="R148" s="2091"/>
      <c r="S148" s="2091"/>
      <c r="T148" s="2091"/>
      <c r="U148" s="2091"/>
      <c r="V148" s="2091"/>
      <c r="W148" s="2091"/>
      <c r="X148" s="2091"/>
      <c r="Y148" s="2091"/>
      <c r="Z148" s="2091"/>
      <c r="AA148" s="2091"/>
      <c r="AB148" s="2091"/>
      <c r="AC148" s="2091"/>
      <c r="AD148" s="2091"/>
      <c r="AE148" s="2091"/>
      <c r="AF148" s="2091"/>
      <c r="AG148" s="2091"/>
      <c r="AH148" s="2091"/>
      <c r="AI148" s="2091"/>
      <c r="AJ148" s="2091"/>
      <c r="AK148" s="2091"/>
      <c r="AL148" s="2091"/>
      <c r="AM148" s="2091"/>
      <c r="AN148" s="2091"/>
      <c r="AO148" s="2091"/>
      <c r="AP148" s="2091"/>
      <c r="AQ148" s="2091"/>
      <c r="AR148" s="2091"/>
      <c r="AS148" s="2091"/>
      <c r="AT148" s="2091"/>
      <c r="AU148" s="2091"/>
      <c r="AV148" s="2091"/>
      <c r="AW148" s="2091"/>
      <c r="AX148" s="2092"/>
      <c r="AY148" s="1190"/>
      <c r="AZ148" s="1190"/>
      <c r="BA148" s="1190"/>
      <c r="BB148" s="1190"/>
      <c r="BC148" s="1190"/>
      <c r="BD148" s="1190"/>
      <c r="BE148" s="1194"/>
    </row>
    <row r="149" spans="1:57" ht="15.75" customHeight="1">
      <c r="A149" s="1190"/>
      <c r="B149" s="2093"/>
      <c r="C149" s="2091"/>
      <c r="D149" s="2091"/>
      <c r="E149" s="2091"/>
      <c r="F149" s="2091"/>
      <c r="G149" s="2091"/>
      <c r="H149" s="2091"/>
      <c r="I149" s="2091"/>
      <c r="J149" s="2091"/>
      <c r="K149" s="2091"/>
      <c r="L149" s="2091"/>
      <c r="M149" s="2091"/>
      <c r="N149" s="2091"/>
      <c r="O149" s="2091"/>
      <c r="P149" s="2091"/>
      <c r="Q149" s="2091"/>
      <c r="R149" s="2091"/>
      <c r="S149" s="2091"/>
      <c r="T149" s="2091"/>
      <c r="U149" s="2091"/>
      <c r="V149" s="2091"/>
      <c r="W149" s="2091"/>
      <c r="X149" s="2091"/>
      <c r="Y149" s="2091"/>
      <c r="Z149" s="2091"/>
      <c r="AA149" s="2091"/>
      <c r="AB149" s="2091"/>
      <c r="AC149" s="2091"/>
      <c r="AD149" s="2091"/>
      <c r="AE149" s="2091"/>
      <c r="AF149" s="2091"/>
      <c r="AG149" s="2091"/>
      <c r="AH149" s="2091"/>
      <c r="AI149" s="2091"/>
      <c r="AJ149" s="2091"/>
      <c r="AK149" s="2091"/>
      <c r="AL149" s="2091"/>
      <c r="AM149" s="2091"/>
      <c r="AN149" s="2091"/>
      <c r="AO149" s="2091"/>
      <c r="AP149" s="2091"/>
      <c r="AQ149" s="2091"/>
      <c r="AR149" s="2091"/>
      <c r="AS149" s="2091"/>
      <c r="AT149" s="2091"/>
      <c r="AU149" s="2091"/>
      <c r="AV149" s="2091"/>
      <c r="AW149" s="2091"/>
      <c r="AX149" s="2092"/>
      <c r="AY149" s="1190"/>
      <c r="AZ149" s="1190"/>
      <c r="BA149" s="1190"/>
      <c r="BB149" s="1190"/>
      <c r="BC149" s="1190"/>
      <c r="BD149" s="1190"/>
      <c r="BE149" s="1194"/>
    </row>
    <row r="150" spans="1:57" ht="15.75" customHeight="1">
      <c r="A150" s="1190"/>
      <c r="B150" s="2093"/>
      <c r="C150" s="2091"/>
      <c r="D150" s="2091"/>
      <c r="E150" s="2091"/>
      <c r="F150" s="2091"/>
      <c r="G150" s="2091"/>
      <c r="H150" s="2091"/>
      <c r="I150" s="2091"/>
      <c r="J150" s="2091"/>
      <c r="K150" s="2091"/>
      <c r="L150" s="2091"/>
      <c r="M150" s="2091"/>
      <c r="N150" s="2091"/>
      <c r="O150" s="2091"/>
      <c r="P150" s="2091"/>
      <c r="Q150" s="2091"/>
      <c r="R150" s="2091"/>
      <c r="S150" s="2091"/>
      <c r="T150" s="2091"/>
      <c r="U150" s="2091"/>
      <c r="V150" s="2091"/>
      <c r="W150" s="2091"/>
      <c r="X150" s="2091"/>
      <c r="Y150" s="2091"/>
      <c r="Z150" s="2091"/>
      <c r="AA150" s="2091"/>
      <c r="AB150" s="2091"/>
      <c r="AC150" s="2091"/>
      <c r="AD150" s="2091"/>
      <c r="AE150" s="2091"/>
      <c r="AF150" s="2091"/>
      <c r="AG150" s="2091"/>
      <c r="AH150" s="2091"/>
      <c r="AI150" s="2091"/>
      <c r="AJ150" s="2091"/>
      <c r="AK150" s="2091"/>
      <c r="AL150" s="2091"/>
      <c r="AM150" s="2091"/>
      <c r="AN150" s="2091"/>
      <c r="AO150" s="2091"/>
      <c r="AP150" s="2091"/>
      <c r="AQ150" s="2091"/>
      <c r="AR150" s="2091"/>
      <c r="AS150" s="2091"/>
      <c r="AT150" s="2091"/>
      <c r="AU150" s="2091"/>
      <c r="AV150" s="2091"/>
      <c r="AW150" s="2091"/>
      <c r="AX150" s="2092"/>
      <c r="AY150" s="1190"/>
      <c r="AZ150" s="1190"/>
      <c r="BA150" s="1190"/>
      <c r="BB150" s="1190"/>
      <c r="BC150" s="1190"/>
      <c r="BD150" s="1190"/>
      <c r="BE150" s="1194"/>
    </row>
    <row r="151" spans="1:57" ht="15.75" customHeight="1">
      <c r="A151" s="1190"/>
      <c r="B151" s="2093"/>
      <c r="C151" s="2091"/>
      <c r="D151" s="2091"/>
      <c r="E151" s="2091"/>
      <c r="F151" s="2091"/>
      <c r="G151" s="2091"/>
      <c r="H151" s="2091"/>
      <c r="I151" s="2091"/>
      <c r="J151" s="2091"/>
      <c r="K151" s="2091"/>
      <c r="L151" s="2091"/>
      <c r="M151" s="2091"/>
      <c r="N151" s="2091"/>
      <c r="O151" s="2091"/>
      <c r="P151" s="2091"/>
      <c r="Q151" s="2091"/>
      <c r="R151" s="2091"/>
      <c r="S151" s="2091"/>
      <c r="T151" s="2091"/>
      <c r="U151" s="2091"/>
      <c r="V151" s="2091"/>
      <c r="W151" s="2091"/>
      <c r="X151" s="2091"/>
      <c r="Y151" s="2091"/>
      <c r="Z151" s="2091"/>
      <c r="AA151" s="2091"/>
      <c r="AB151" s="2091"/>
      <c r="AC151" s="2091"/>
      <c r="AD151" s="2091"/>
      <c r="AE151" s="2091"/>
      <c r="AF151" s="2091"/>
      <c r="AG151" s="2091"/>
      <c r="AH151" s="2091"/>
      <c r="AI151" s="2091"/>
      <c r="AJ151" s="2091"/>
      <c r="AK151" s="2091"/>
      <c r="AL151" s="2091"/>
      <c r="AM151" s="2091"/>
      <c r="AN151" s="2091"/>
      <c r="AO151" s="2091"/>
      <c r="AP151" s="2091"/>
      <c r="AQ151" s="2091"/>
      <c r="AR151" s="2091"/>
      <c r="AS151" s="2091"/>
      <c r="AT151" s="2091"/>
      <c r="AU151" s="2091"/>
      <c r="AV151" s="2091"/>
      <c r="AW151" s="2091"/>
      <c r="AX151" s="2092"/>
      <c r="AY151" s="1190"/>
      <c r="AZ151" s="1190"/>
      <c r="BA151" s="1190"/>
      <c r="BB151" s="1190"/>
      <c r="BC151" s="1190"/>
      <c r="BD151" s="1190"/>
      <c r="BE151" s="1194"/>
    </row>
    <row r="152" spans="1:57" ht="15.75" customHeight="1" thickBot="1">
      <c r="A152" s="1190"/>
      <c r="B152" s="2094"/>
      <c r="C152" s="2095"/>
      <c r="D152" s="2095"/>
      <c r="E152" s="2095"/>
      <c r="F152" s="2095"/>
      <c r="G152" s="2095"/>
      <c r="H152" s="2095"/>
      <c r="I152" s="2095"/>
      <c r="J152" s="2095"/>
      <c r="K152" s="2095"/>
      <c r="L152" s="2095"/>
      <c r="M152" s="2095"/>
      <c r="N152" s="2095"/>
      <c r="O152" s="2095"/>
      <c r="P152" s="2095"/>
      <c r="Q152" s="2095"/>
      <c r="R152" s="2095"/>
      <c r="S152" s="2095"/>
      <c r="T152" s="2095"/>
      <c r="U152" s="2095"/>
      <c r="V152" s="2095"/>
      <c r="W152" s="2095"/>
      <c r="X152" s="2095"/>
      <c r="Y152" s="2095"/>
      <c r="Z152" s="2095"/>
      <c r="AA152" s="2095"/>
      <c r="AB152" s="2095"/>
      <c r="AC152" s="2095"/>
      <c r="AD152" s="2095"/>
      <c r="AE152" s="2095"/>
      <c r="AF152" s="2095"/>
      <c r="AG152" s="2095"/>
      <c r="AH152" s="2095"/>
      <c r="AI152" s="2095"/>
      <c r="AJ152" s="2095"/>
      <c r="AK152" s="2095"/>
      <c r="AL152" s="2095"/>
      <c r="AM152" s="2095"/>
      <c r="AN152" s="2095"/>
      <c r="AO152" s="2095"/>
      <c r="AP152" s="2095"/>
      <c r="AQ152" s="2095"/>
      <c r="AR152" s="2095"/>
      <c r="AS152" s="2095"/>
      <c r="AT152" s="2095"/>
      <c r="AU152" s="2095"/>
      <c r="AV152" s="2095"/>
      <c r="AW152" s="2095"/>
      <c r="AX152" s="209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2" t="s">
        <v>2351</v>
      </c>
      <c r="C156" s="2028"/>
      <c r="D156" s="2028"/>
      <c r="E156" s="2028"/>
      <c r="F156" s="2028"/>
      <c r="G156" s="2028"/>
      <c r="H156" s="2028"/>
      <c r="I156" s="2028"/>
      <c r="J156" s="2028"/>
      <c r="K156" s="2028"/>
      <c r="L156" s="2028"/>
      <c r="M156" s="2028"/>
      <c r="N156" s="2028"/>
      <c r="O156" s="2028"/>
      <c r="P156" s="2028"/>
      <c r="Q156" s="2028"/>
      <c r="R156" s="2028"/>
      <c r="S156" s="2028"/>
      <c r="T156" s="2028"/>
      <c r="U156" s="2029"/>
      <c r="V156" s="1190"/>
      <c r="W156" s="1192"/>
      <c r="X156" s="2072" t="s">
        <v>2350</v>
      </c>
      <c r="Y156" s="2028"/>
      <c r="Z156" s="2028"/>
      <c r="AA156" s="2028"/>
      <c r="AB156" s="2028"/>
      <c r="AC156" s="2028"/>
      <c r="AD156" s="2028"/>
      <c r="AE156" s="2028"/>
      <c r="AF156" s="2028"/>
      <c r="AG156" s="2028"/>
      <c r="AH156" s="2028"/>
      <c r="AI156" s="2028"/>
      <c r="AJ156" s="2028"/>
      <c r="AK156" s="2028"/>
      <c r="AL156" s="2028"/>
      <c r="AM156" s="2028"/>
      <c r="AN156" s="2028"/>
      <c r="AO156" s="2028"/>
      <c r="AP156" s="2028"/>
      <c r="AQ156" s="2029"/>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0"/>
      <c r="C157" s="2041"/>
      <c r="D157" s="2041"/>
      <c r="E157" s="2041"/>
      <c r="F157" s="2041"/>
      <c r="G157" s="2041"/>
      <c r="H157" s="2041"/>
      <c r="I157" s="2079" t="s">
        <v>2348</v>
      </c>
      <c r="J157" s="2079"/>
      <c r="K157" s="2079"/>
      <c r="L157" s="2079"/>
      <c r="M157" s="2079"/>
      <c r="N157" s="2079"/>
      <c r="O157" s="2079"/>
      <c r="P157" s="2079" t="s">
        <v>2349</v>
      </c>
      <c r="Q157" s="2079"/>
      <c r="R157" s="2079"/>
      <c r="S157" s="2079"/>
      <c r="T157" s="2079"/>
      <c r="U157" s="2080"/>
      <c r="V157" s="1190"/>
      <c r="W157" s="1190"/>
      <c r="X157" s="2040"/>
      <c r="Y157" s="2041"/>
      <c r="Z157" s="2041"/>
      <c r="AA157" s="2041"/>
      <c r="AB157" s="2041"/>
      <c r="AC157" s="2041"/>
      <c r="AD157" s="2041"/>
      <c r="AE157" s="2079" t="s">
        <v>2348</v>
      </c>
      <c r="AF157" s="2079"/>
      <c r="AG157" s="2079"/>
      <c r="AH157" s="2079"/>
      <c r="AI157" s="2079"/>
      <c r="AJ157" s="2079"/>
      <c r="AK157" s="2079"/>
      <c r="AL157" s="2079" t="s">
        <v>2347</v>
      </c>
      <c r="AM157" s="2079"/>
      <c r="AN157" s="2079"/>
      <c r="AO157" s="2079"/>
      <c r="AP157" s="2079"/>
      <c r="AQ157" s="2080"/>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0"/>
      <c r="C158" s="2041"/>
      <c r="D158" s="2041"/>
      <c r="E158" s="2041"/>
      <c r="F158" s="2041"/>
      <c r="G158" s="2041"/>
      <c r="H158" s="2041"/>
      <c r="I158" s="2079"/>
      <c r="J158" s="2079"/>
      <c r="K158" s="2079"/>
      <c r="L158" s="2079"/>
      <c r="M158" s="2079"/>
      <c r="N158" s="2079"/>
      <c r="O158" s="2079"/>
      <c r="P158" s="2079"/>
      <c r="Q158" s="2079"/>
      <c r="R158" s="2079"/>
      <c r="S158" s="2079"/>
      <c r="T158" s="2079"/>
      <c r="U158" s="2080"/>
      <c r="V158" s="1190"/>
      <c r="W158" s="1190"/>
      <c r="X158" s="2040"/>
      <c r="Y158" s="2041"/>
      <c r="Z158" s="2041"/>
      <c r="AA158" s="2041"/>
      <c r="AB158" s="2041"/>
      <c r="AC158" s="2041"/>
      <c r="AD158" s="2041"/>
      <c r="AE158" s="2079"/>
      <c r="AF158" s="2079"/>
      <c r="AG158" s="2079"/>
      <c r="AH158" s="2079"/>
      <c r="AI158" s="2079"/>
      <c r="AJ158" s="2079"/>
      <c r="AK158" s="2079"/>
      <c r="AL158" s="2079"/>
      <c r="AM158" s="2079"/>
      <c r="AN158" s="2079"/>
      <c r="AO158" s="2079"/>
      <c r="AP158" s="2079"/>
      <c r="AQ158" s="2080"/>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4" t="s">
        <v>2346</v>
      </c>
      <c r="C159" s="2075"/>
      <c r="D159" s="2075"/>
      <c r="E159" s="2075"/>
      <c r="F159" s="2075"/>
      <c r="G159" s="2075"/>
      <c r="H159" s="2075"/>
      <c r="I159" s="2076">
        <v>3</v>
      </c>
      <c r="J159" s="2076"/>
      <c r="K159" s="2076"/>
      <c r="L159" s="2076"/>
      <c r="M159" s="2076"/>
      <c r="N159" s="2076"/>
      <c r="O159" s="2076"/>
      <c r="P159" s="2076">
        <v>5</v>
      </c>
      <c r="Q159" s="2076"/>
      <c r="R159" s="2076"/>
      <c r="S159" s="2076"/>
      <c r="T159" s="2076"/>
      <c r="U159" s="2077"/>
      <c r="V159" s="1190"/>
      <c r="W159" s="1190"/>
      <c r="X159" s="2068" t="s">
        <v>2346</v>
      </c>
      <c r="Y159" s="2069"/>
      <c r="Z159" s="2069"/>
      <c r="AA159" s="2069"/>
      <c r="AB159" s="2069"/>
      <c r="AC159" s="2069"/>
      <c r="AD159" s="2069"/>
      <c r="AE159" s="2078" t="s">
        <v>2682</v>
      </c>
      <c r="AF159" s="2070"/>
      <c r="AG159" s="2070"/>
      <c r="AH159" s="2070"/>
      <c r="AI159" s="2070"/>
      <c r="AJ159" s="2070"/>
      <c r="AK159" s="2070"/>
      <c r="AL159" s="2078" t="s">
        <v>2682</v>
      </c>
      <c r="AM159" s="2070"/>
      <c r="AN159" s="2070"/>
      <c r="AO159" s="2070"/>
      <c r="AP159" s="2070"/>
      <c r="AQ159" s="207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8" t="s">
        <v>2345</v>
      </c>
      <c r="C160" s="2069"/>
      <c r="D160" s="2069"/>
      <c r="E160" s="2069"/>
      <c r="F160" s="2069"/>
      <c r="G160" s="2069"/>
      <c r="H160" s="2069"/>
      <c r="I160" s="2070">
        <v>0</v>
      </c>
      <c r="J160" s="2070"/>
      <c r="K160" s="2070"/>
      <c r="L160" s="2070"/>
      <c r="M160" s="2070"/>
      <c r="N160" s="2070"/>
      <c r="O160" s="2070"/>
      <c r="P160" s="2070">
        <v>4</v>
      </c>
      <c r="Q160" s="2070"/>
      <c r="R160" s="2070"/>
      <c r="S160" s="2070"/>
      <c r="T160" s="2070"/>
      <c r="U160" s="207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2" t="s">
        <v>2344</v>
      </c>
      <c r="D162" s="2028"/>
      <c r="E162" s="2028"/>
      <c r="F162" s="2028"/>
      <c r="G162" s="2028"/>
      <c r="H162" s="2028"/>
      <c r="I162" s="2028"/>
      <c r="J162" s="2028"/>
      <c r="K162" s="2028"/>
      <c r="L162" s="2028"/>
      <c r="M162" s="2028"/>
      <c r="N162" s="2028"/>
      <c r="O162" s="2028"/>
      <c r="P162" s="2028"/>
      <c r="Q162" s="2028"/>
      <c r="R162" s="2028"/>
      <c r="S162" s="2028"/>
      <c r="T162" s="2028"/>
      <c r="U162" s="2028"/>
      <c r="V162" s="2028"/>
      <c r="W162" s="2028"/>
      <c r="X162" s="2028"/>
      <c r="Y162" s="2028"/>
      <c r="Z162" s="2028"/>
      <c r="AA162" s="2028"/>
      <c r="AB162" s="2028"/>
      <c r="AC162" s="2028"/>
      <c r="AD162" s="2028"/>
      <c r="AE162" s="2028"/>
      <c r="AF162" s="2028"/>
      <c r="AG162" s="202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0" t="s">
        <v>2329</v>
      </c>
      <c r="D163" s="2041"/>
      <c r="E163" s="2041"/>
      <c r="F163" s="2041"/>
      <c r="G163" s="2041"/>
      <c r="H163" s="2041"/>
      <c r="I163" s="2041"/>
      <c r="J163" s="2041"/>
      <c r="K163" s="2041"/>
      <c r="L163" s="2041"/>
      <c r="M163" s="2041"/>
      <c r="N163" s="2041"/>
      <c r="O163" s="2041"/>
      <c r="P163" s="2041"/>
      <c r="Q163" s="2041" t="s">
        <v>2343</v>
      </c>
      <c r="R163" s="2041"/>
      <c r="S163" s="2041"/>
      <c r="T163" s="2073" t="s">
        <v>2342</v>
      </c>
      <c r="U163" s="2073"/>
      <c r="V163" s="2073"/>
      <c r="W163" s="2073"/>
      <c r="X163" s="2073"/>
      <c r="Y163" s="2073"/>
      <c r="Z163" s="2073"/>
      <c r="AA163" s="2073"/>
      <c r="AB163" s="2041" t="s">
        <v>2341</v>
      </c>
      <c r="AC163" s="2041"/>
      <c r="AD163" s="2041"/>
      <c r="AE163" s="2041"/>
      <c r="AF163" s="2041"/>
      <c r="AG163" s="204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5" t="s">
        <v>2340</v>
      </c>
      <c r="D164" s="2056"/>
      <c r="E164" s="2056"/>
      <c r="F164" s="2056"/>
      <c r="G164" s="2056"/>
      <c r="H164" s="2056"/>
      <c r="I164" s="2056"/>
      <c r="J164" s="2056"/>
      <c r="K164" s="2056"/>
      <c r="L164" s="2056"/>
      <c r="M164" s="2056"/>
      <c r="N164" s="2056"/>
      <c r="O164" s="2056"/>
      <c r="P164" s="2056"/>
      <c r="Q164" s="1998">
        <v>55</v>
      </c>
      <c r="R164" s="1998"/>
      <c r="S164" s="1998"/>
      <c r="T164" s="2049" t="s">
        <v>591</v>
      </c>
      <c r="U164" s="2049"/>
      <c r="V164" s="2049"/>
      <c r="W164" s="2049"/>
      <c r="X164" s="2049"/>
      <c r="Y164" s="2049"/>
      <c r="Z164" s="2049"/>
      <c r="AA164" s="2049"/>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5" t="s">
        <v>2339</v>
      </c>
      <c r="D165" s="2056"/>
      <c r="E165" s="2056"/>
      <c r="F165" s="2056"/>
      <c r="G165" s="2056"/>
      <c r="H165" s="2056"/>
      <c r="I165" s="2056"/>
      <c r="J165" s="2056"/>
      <c r="K165" s="2056"/>
      <c r="L165" s="2056"/>
      <c r="M165" s="2056"/>
      <c r="N165" s="2056"/>
      <c r="O165" s="2056"/>
      <c r="P165" s="2056"/>
      <c r="Q165" s="1998">
        <v>55</v>
      </c>
      <c r="R165" s="1998"/>
      <c r="S165" s="1998"/>
      <c r="T165" s="2058">
        <v>45632</v>
      </c>
      <c r="U165" s="2058"/>
      <c r="V165" s="2058"/>
      <c r="W165" s="2058"/>
      <c r="X165" s="2058"/>
      <c r="Y165" s="2058"/>
      <c r="Z165" s="2058"/>
      <c r="AA165" s="20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5" t="s">
        <v>2338</v>
      </c>
      <c r="D166" s="2056"/>
      <c r="E166" s="2056"/>
      <c r="F166" s="2056"/>
      <c r="G166" s="2056"/>
      <c r="H166" s="2056"/>
      <c r="I166" s="2056"/>
      <c r="J166" s="2056"/>
      <c r="K166" s="2056"/>
      <c r="L166" s="2056"/>
      <c r="M166" s="2056"/>
      <c r="N166" s="2056"/>
      <c r="O166" s="2056"/>
      <c r="P166" s="2056"/>
      <c r="Q166" s="1998">
        <v>55</v>
      </c>
      <c r="R166" s="1998"/>
      <c r="S166" s="1998"/>
      <c r="T166" s="2049">
        <v>45632</v>
      </c>
      <c r="U166" s="2049"/>
      <c r="V166" s="2049"/>
      <c r="W166" s="2049"/>
      <c r="X166" s="2049"/>
      <c r="Y166" s="2049"/>
      <c r="Z166" s="2049"/>
      <c r="AA166" s="204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5" t="s">
        <v>2337</v>
      </c>
      <c r="D167" s="2056"/>
      <c r="E167" s="2056"/>
      <c r="F167" s="2056"/>
      <c r="G167" s="2056"/>
      <c r="H167" s="2056"/>
      <c r="I167" s="2056"/>
      <c r="J167" s="2056"/>
      <c r="K167" s="2056"/>
      <c r="L167" s="2056"/>
      <c r="M167" s="2056"/>
      <c r="N167" s="2056"/>
      <c r="O167" s="2056"/>
      <c r="P167" s="2056"/>
      <c r="Q167" s="1998">
        <v>55</v>
      </c>
      <c r="R167" s="1998"/>
      <c r="S167" s="1998"/>
      <c r="T167" s="2049" t="s">
        <v>591</v>
      </c>
      <c r="U167" s="2049"/>
      <c r="V167" s="2049"/>
      <c r="W167" s="2049"/>
      <c r="X167" s="2049"/>
      <c r="Y167" s="2049"/>
      <c r="Z167" s="2049"/>
      <c r="AA167" s="2049"/>
      <c r="AB167" s="2059">
        <v>0</v>
      </c>
      <c r="AC167" s="2059"/>
      <c r="AD167" s="2059"/>
      <c r="AE167" s="2059"/>
      <c r="AF167" s="2059"/>
      <c r="AG167" s="20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5" t="s">
        <v>169</v>
      </c>
      <c r="D168" s="2056"/>
      <c r="E168" s="2056"/>
      <c r="F168" s="2057" t="s">
        <v>2318</v>
      </c>
      <c r="G168" s="2057"/>
      <c r="H168" s="2057"/>
      <c r="I168" s="2057"/>
      <c r="J168" s="2057"/>
      <c r="K168" s="2057"/>
      <c r="L168" s="2057"/>
      <c r="M168" s="2057"/>
      <c r="N168" s="2057"/>
      <c r="O168" s="2057"/>
      <c r="P168" s="2057"/>
      <c r="Q168" s="1998">
        <v>55</v>
      </c>
      <c r="R168" s="1998"/>
      <c r="S168" s="1998"/>
      <c r="T168" s="2058"/>
      <c r="U168" s="2058"/>
      <c r="V168" s="2058"/>
      <c r="W168" s="2058"/>
      <c r="X168" s="2058"/>
      <c r="Y168" s="2058"/>
      <c r="Z168" s="2058"/>
      <c r="AA168" s="2058"/>
      <c r="AB168" s="2059">
        <v>0</v>
      </c>
      <c r="AC168" s="2059"/>
      <c r="AD168" s="2059"/>
      <c r="AE168" s="2059"/>
      <c r="AF168" s="2059"/>
      <c r="AG168" s="20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5" t="s">
        <v>169</v>
      </c>
      <c r="D169" s="2056"/>
      <c r="E169" s="2056"/>
      <c r="F169" s="2057" t="s">
        <v>2318</v>
      </c>
      <c r="G169" s="2057"/>
      <c r="H169" s="2057"/>
      <c r="I169" s="2057"/>
      <c r="J169" s="2057"/>
      <c r="K169" s="2057"/>
      <c r="L169" s="2057"/>
      <c r="M169" s="2057"/>
      <c r="N169" s="2057"/>
      <c r="O169" s="2057"/>
      <c r="P169" s="2057"/>
      <c r="Q169" s="1998">
        <v>55</v>
      </c>
      <c r="R169" s="1998"/>
      <c r="S169" s="1998"/>
      <c r="T169" s="2058"/>
      <c r="U169" s="2058"/>
      <c r="V169" s="2058"/>
      <c r="W169" s="2058"/>
      <c r="X169" s="2058"/>
      <c r="Y169" s="2058"/>
      <c r="Z169" s="2058"/>
      <c r="AA169" s="2058"/>
      <c r="AB169" s="2059">
        <v>0</v>
      </c>
      <c r="AC169" s="2059"/>
      <c r="AD169" s="2059"/>
      <c r="AE169" s="2059"/>
      <c r="AF169" s="2059"/>
      <c r="AG169" s="2060"/>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1" t="s">
        <v>169</v>
      </c>
      <c r="D170" s="2062"/>
      <c r="E170" s="2062"/>
      <c r="F170" s="2063" t="s">
        <v>2318</v>
      </c>
      <c r="G170" s="2063"/>
      <c r="H170" s="2063"/>
      <c r="I170" s="2063"/>
      <c r="J170" s="2063"/>
      <c r="K170" s="2063"/>
      <c r="L170" s="2063"/>
      <c r="M170" s="2063"/>
      <c r="N170" s="2063"/>
      <c r="O170" s="2063"/>
      <c r="P170" s="2063"/>
      <c r="Q170" s="2064">
        <v>55</v>
      </c>
      <c r="R170" s="2064"/>
      <c r="S170" s="2064"/>
      <c r="T170" s="2065"/>
      <c r="U170" s="2065"/>
      <c r="V170" s="2065"/>
      <c r="W170" s="2065"/>
      <c r="X170" s="2065"/>
      <c r="Y170" s="2065"/>
      <c r="Z170" s="2065"/>
      <c r="AA170" s="2065"/>
      <c r="AB170" s="2066">
        <v>0</v>
      </c>
      <c r="AC170" s="2066"/>
      <c r="AD170" s="2066"/>
      <c r="AE170" s="2066"/>
      <c r="AF170" s="2066"/>
      <c r="AG170" s="20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6" t="s">
        <v>2336</v>
      </c>
      <c r="D172" s="2027"/>
      <c r="E172" s="2027"/>
      <c r="F172" s="2027"/>
      <c r="G172" s="2027"/>
      <c r="H172" s="2027"/>
      <c r="I172" s="2027"/>
      <c r="J172" s="2027"/>
      <c r="K172" s="2027"/>
      <c r="L172" s="2027"/>
      <c r="M172" s="2027"/>
      <c r="N172" s="2036"/>
      <c r="O172" s="1190"/>
      <c r="P172" s="2037" t="s">
        <v>2335</v>
      </c>
      <c r="Q172" s="2038"/>
      <c r="R172" s="2038"/>
      <c r="S172" s="2038"/>
      <c r="T172" s="2038"/>
      <c r="U172" s="2038"/>
      <c r="V172" s="2038"/>
      <c r="W172" s="2038"/>
      <c r="X172" s="2038"/>
      <c r="Y172" s="2038"/>
      <c r="Z172" s="2038"/>
      <c r="AA172" s="2038"/>
      <c r="AB172" s="2038"/>
      <c r="AC172" s="2038"/>
      <c r="AD172" s="2038"/>
      <c r="AE172" s="2038"/>
      <c r="AF172" s="2038"/>
      <c r="AG172" s="2038"/>
      <c r="AH172" s="2038"/>
      <c r="AI172" s="2038"/>
      <c r="AJ172" s="2038"/>
      <c r="AK172" s="2038"/>
      <c r="AL172" s="2038"/>
      <c r="AM172" s="2038"/>
      <c r="AN172" s="2038"/>
      <c r="AO172" s="203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0" t="s">
        <v>2334</v>
      </c>
      <c r="D173" s="2041"/>
      <c r="E173" s="2041"/>
      <c r="F173" s="2041"/>
      <c r="G173" s="2041"/>
      <c r="H173" s="2041"/>
      <c r="I173" s="2041" t="s">
        <v>2333</v>
      </c>
      <c r="J173" s="2041"/>
      <c r="K173" s="2041"/>
      <c r="L173" s="2041"/>
      <c r="M173" s="2041"/>
      <c r="N173" s="2042"/>
      <c r="O173" s="1190"/>
      <c r="P173" s="2043" t="s">
        <v>2778</v>
      </c>
      <c r="Q173" s="2044"/>
      <c r="R173" s="2044"/>
      <c r="S173" s="2044"/>
      <c r="T173" s="2044"/>
      <c r="U173" s="2044"/>
      <c r="V173" s="2044"/>
      <c r="W173" s="2044"/>
      <c r="X173" s="2044"/>
      <c r="Y173" s="2044"/>
      <c r="Z173" s="2044"/>
      <c r="AA173" s="2044"/>
      <c r="AB173" s="2044"/>
      <c r="AC173" s="2044"/>
      <c r="AD173" s="2044"/>
      <c r="AE173" s="2044"/>
      <c r="AF173" s="2044"/>
      <c r="AG173" s="2044"/>
      <c r="AH173" s="2044"/>
      <c r="AI173" s="2044"/>
      <c r="AJ173" s="2044"/>
      <c r="AK173" s="2044"/>
      <c r="AL173" s="2044"/>
      <c r="AM173" s="2044"/>
      <c r="AN173" s="2044"/>
      <c r="AO173" s="204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8" t="s">
        <v>2776</v>
      </c>
      <c r="D174" s="1989"/>
      <c r="E174" s="1989"/>
      <c r="F174" s="1989"/>
      <c r="G174" s="1989"/>
      <c r="H174" s="1989"/>
      <c r="I174" s="2049">
        <v>45713</v>
      </c>
      <c r="J174" s="2049"/>
      <c r="K174" s="2049"/>
      <c r="L174" s="2049"/>
      <c r="M174" s="2049"/>
      <c r="N174" s="2050"/>
      <c r="O174" s="1190"/>
      <c r="P174" s="2043"/>
      <c r="Q174" s="2044"/>
      <c r="R174" s="2044"/>
      <c r="S174" s="2044"/>
      <c r="T174" s="2044"/>
      <c r="U174" s="2044"/>
      <c r="V174" s="2044"/>
      <c r="W174" s="2044"/>
      <c r="X174" s="2044"/>
      <c r="Y174" s="2044"/>
      <c r="Z174" s="2044"/>
      <c r="AA174" s="2044"/>
      <c r="AB174" s="2044"/>
      <c r="AC174" s="2044"/>
      <c r="AD174" s="2044"/>
      <c r="AE174" s="2044"/>
      <c r="AF174" s="2044"/>
      <c r="AG174" s="2044"/>
      <c r="AH174" s="2044"/>
      <c r="AI174" s="2044"/>
      <c r="AJ174" s="2044"/>
      <c r="AK174" s="2044"/>
      <c r="AL174" s="2044"/>
      <c r="AM174" s="2044"/>
      <c r="AN174" s="2044"/>
      <c r="AO174" s="204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8" t="s">
        <v>2777</v>
      </c>
      <c r="D175" s="1989"/>
      <c r="E175" s="1989"/>
      <c r="F175" s="1989"/>
      <c r="G175" s="1989"/>
      <c r="H175" s="1989"/>
      <c r="I175" s="2049">
        <v>46015</v>
      </c>
      <c r="J175" s="2049"/>
      <c r="K175" s="2049"/>
      <c r="L175" s="2049"/>
      <c r="M175" s="2049"/>
      <c r="N175" s="2050"/>
      <c r="O175" s="1190"/>
      <c r="P175" s="2043"/>
      <c r="Q175" s="2044"/>
      <c r="R175" s="2044"/>
      <c r="S175" s="2044"/>
      <c r="T175" s="2044"/>
      <c r="U175" s="2044"/>
      <c r="V175" s="2044"/>
      <c r="W175" s="2044"/>
      <c r="X175" s="2044"/>
      <c r="Y175" s="2044"/>
      <c r="Z175" s="2044"/>
      <c r="AA175" s="2044"/>
      <c r="AB175" s="2044"/>
      <c r="AC175" s="2044"/>
      <c r="AD175" s="2044"/>
      <c r="AE175" s="2044"/>
      <c r="AF175" s="2044"/>
      <c r="AG175" s="2044"/>
      <c r="AH175" s="2044"/>
      <c r="AI175" s="2044"/>
      <c r="AJ175" s="2044"/>
      <c r="AK175" s="2044"/>
      <c r="AL175" s="2044"/>
      <c r="AM175" s="2044"/>
      <c r="AN175" s="2044"/>
      <c r="AO175" s="204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8"/>
      <c r="D176" s="1989"/>
      <c r="E176" s="1989"/>
      <c r="F176" s="1989"/>
      <c r="G176" s="1989"/>
      <c r="H176" s="1989"/>
      <c r="I176" s="2049"/>
      <c r="J176" s="2049"/>
      <c r="K176" s="2049"/>
      <c r="L176" s="2049"/>
      <c r="M176" s="2049"/>
      <c r="N176" s="2050"/>
      <c r="O176" s="1190"/>
      <c r="P176" s="2043"/>
      <c r="Q176" s="2044"/>
      <c r="R176" s="2044"/>
      <c r="S176" s="2044"/>
      <c r="T176" s="2044"/>
      <c r="U176" s="2044"/>
      <c r="V176" s="2044"/>
      <c r="W176" s="2044"/>
      <c r="X176" s="2044"/>
      <c r="Y176" s="2044"/>
      <c r="Z176" s="2044"/>
      <c r="AA176" s="2044"/>
      <c r="AB176" s="2044"/>
      <c r="AC176" s="2044"/>
      <c r="AD176" s="2044"/>
      <c r="AE176" s="2044"/>
      <c r="AF176" s="2044"/>
      <c r="AG176" s="2044"/>
      <c r="AH176" s="2044"/>
      <c r="AI176" s="2044"/>
      <c r="AJ176" s="2044"/>
      <c r="AK176" s="2044"/>
      <c r="AL176" s="2044"/>
      <c r="AM176" s="2044"/>
      <c r="AN176" s="2044"/>
      <c r="AO176" s="204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8"/>
      <c r="D177" s="1989"/>
      <c r="E177" s="1989"/>
      <c r="F177" s="1989"/>
      <c r="G177" s="1989"/>
      <c r="H177" s="1989"/>
      <c r="I177" s="2049"/>
      <c r="J177" s="2049"/>
      <c r="K177" s="2049"/>
      <c r="L177" s="2049"/>
      <c r="M177" s="2049"/>
      <c r="N177" s="2050"/>
      <c r="O177" s="1190"/>
      <c r="P177" s="2043"/>
      <c r="Q177" s="2044"/>
      <c r="R177" s="2044"/>
      <c r="S177" s="2044"/>
      <c r="T177" s="2044"/>
      <c r="U177" s="2044"/>
      <c r="V177" s="2044"/>
      <c r="W177" s="2044"/>
      <c r="X177" s="2044"/>
      <c r="Y177" s="2044"/>
      <c r="Z177" s="2044"/>
      <c r="AA177" s="2044"/>
      <c r="AB177" s="2044"/>
      <c r="AC177" s="2044"/>
      <c r="AD177" s="2044"/>
      <c r="AE177" s="2044"/>
      <c r="AF177" s="2044"/>
      <c r="AG177" s="2044"/>
      <c r="AH177" s="2044"/>
      <c r="AI177" s="2044"/>
      <c r="AJ177" s="2044"/>
      <c r="AK177" s="2044"/>
      <c r="AL177" s="2044"/>
      <c r="AM177" s="2044"/>
      <c r="AN177" s="2044"/>
      <c r="AO177" s="204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8"/>
      <c r="D178" s="1989"/>
      <c r="E178" s="1989"/>
      <c r="F178" s="1989"/>
      <c r="G178" s="1989"/>
      <c r="H178" s="1989"/>
      <c r="I178" s="2049"/>
      <c r="J178" s="2049"/>
      <c r="K178" s="2049"/>
      <c r="L178" s="2049"/>
      <c r="M178" s="2049"/>
      <c r="N178" s="2050"/>
      <c r="O178" s="1190"/>
      <c r="P178" s="2043"/>
      <c r="Q178" s="2044"/>
      <c r="R178" s="2044"/>
      <c r="S178" s="2044"/>
      <c r="T178" s="2044"/>
      <c r="U178" s="2044"/>
      <c r="V178" s="2044"/>
      <c r="W178" s="2044"/>
      <c r="X178" s="2044"/>
      <c r="Y178" s="2044"/>
      <c r="Z178" s="2044"/>
      <c r="AA178" s="2044"/>
      <c r="AB178" s="2044"/>
      <c r="AC178" s="2044"/>
      <c r="AD178" s="2044"/>
      <c r="AE178" s="2044"/>
      <c r="AF178" s="2044"/>
      <c r="AG178" s="2044"/>
      <c r="AH178" s="2044"/>
      <c r="AI178" s="2044"/>
      <c r="AJ178" s="2044"/>
      <c r="AK178" s="2044"/>
      <c r="AL178" s="2044"/>
      <c r="AM178" s="2044"/>
      <c r="AN178" s="2044"/>
      <c r="AO178" s="204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8"/>
      <c r="D179" s="1989"/>
      <c r="E179" s="1989"/>
      <c r="F179" s="1989"/>
      <c r="G179" s="1989"/>
      <c r="H179" s="1989"/>
      <c r="I179" s="2049"/>
      <c r="J179" s="2049"/>
      <c r="K179" s="2049"/>
      <c r="L179" s="2049"/>
      <c r="M179" s="2049"/>
      <c r="N179" s="2050"/>
      <c r="O179" s="1190"/>
      <c r="P179" s="2043"/>
      <c r="Q179" s="2044"/>
      <c r="R179" s="2044"/>
      <c r="S179" s="2044"/>
      <c r="T179" s="2044"/>
      <c r="U179" s="2044"/>
      <c r="V179" s="2044"/>
      <c r="W179" s="2044"/>
      <c r="X179" s="2044"/>
      <c r="Y179" s="2044"/>
      <c r="Z179" s="2044"/>
      <c r="AA179" s="2044"/>
      <c r="AB179" s="2044"/>
      <c r="AC179" s="2044"/>
      <c r="AD179" s="2044"/>
      <c r="AE179" s="2044"/>
      <c r="AF179" s="2044"/>
      <c r="AG179" s="2044"/>
      <c r="AH179" s="2044"/>
      <c r="AI179" s="2044"/>
      <c r="AJ179" s="2044"/>
      <c r="AK179" s="2044"/>
      <c r="AL179" s="2044"/>
      <c r="AM179" s="2044"/>
      <c r="AN179" s="2044"/>
      <c r="AO179" s="204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1"/>
      <c r="D180" s="2052"/>
      <c r="E180" s="2052"/>
      <c r="F180" s="2052"/>
      <c r="G180" s="2052"/>
      <c r="H180" s="2052"/>
      <c r="I180" s="2053"/>
      <c r="J180" s="2053"/>
      <c r="K180" s="2053"/>
      <c r="L180" s="2053"/>
      <c r="M180" s="2053"/>
      <c r="N180" s="2054"/>
      <c r="O180" s="1190"/>
      <c r="P180" s="2046"/>
      <c r="Q180" s="2047"/>
      <c r="R180" s="2047"/>
      <c r="S180" s="2047"/>
      <c r="T180" s="2047"/>
      <c r="U180" s="2047"/>
      <c r="V180" s="2047"/>
      <c r="W180" s="2047"/>
      <c r="X180" s="2047"/>
      <c r="Y180" s="2047"/>
      <c r="Z180" s="2047"/>
      <c r="AA180" s="2047"/>
      <c r="AB180" s="2047"/>
      <c r="AC180" s="2047"/>
      <c r="AD180" s="2047"/>
      <c r="AE180" s="2047"/>
      <c r="AF180" s="2047"/>
      <c r="AG180" s="2047"/>
      <c r="AH180" s="2047"/>
      <c r="AI180" s="2047"/>
      <c r="AJ180" s="2047"/>
      <c r="AK180" s="2047"/>
      <c r="AL180" s="2047"/>
      <c r="AM180" s="2047"/>
      <c r="AN180" s="2047"/>
      <c r="AO180" s="204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7" t="s">
        <v>2331</v>
      </c>
      <c r="D182" s="2018"/>
      <c r="E182" s="2018"/>
      <c r="F182" s="2018"/>
      <c r="G182" s="2018"/>
      <c r="H182" s="2018"/>
      <c r="I182" s="2018"/>
      <c r="J182" s="2018"/>
      <c r="K182" s="2018"/>
      <c r="L182" s="2018"/>
      <c r="M182" s="2018"/>
      <c r="N182" s="2018"/>
      <c r="O182" s="2018"/>
      <c r="P182" s="2018"/>
      <c r="Q182" s="2018"/>
      <c r="R182" s="2018"/>
      <c r="S182" s="2018"/>
      <c r="T182" s="2018"/>
      <c r="U182" s="2018"/>
      <c r="V182" s="2018"/>
      <c r="W182" s="2018"/>
      <c r="X182" s="2018"/>
      <c r="Y182" s="2018"/>
      <c r="Z182" s="2018"/>
      <c r="AA182" s="2018"/>
      <c r="AB182" s="2018"/>
      <c r="AC182" s="2018"/>
      <c r="AD182" s="2018"/>
      <c r="AE182" s="2019"/>
      <c r="AF182" s="1190"/>
      <c r="AG182" s="1190"/>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row>
    <row r="183" spans="1:57" ht="15.75" customHeight="1" thickBot="1">
      <c r="A183" s="1190"/>
      <c r="B183" s="1190"/>
      <c r="C183" s="2020"/>
      <c r="D183" s="2021"/>
      <c r="E183" s="2021"/>
      <c r="F183" s="2021"/>
      <c r="G183" s="2021"/>
      <c r="H183" s="2021"/>
      <c r="I183" s="2021"/>
      <c r="J183" s="2021"/>
      <c r="K183" s="2021"/>
      <c r="L183" s="2021"/>
      <c r="M183" s="2021"/>
      <c r="N183" s="2021"/>
      <c r="O183" s="2021"/>
      <c r="P183" s="2021"/>
      <c r="Q183" s="2021"/>
      <c r="R183" s="2021"/>
      <c r="S183" s="2021"/>
      <c r="T183" s="2021"/>
      <c r="U183" s="2021"/>
      <c r="V183" s="2021"/>
      <c r="W183" s="2021"/>
      <c r="X183" s="2021"/>
      <c r="Y183" s="2021"/>
      <c r="Z183" s="2021"/>
      <c r="AA183" s="2021"/>
      <c r="AB183" s="2021"/>
      <c r="AC183" s="2021"/>
      <c r="AD183" s="2021"/>
      <c r="AE183" s="2022"/>
      <c r="AF183" s="1190"/>
      <c r="AG183" s="1190"/>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row>
    <row r="184" spans="1:57" ht="15.75" customHeight="1">
      <c r="A184" s="1190"/>
      <c r="B184" s="1190"/>
      <c r="C184" s="2026" t="s">
        <v>2329</v>
      </c>
      <c r="D184" s="2027"/>
      <c r="E184" s="2027"/>
      <c r="F184" s="2027"/>
      <c r="G184" s="2027"/>
      <c r="H184" s="2027"/>
      <c r="I184" s="2027"/>
      <c r="J184" s="2027"/>
      <c r="K184" s="2027"/>
      <c r="L184" s="2027"/>
      <c r="M184" s="2027"/>
      <c r="N184" s="2027" t="s">
        <v>2330</v>
      </c>
      <c r="O184" s="2027"/>
      <c r="P184" s="2027"/>
      <c r="Q184" s="2027"/>
      <c r="R184" s="2027"/>
      <c r="S184" s="2027"/>
      <c r="T184" s="2027"/>
      <c r="U184" s="2028" t="s">
        <v>2329</v>
      </c>
      <c r="V184" s="2028"/>
      <c r="W184" s="2028"/>
      <c r="X184" s="2028"/>
      <c r="Y184" s="2028"/>
      <c r="Z184" s="2028"/>
      <c r="AA184" s="2028"/>
      <c r="AB184" s="2028"/>
      <c r="AC184" s="2028"/>
      <c r="AD184" s="2028"/>
      <c r="AE184" s="2029"/>
      <c r="AF184" s="1190"/>
      <c r="AG184" s="1190"/>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row>
    <row r="185" spans="1:57" ht="15.75" customHeight="1">
      <c r="A185" s="1190"/>
      <c r="B185" s="1190"/>
      <c r="C185" s="2005" t="s">
        <v>2328</v>
      </c>
      <c r="D185" s="2006"/>
      <c r="E185" s="2006"/>
      <c r="F185" s="2006"/>
      <c r="G185" s="2006"/>
      <c r="H185" s="2006"/>
      <c r="I185" s="2006"/>
      <c r="J185" s="2006"/>
      <c r="K185" s="2006"/>
      <c r="L185" s="2006"/>
      <c r="M185" s="2006"/>
      <c r="N185" s="2016">
        <f>'Sources and Uses Budget'!B105</f>
        <v>73932184</v>
      </c>
      <c r="O185" s="2016"/>
      <c r="P185" s="2016"/>
      <c r="Q185" s="2016"/>
      <c r="R185" s="2016"/>
      <c r="S185" s="2016"/>
      <c r="T185" s="2016"/>
      <c r="U185" s="2030"/>
      <c r="V185" s="2030"/>
      <c r="W185" s="2030"/>
      <c r="X185" s="2030"/>
      <c r="Y185" s="2030"/>
      <c r="Z185" s="2030"/>
      <c r="AA185" s="2030"/>
      <c r="AB185" s="2030"/>
      <c r="AC185" s="2030"/>
      <c r="AD185" s="2030"/>
      <c r="AE185" s="2031"/>
      <c r="AF185" s="1190"/>
      <c r="AG185" s="1190"/>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row>
    <row r="186" spans="1:57" ht="15.75" customHeight="1">
      <c r="A186" s="1190"/>
      <c r="B186" s="1190"/>
      <c r="C186" s="2005" t="s">
        <v>2327</v>
      </c>
      <c r="D186" s="2006"/>
      <c r="E186" s="2006"/>
      <c r="F186" s="2006"/>
      <c r="G186" s="2006"/>
      <c r="H186" s="2006"/>
      <c r="I186" s="2006"/>
      <c r="J186" s="2006"/>
      <c r="K186" s="2006"/>
      <c r="L186" s="2006"/>
      <c r="M186" s="2006"/>
      <c r="N186" s="2016">
        <f>N185/J29</f>
        <v>591457.47199999995</v>
      </c>
      <c r="O186" s="2016"/>
      <c r="P186" s="2016"/>
      <c r="Q186" s="2016"/>
      <c r="R186" s="2016"/>
      <c r="S186" s="2016"/>
      <c r="T186" s="2016"/>
      <c r="U186" s="1228"/>
      <c r="V186" s="1228"/>
      <c r="W186" s="1228"/>
      <c r="X186" s="1228"/>
      <c r="Y186" s="1228"/>
      <c r="Z186" s="1228"/>
      <c r="AA186" s="1228"/>
      <c r="AB186" s="1228"/>
      <c r="AC186" s="1228"/>
      <c r="AD186" s="1228"/>
      <c r="AE186" s="1229"/>
      <c r="AF186" s="1190"/>
      <c r="AG186" s="1190"/>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row>
    <row r="187" spans="1:57" ht="15.75" customHeight="1">
      <c r="A187" s="1190"/>
      <c r="B187" s="1190"/>
      <c r="C187" s="2032" t="s">
        <v>2326</v>
      </c>
      <c r="D187" s="2033"/>
      <c r="E187" s="2033"/>
      <c r="F187" s="2033"/>
      <c r="G187" s="2033"/>
      <c r="H187" s="2033"/>
      <c r="I187" s="2033"/>
      <c r="J187" s="2033"/>
      <c r="K187" s="2033"/>
      <c r="L187" s="2033"/>
      <c r="M187" s="2033"/>
      <c r="N187" s="2034">
        <v>0</v>
      </c>
      <c r="O187" s="2034"/>
      <c r="P187" s="2034"/>
      <c r="Q187" s="2034"/>
      <c r="R187" s="2034"/>
      <c r="S187" s="2034"/>
      <c r="T187" s="2034"/>
      <c r="U187" s="1992"/>
      <c r="V187" s="1992"/>
      <c r="W187" s="1992"/>
      <c r="X187" s="1992"/>
      <c r="Y187" s="1992"/>
      <c r="Z187" s="1992"/>
      <c r="AA187" s="1992"/>
      <c r="AB187" s="1992"/>
      <c r="AC187" s="1992"/>
      <c r="AD187" s="1992"/>
      <c r="AE187" s="1993"/>
      <c r="AF187" s="1190"/>
      <c r="AG187" s="1190"/>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row>
    <row r="188" spans="1:57" ht="15.75" customHeight="1" thickBot="1">
      <c r="A188" s="1190"/>
      <c r="B188" s="1190"/>
      <c r="C188" s="2005" t="s">
        <v>2325</v>
      </c>
      <c r="D188" s="2006"/>
      <c r="E188" s="2006"/>
      <c r="F188" s="2006"/>
      <c r="G188" s="2006"/>
      <c r="H188" s="2006"/>
      <c r="I188" s="2006"/>
      <c r="J188" s="2006"/>
      <c r="K188" s="2006"/>
      <c r="L188" s="2006"/>
      <c r="M188" s="2006"/>
      <c r="N188" s="2035">
        <f>SUM('Sources and Uses Budget'!B85:B86)</f>
        <v>2134915</v>
      </c>
      <c r="O188" s="2035"/>
      <c r="P188" s="2035"/>
      <c r="Q188" s="2035"/>
      <c r="R188" s="2035"/>
      <c r="S188" s="2035"/>
      <c r="T188" s="2035"/>
      <c r="U188" s="1992" t="s">
        <v>2779</v>
      </c>
      <c r="V188" s="1992"/>
      <c r="W188" s="1992"/>
      <c r="X188" s="1992"/>
      <c r="Y188" s="1992"/>
      <c r="Z188" s="1992"/>
      <c r="AA188" s="1992"/>
      <c r="AB188" s="1992"/>
      <c r="AC188" s="1992"/>
      <c r="AD188" s="1992"/>
      <c r="AE188" s="1993"/>
      <c r="AF188" s="1190"/>
      <c r="AG188" s="1190"/>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row>
    <row r="189" spans="1:57" ht="15.75" customHeight="1" thickBot="1">
      <c r="A189" s="1190"/>
      <c r="B189" s="1190"/>
      <c r="C189" s="2005" t="s">
        <v>2324</v>
      </c>
      <c r="D189" s="2006"/>
      <c r="E189" s="2006"/>
      <c r="F189" s="2006"/>
      <c r="G189" s="2006"/>
      <c r="H189" s="2006"/>
      <c r="I189" s="2006"/>
      <c r="J189" s="2006"/>
      <c r="K189" s="2006"/>
      <c r="L189" s="2006"/>
      <c r="M189" s="2006"/>
      <c r="N189" s="2035">
        <f>'Sources and Uses Budget'!B8</f>
        <v>8850000</v>
      </c>
      <c r="O189" s="2035"/>
      <c r="P189" s="2035"/>
      <c r="Q189" s="2035"/>
      <c r="R189" s="2035"/>
      <c r="S189" s="2035"/>
      <c r="T189" s="2035"/>
      <c r="U189" s="1992" t="s">
        <v>2780</v>
      </c>
      <c r="V189" s="1992"/>
      <c r="W189" s="1992"/>
      <c r="X189" s="1992"/>
      <c r="Y189" s="1992"/>
      <c r="Z189" s="1992"/>
      <c r="AA189" s="1992"/>
      <c r="AB189" s="1992"/>
      <c r="AC189" s="1992"/>
      <c r="AD189" s="1992"/>
      <c r="AE189" s="1993"/>
      <c r="AF189" s="1190"/>
      <c r="AG189" s="1190"/>
      <c r="AH189" s="2002" t="s">
        <v>2322</v>
      </c>
      <c r="AI189" s="2003"/>
      <c r="AJ189" s="2003"/>
      <c r="AK189" s="2003"/>
      <c r="AL189" s="2003"/>
      <c r="AM189" s="2003"/>
      <c r="AN189" s="2003"/>
      <c r="AO189" s="2003"/>
      <c r="AP189" s="2003"/>
      <c r="AQ189" s="2003"/>
      <c r="AR189" s="2003"/>
      <c r="AS189" s="2003"/>
      <c r="AT189" s="2003"/>
      <c r="AU189" s="2003"/>
      <c r="AV189" s="2003"/>
      <c r="AW189" s="2003"/>
      <c r="AX189" s="2003"/>
      <c r="AY189" s="2003"/>
      <c r="AZ189" s="2003"/>
      <c r="BA189" s="2003"/>
      <c r="BB189" s="2003"/>
      <c r="BC189" s="2003"/>
      <c r="BD189" s="2003"/>
      <c r="BE189" s="2004"/>
    </row>
    <row r="190" spans="1:57" ht="15.75" customHeight="1">
      <c r="A190" s="1190"/>
      <c r="B190" s="1190"/>
      <c r="C190" s="2005" t="s">
        <v>2323</v>
      </c>
      <c r="D190" s="2006"/>
      <c r="E190" s="2006"/>
      <c r="F190" s="2006"/>
      <c r="G190" s="2006"/>
      <c r="H190" s="2006"/>
      <c r="I190" s="2006"/>
      <c r="J190" s="2006"/>
      <c r="K190" s="2006"/>
      <c r="L190" s="2006"/>
      <c r="M190" s="2006"/>
      <c r="N190" s="1991">
        <v>0</v>
      </c>
      <c r="O190" s="1991"/>
      <c r="P190" s="1991"/>
      <c r="Q190" s="1991"/>
      <c r="R190" s="1991"/>
      <c r="S190" s="1991"/>
      <c r="T190" s="1991"/>
      <c r="U190" s="1992"/>
      <c r="V190" s="1992"/>
      <c r="W190" s="1992"/>
      <c r="X190" s="1992"/>
      <c r="Y190" s="1992"/>
      <c r="Z190" s="1992"/>
      <c r="AA190" s="1992"/>
      <c r="AB190" s="1992"/>
      <c r="AC190" s="1992"/>
      <c r="AD190" s="1992"/>
      <c r="AE190" s="1993"/>
      <c r="AF190" s="1190"/>
      <c r="AG190" s="1190"/>
      <c r="AH190" s="2007" t="s">
        <v>2322</v>
      </c>
      <c r="AI190" s="2008"/>
      <c r="AJ190" s="2008"/>
      <c r="AK190" s="2008"/>
      <c r="AL190" s="2008"/>
      <c r="AM190" s="2008"/>
      <c r="AN190" s="2008"/>
      <c r="AO190" s="2008"/>
      <c r="AP190" s="2008"/>
      <c r="AQ190" s="2008"/>
      <c r="AR190" s="2008"/>
      <c r="AS190" s="2008"/>
      <c r="AT190" s="2008"/>
      <c r="AU190" s="2009">
        <f>'Sources and Uses Budget'!I99</f>
        <v>4590083</v>
      </c>
      <c r="AV190" s="2009"/>
      <c r="AW190" s="2009"/>
      <c r="AX190" s="2009"/>
      <c r="AY190" s="2009"/>
      <c r="AZ190" s="2009"/>
      <c r="BA190" s="2009"/>
      <c r="BB190" s="2009"/>
      <c r="BC190" s="2010"/>
      <c r="BD190" s="2011"/>
      <c r="BE190" s="2012"/>
    </row>
    <row r="191" spans="1:57" ht="15.75" customHeight="1">
      <c r="A191" s="1190"/>
      <c r="B191" s="1190"/>
      <c r="C191" s="2005" t="s">
        <v>2321</v>
      </c>
      <c r="D191" s="2006"/>
      <c r="E191" s="2006"/>
      <c r="F191" s="2006"/>
      <c r="G191" s="2006"/>
      <c r="H191" s="2006"/>
      <c r="I191" s="2006"/>
      <c r="J191" s="2006"/>
      <c r="K191" s="2006"/>
      <c r="L191" s="2006"/>
      <c r="M191" s="2006"/>
      <c r="N191" s="1991">
        <v>0</v>
      </c>
      <c r="O191" s="1991"/>
      <c r="P191" s="1991"/>
      <c r="Q191" s="1991"/>
      <c r="R191" s="1991"/>
      <c r="S191" s="1991"/>
      <c r="T191" s="1991"/>
      <c r="U191" s="1992"/>
      <c r="V191" s="1992"/>
      <c r="W191" s="1992"/>
      <c r="X191" s="1992"/>
      <c r="Y191" s="1992"/>
      <c r="Z191" s="1992"/>
      <c r="AA191" s="1992"/>
      <c r="AB191" s="1992"/>
      <c r="AC191" s="1992"/>
      <c r="AD191" s="1992"/>
      <c r="AE191" s="1993"/>
      <c r="AF191" s="1190"/>
      <c r="AG191" s="1190"/>
      <c r="AH191" s="2023" t="s">
        <v>2320</v>
      </c>
      <c r="AI191" s="2024"/>
      <c r="AJ191" s="2024"/>
      <c r="AK191" s="2024"/>
      <c r="AL191" s="2024"/>
      <c r="AM191" s="2024"/>
      <c r="AN191" s="2024"/>
      <c r="AO191" s="2024"/>
      <c r="AP191" s="2024"/>
      <c r="AQ191" s="2024"/>
      <c r="AR191" s="2024"/>
      <c r="AS191" s="2024"/>
      <c r="AT191" s="2024"/>
      <c r="AU191" s="2025">
        <f>'Sources and Uses Budget'!E99</f>
        <v>3249185</v>
      </c>
      <c r="AV191" s="2025"/>
      <c r="AW191" s="2025"/>
      <c r="AX191" s="2025"/>
      <c r="AY191" s="2025"/>
      <c r="AZ191" s="2025"/>
      <c r="BA191" s="2025"/>
      <c r="BB191" s="2025"/>
      <c r="BC191" s="2013"/>
      <c r="BD191" s="2014"/>
      <c r="BE191" s="2015"/>
    </row>
    <row r="192" spans="1:57" ht="15.75" customHeight="1">
      <c r="A192" s="1190"/>
      <c r="B192" s="1190"/>
      <c r="C192" s="1997" t="s">
        <v>299</v>
      </c>
      <c r="D192" s="1998"/>
      <c r="E192" s="1990" t="s">
        <v>2318</v>
      </c>
      <c r="F192" s="1990"/>
      <c r="G192" s="1990"/>
      <c r="H192" s="1990"/>
      <c r="I192" s="1990"/>
      <c r="J192" s="1990"/>
      <c r="K192" s="1990"/>
      <c r="L192" s="1990"/>
      <c r="M192" s="1990"/>
      <c r="N192" s="1991">
        <v>0</v>
      </c>
      <c r="O192" s="1991"/>
      <c r="P192" s="1991"/>
      <c r="Q192" s="1991"/>
      <c r="R192" s="1991"/>
      <c r="S192" s="1991"/>
      <c r="T192" s="1991"/>
      <c r="U192" s="1992"/>
      <c r="V192" s="1992"/>
      <c r="W192" s="1992"/>
      <c r="X192" s="1992"/>
      <c r="Y192" s="1992"/>
      <c r="Z192" s="1992"/>
      <c r="AA192" s="1992"/>
      <c r="AB192" s="1992"/>
      <c r="AC192" s="1992"/>
      <c r="AD192" s="1992"/>
      <c r="AE192" s="1993"/>
      <c r="AF192" s="1190"/>
      <c r="AG192" s="1190"/>
      <c r="AH192" s="1999" t="s">
        <v>2319</v>
      </c>
      <c r="AI192" s="2000"/>
      <c r="AJ192" s="2000"/>
      <c r="AK192" s="2000"/>
      <c r="AL192" s="2000"/>
      <c r="AM192" s="2000"/>
      <c r="AN192" s="2000"/>
      <c r="AO192" s="2000"/>
      <c r="AP192" s="2000"/>
      <c r="AQ192" s="2000"/>
      <c r="AR192" s="2000"/>
      <c r="AS192" s="2000"/>
      <c r="AT192" s="2000"/>
      <c r="AU192" s="2001">
        <f>SUM(AU190:BB191)</f>
        <v>7839268</v>
      </c>
      <c r="AV192" s="2001"/>
      <c r="AW192" s="2001"/>
      <c r="AX192" s="2001"/>
      <c r="AY192" s="2001"/>
      <c r="AZ192" s="2001"/>
      <c r="BA192" s="2001"/>
      <c r="BB192" s="2001"/>
      <c r="BC192" s="2013"/>
      <c r="BD192" s="2014"/>
      <c r="BE192" s="2015"/>
    </row>
    <row r="193" spans="1:57" ht="15.75" customHeight="1" thickBot="1">
      <c r="A193" s="1190"/>
      <c r="B193" s="1190"/>
      <c r="C193" s="1988" t="s">
        <v>299</v>
      </c>
      <c r="D193" s="1989"/>
      <c r="E193" s="1990" t="s">
        <v>2318</v>
      </c>
      <c r="F193" s="1990"/>
      <c r="G193" s="1990"/>
      <c r="H193" s="1990"/>
      <c r="I193" s="1990"/>
      <c r="J193" s="1990"/>
      <c r="K193" s="1990"/>
      <c r="L193" s="1990"/>
      <c r="M193" s="1990"/>
      <c r="N193" s="1991">
        <v>0</v>
      </c>
      <c r="O193" s="1991"/>
      <c r="P193" s="1991"/>
      <c r="Q193" s="1991"/>
      <c r="R193" s="1991"/>
      <c r="S193" s="1991"/>
      <c r="T193" s="1991"/>
      <c r="U193" s="1992"/>
      <c r="V193" s="1992"/>
      <c r="W193" s="1992"/>
      <c r="X193" s="1992"/>
      <c r="Y193" s="1992"/>
      <c r="Z193" s="1992"/>
      <c r="AA193" s="1992"/>
      <c r="AB193" s="1992"/>
      <c r="AC193" s="1992"/>
      <c r="AD193" s="1992"/>
      <c r="AE193" s="199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4"/>
      <c r="BD193" s="1995"/>
      <c r="BE193" s="1996"/>
    </row>
    <row r="194" spans="1:57" ht="15.75" customHeight="1" thickBot="1">
      <c r="A194" s="1190"/>
      <c r="B194" s="1190"/>
      <c r="C194" s="1976" t="s">
        <v>299</v>
      </c>
      <c r="D194" s="1977"/>
      <c r="E194" s="1978" t="s">
        <v>2318</v>
      </c>
      <c r="F194" s="1978"/>
      <c r="G194" s="1978"/>
      <c r="H194" s="1978"/>
      <c r="I194" s="1978"/>
      <c r="J194" s="1978"/>
      <c r="K194" s="1978"/>
      <c r="L194" s="1978"/>
      <c r="M194" s="1979"/>
      <c r="N194" s="1980">
        <v>0</v>
      </c>
      <c r="O194" s="1980"/>
      <c r="P194" s="1980"/>
      <c r="Q194" s="1980"/>
      <c r="R194" s="1980"/>
      <c r="S194" s="1980"/>
      <c r="T194" s="1981"/>
      <c r="U194" s="1982"/>
      <c r="V194" s="1983"/>
      <c r="W194" s="1983"/>
      <c r="X194" s="1983"/>
      <c r="Y194" s="1983"/>
      <c r="Z194" s="1983"/>
      <c r="AA194" s="1983"/>
      <c r="AB194" s="1983"/>
      <c r="AC194" s="1983"/>
      <c r="AD194" s="1983"/>
      <c r="AE194" s="1984"/>
      <c r="AF194" s="1190"/>
      <c r="AG194" s="1190"/>
      <c r="AH194" s="1985" t="s">
        <v>2317</v>
      </c>
      <c r="AI194" s="1986"/>
      <c r="AJ194" s="1986"/>
      <c r="AK194" s="1986"/>
      <c r="AL194" s="1986"/>
      <c r="AM194" s="1986"/>
      <c r="AN194" s="1986"/>
      <c r="AO194" s="1986"/>
      <c r="AP194" s="1986"/>
      <c r="AQ194" s="1986"/>
      <c r="AR194" s="1986"/>
      <c r="AS194" s="1986"/>
      <c r="AT194" s="1986"/>
      <c r="AU194" s="1987"/>
      <c r="AV194" s="1987"/>
      <c r="AW194" s="1987"/>
      <c r="AX194" s="1987"/>
      <c r="AY194" s="1987"/>
      <c r="AZ194" s="1987"/>
      <c r="BA194" s="1987"/>
      <c r="BB194" s="1987"/>
      <c r="BC194" s="1171"/>
      <c r="BD194" s="1171"/>
      <c r="BE194" s="1232"/>
    </row>
    <row r="195" spans="1:57" ht="15.75" customHeight="1">
      <c r="A195" s="1190"/>
      <c r="B195" s="1190"/>
      <c r="C195" s="1959" t="s">
        <v>2316</v>
      </c>
      <c r="D195" s="1960"/>
      <c r="E195" s="1960"/>
      <c r="F195" s="1960"/>
      <c r="G195" s="1960"/>
      <c r="H195" s="1960"/>
      <c r="I195" s="1960"/>
      <c r="J195" s="1960"/>
      <c r="K195" s="1960"/>
      <c r="L195" s="1960"/>
      <c r="M195" s="1960"/>
      <c r="N195" s="1961">
        <f>SUM(N187:T194)</f>
        <v>10984915</v>
      </c>
      <c r="O195" s="1961"/>
      <c r="P195" s="1961"/>
      <c r="Q195" s="1961"/>
      <c r="R195" s="1961"/>
      <c r="S195" s="1961"/>
      <c r="T195" s="1962"/>
      <c r="U195" s="1190"/>
      <c r="V195" s="1190"/>
      <c r="W195" s="1190"/>
      <c r="X195" s="1190"/>
      <c r="Y195" s="1190"/>
      <c r="Z195" s="1190"/>
      <c r="AA195" s="1190"/>
      <c r="AB195" s="1190"/>
      <c r="AC195" s="1190"/>
      <c r="AD195" s="1190"/>
      <c r="AE195" s="1190"/>
      <c r="AF195" s="1190"/>
      <c r="AG195" s="1190"/>
      <c r="AH195" s="1963" t="s">
        <v>2315</v>
      </c>
      <c r="AI195" s="1964"/>
      <c r="AJ195" s="1964"/>
      <c r="AK195" s="1964"/>
      <c r="AL195" s="1964"/>
      <c r="AM195" s="1964"/>
      <c r="AN195" s="1964"/>
      <c r="AO195" s="1964"/>
      <c r="AP195" s="1964"/>
      <c r="AQ195" s="1964"/>
      <c r="AR195" s="1964"/>
      <c r="AS195" s="1964"/>
      <c r="AT195" s="1964"/>
      <c r="AU195" s="1964"/>
      <c r="AV195" s="1964"/>
      <c r="AW195" s="1964"/>
      <c r="AX195" s="1964"/>
      <c r="AY195" s="1964"/>
      <c r="AZ195" s="1964"/>
      <c r="BA195" s="1964"/>
      <c r="BB195" s="1964"/>
      <c r="BC195" s="1964"/>
      <c r="BD195" s="1964"/>
      <c r="BE195" s="1965"/>
    </row>
    <row r="196" spans="1:57" ht="15.75" customHeight="1" thickBot="1">
      <c r="A196" s="1190"/>
      <c r="B196" s="1190"/>
      <c r="C196" s="1969" t="s">
        <v>2314</v>
      </c>
      <c r="D196" s="1970"/>
      <c r="E196" s="1970"/>
      <c r="F196" s="1970"/>
      <c r="G196" s="1970"/>
      <c r="H196" s="1970"/>
      <c r="I196" s="1970"/>
      <c r="J196" s="1970"/>
      <c r="K196" s="1970"/>
      <c r="L196" s="1970"/>
      <c r="M196" s="1970"/>
      <c r="N196" s="1971">
        <f>(N185-N195)/J29</f>
        <v>503578.152</v>
      </c>
      <c r="O196" s="1972"/>
      <c r="P196" s="1972"/>
      <c r="Q196" s="1972"/>
      <c r="R196" s="1972"/>
      <c r="S196" s="1972"/>
      <c r="T196" s="1973"/>
      <c r="U196" s="1195"/>
      <c r="V196" s="1190"/>
      <c r="W196" s="1190"/>
      <c r="X196" s="1190"/>
      <c r="Y196" s="1190"/>
      <c r="Z196" s="1190"/>
      <c r="AA196" s="1190"/>
      <c r="AB196" s="1190"/>
      <c r="AC196" s="1190"/>
      <c r="AD196" s="1190"/>
      <c r="AE196" s="1190"/>
      <c r="AF196" s="1190"/>
      <c r="AG196" s="1190"/>
      <c r="AH196" s="1966"/>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4"/>
      <c r="AI197" s="1974"/>
      <c r="AJ197" s="1974"/>
      <c r="AK197" s="1974"/>
      <c r="AL197" s="1974"/>
      <c r="AM197" s="1974"/>
      <c r="AN197" s="1974"/>
      <c r="AO197" s="1974"/>
      <c r="AP197" s="1974"/>
      <c r="AQ197" s="1974"/>
      <c r="AR197" s="1974"/>
      <c r="AS197" s="1975"/>
      <c r="AT197" s="1975"/>
      <c r="AU197" s="1975"/>
      <c r="AV197" s="1975"/>
      <c r="AW197" s="1975"/>
      <c r="AX197" s="1975"/>
      <c r="AY197" s="1975"/>
      <c r="AZ197" s="1975"/>
      <c r="BA197" s="1975"/>
      <c r="BB197" s="1975"/>
      <c r="BC197" s="1975"/>
      <c r="BD197" s="197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4" t="s">
        <v>2313</v>
      </c>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7" t="s">
        <v>2312</v>
      </c>
      <c r="D200" s="1957"/>
      <c r="E200" s="1957"/>
      <c r="F200" s="1957"/>
      <c r="G200" s="1957"/>
      <c r="H200" s="1957"/>
      <c r="I200" s="1957"/>
      <c r="J200" s="1957"/>
      <c r="K200" s="1957"/>
      <c r="L200" s="1957"/>
      <c r="M200" s="1957"/>
      <c r="N200" s="1957"/>
      <c r="O200" s="1958" t="s">
        <v>2311</v>
      </c>
      <c r="P200" s="1958"/>
      <c r="Q200" s="1958"/>
      <c r="R200" s="1958"/>
      <c r="S200" s="1958"/>
      <c r="T200" s="1958"/>
      <c r="U200" s="1958"/>
      <c r="V200" s="1958"/>
      <c r="W200" s="1958"/>
      <c r="X200" s="1958" t="s">
        <v>2310</v>
      </c>
      <c r="Y200" s="1958"/>
      <c r="Z200" s="1958"/>
      <c r="AA200" s="1958"/>
      <c r="AB200" s="1958"/>
      <c r="AC200" s="1958"/>
      <c r="AD200" s="1958"/>
      <c r="AE200" s="19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9" t="s">
        <v>2309</v>
      </c>
      <c r="D201" s="1949"/>
      <c r="E201" s="1949"/>
      <c r="F201" s="1949"/>
      <c r="G201" s="1949"/>
      <c r="H201" s="1949"/>
      <c r="I201" s="1949"/>
      <c r="J201" s="1949"/>
      <c r="K201" s="1949"/>
      <c r="L201" s="1949"/>
      <c r="M201" s="1949"/>
      <c r="N201" s="1949"/>
      <c r="O201" s="1950" t="s">
        <v>2308</v>
      </c>
      <c r="P201" s="1950"/>
      <c r="Q201" s="1950"/>
      <c r="R201" s="1950"/>
      <c r="S201" s="1950"/>
      <c r="T201" s="1950"/>
      <c r="U201" s="1950"/>
      <c r="V201" s="1950"/>
      <c r="W201" s="1950"/>
      <c r="X201" s="1951">
        <v>0.03</v>
      </c>
      <c r="Y201" s="1951"/>
      <c r="Z201" s="1951"/>
      <c r="AA201" s="1951"/>
      <c r="AB201" s="1951"/>
      <c r="AC201" s="1951"/>
      <c r="AD201" s="1951"/>
      <c r="AE201" s="19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9" t="s">
        <v>854</v>
      </c>
      <c r="D202" s="1949"/>
      <c r="E202" s="1949"/>
      <c r="F202" s="1949"/>
      <c r="G202" s="1949"/>
      <c r="H202" s="1949"/>
      <c r="I202" s="1949"/>
      <c r="J202" s="1949"/>
      <c r="K202" s="1949"/>
      <c r="L202" s="1949"/>
      <c r="M202" s="1949"/>
      <c r="N202" s="1949"/>
      <c r="O202" s="1950" t="s">
        <v>2308</v>
      </c>
      <c r="P202" s="1950"/>
      <c r="Q202" s="1950"/>
      <c r="R202" s="1950"/>
      <c r="S202" s="1950"/>
      <c r="T202" s="1950"/>
      <c r="U202" s="1950"/>
      <c r="V202" s="1950"/>
      <c r="W202" s="1950"/>
      <c r="X202" s="1951">
        <v>0.03</v>
      </c>
      <c r="Y202" s="1951"/>
      <c r="Z202" s="1951"/>
      <c r="AA202" s="1951"/>
      <c r="AB202" s="1951"/>
      <c r="AC202" s="1951"/>
      <c r="AD202" s="1951"/>
      <c r="AE202" s="19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9" t="s">
        <v>2307</v>
      </c>
      <c r="D203" s="1949"/>
      <c r="E203" s="1949"/>
      <c r="F203" s="1949"/>
      <c r="G203" s="1949"/>
      <c r="H203" s="1949"/>
      <c r="I203" s="1949"/>
      <c r="J203" s="1949"/>
      <c r="K203" s="1949"/>
      <c r="L203" s="1949"/>
      <c r="M203" s="1949"/>
      <c r="N203" s="1949"/>
      <c r="O203" s="1952">
        <f>SUM(O201:W202)</f>
        <v>0</v>
      </c>
      <c r="P203" s="1953"/>
      <c r="Q203" s="1953"/>
      <c r="R203" s="1953"/>
      <c r="S203" s="1953"/>
      <c r="T203" s="1953"/>
      <c r="U203" s="1953"/>
      <c r="V203" s="1953"/>
      <c r="W203" s="1953"/>
      <c r="X203" s="1953" t="s">
        <v>2306</v>
      </c>
      <c r="Y203" s="1953"/>
      <c r="Z203" s="1953"/>
      <c r="AA203" s="1953"/>
      <c r="AB203" s="1953"/>
      <c r="AC203" s="1953"/>
      <c r="AD203" s="1953"/>
      <c r="AE203" s="19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3" t="s">
        <v>2305</v>
      </c>
      <c r="D204" s="1923"/>
      <c r="E204" s="1923"/>
      <c r="F204" s="1923"/>
      <c r="G204" s="1923"/>
      <c r="H204" s="1923"/>
      <c r="I204" s="1923"/>
      <c r="J204" s="1923"/>
      <c r="K204" s="1923"/>
      <c r="L204" s="1923"/>
      <c r="M204" s="1923"/>
      <c r="N204" s="1923"/>
      <c r="O204" s="1923"/>
      <c r="P204" s="1923"/>
      <c r="Q204" s="1923"/>
      <c r="R204" s="1923"/>
      <c r="S204" s="1923"/>
      <c r="T204" s="1923"/>
      <c r="U204" s="1923"/>
      <c r="V204" s="1923"/>
      <c r="W204" s="1923"/>
      <c r="X204" s="1923"/>
      <c r="Y204" s="1923"/>
      <c r="Z204" s="1923"/>
      <c r="AA204" s="1923"/>
      <c r="AB204" s="1923"/>
      <c r="AC204" s="1923"/>
      <c r="AD204" s="1923"/>
      <c r="AE204" s="192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4" t="s">
        <v>2304</v>
      </c>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c r="AI206" s="1925"/>
      <c r="AJ206" s="1925"/>
      <c r="AK206" s="192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7" t="s">
        <v>2303</v>
      </c>
      <c r="D207" s="1928"/>
      <c r="E207" s="1928"/>
      <c r="F207" s="1929"/>
      <c r="G207" s="1933" t="s">
        <v>2302</v>
      </c>
      <c r="H207" s="1928"/>
      <c r="I207" s="1928"/>
      <c r="J207" s="1928"/>
      <c r="K207" s="1928"/>
      <c r="L207" s="1928"/>
      <c r="M207" s="1928"/>
      <c r="N207" s="1928"/>
      <c r="O207" s="1929"/>
      <c r="P207" s="1935" t="s">
        <v>2301</v>
      </c>
      <c r="Q207" s="1936"/>
      <c r="R207" s="1936"/>
      <c r="S207" s="1936"/>
      <c r="T207" s="1937"/>
      <c r="U207" s="1941" t="s">
        <v>2300</v>
      </c>
      <c r="V207" s="1942"/>
      <c r="W207" s="1942"/>
      <c r="X207" s="1943"/>
      <c r="Y207" s="1941" t="s">
        <v>2299</v>
      </c>
      <c r="Z207" s="1942"/>
      <c r="AA207" s="1942"/>
      <c r="AB207" s="1943"/>
      <c r="AC207" s="1941" t="s">
        <v>2298</v>
      </c>
      <c r="AD207" s="1942"/>
      <c r="AE207" s="1942"/>
      <c r="AF207" s="1943"/>
      <c r="AG207" s="1933" t="s">
        <v>2297</v>
      </c>
      <c r="AH207" s="1928"/>
      <c r="AI207" s="1928"/>
      <c r="AJ207" s="1928"/>
      <c r="AK207" s="194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0"/>
      <c r="D208" s="1931"/>
      <c r="E208" s="1931"/>
      <c r="F208" s="1932"/>
      <c r="G208" s="1934"/>
      <c r="H208" s="1931"/>
      <c r="I208" s="1931"/>
      <c r="J208" s="1931"/>
      <c r="K208" s="1931"/>
      <c r="L208" s="1931"/>
      <c r="M208" s="1931"/>
      <c r="N208" s="1931"/>
      <c r="O208" s="1932"/>
      <c r="P208" s="1938"/>
      <c r="Q208" s="1939"/>
      <c r="R208" s="1939"/>
      <c r="S208" s="1939"/>
      <c r="T208" s="1940"/>
      <c r="U208" s="1944"/>
      <c r="V208" s="1945"/>
      <c r="W208" s="1945"/>
      <c r="X208" s="1946"/>
      <c r="Y208" s="1944"/>
      <c r="Z208" s="1945"/>
      <c r="AA208" s="1945"/>
      <c r="AB208" s="1946"/>
      <c r="AC208" s="1944"/>
      <c r="AD208" s="1945"/>
      <c r="AE208" s="1945"/>
      <c r="AF208" s="1946"/>
      <c r="AG208" s="1934"/>
      <c r="AH208" s="1931"/>
      <c r="AI208" s="1931"/>
      <c r="AJ208" s="1931"/>
      <c r="AK208" s="194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6">
        <v>1</v>
      </c>
      <c r="D209" s="1917"/>
      <c r="E209" s="1917"/>
      <c r="F209" s="1917"/>
      <c r="G209" s="1918" t="s">
        <v>2781</v>
      </c>
      <c r="H209" s="1918"/>
      <c r="I209" s="1918"/>
      <c r="J209" s="1918"/>
      <c r="K209" s="1918"/>
      <c r="L209" s="1918"/>
      <c r="M209" s="1918"/>
      <c r="N209" s="1918"/>
      <c r="O209" s="1918"/>
      <c r="P209" s="1919">
        <v>45992</v>
      </c>
      <c r="Q209" s="1922"/>
      <c r="R209" s="1922"/>
      <c r="S209" s="1922"/>
      <c r="T209" s="1922"/>
      <c r="U209" s="1920">
        <f>Application!AM559</f>
        <v>4359295</v>
      </c>
      <c r="V209" s="1920"/>
      <c r="W209" s="1920"/>
      <c r="X209" s="1920"/>
      <c r="Y209" s="1920">
        <v>812296</v>
      </c>
      <c r="Z209" s="1920"/>
      <c r="AA209" s="1920"/>
      <c r="AB209" s="1920"/>
      <c r="AC209" s="1921" t="s">
        <v>1885</v>
      </c>
      <c r="AD209" s="1921"/>
      <c r="AE209" s="1921"/>
      <c r="AF209" s="1921"/>
      <c r="AG209" s="1905" t="s">
        <v>2782</v>
      </c>
      <c r="AH209" s="1906"/>
      <c r="AI209" s="1906"/>
      <c r="AJ209" s="1906"/>
      <c r="AK209" s="190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6">
        <v>2</v>
      </c>
      <c r="D210" s="1917"/>
      <c r="E210" s="1917"/>
      <c r="F210" s="1917"/>
      <c r="G210" s="1918" t="s">
        <v>2783</v>
      </c>
      <c r="H210" s="1918"/>
      <c r="I210" s="1918"/>
      <c r="J210" s="1918"/>
      <c r="K210" s="1918"/>
      <c r="L210" s="1918"/>
      <c r="M210" s="1918"/>
      <c r="N210" s="1918"/>
      <c r="O210" s="1918"/>
      <c r="P210" s="1919">
        <v>46600</v>
      </c>
      <c r="Q210" s="1919"/>
      <c r="R210" s="1919"/>
      <c r="S210" s="1919"/>
      <c r="T210" s="1919"/>
      <c r="U210" s="1920" t="s">
        <v>1885</v>
      </c>
      <c r="V210" s="1920"/>
      <c r="W210" s="1920"/>
      <c r="X210" s="1920"/>
      <c r="Y210" s="1920">
        <v>812296</v>
      </c>
      <c r="Z210" s="1920"/>
      <c r="AA210" s="1920"/>
      <c r="AB210" s="1920"/>
      <c r="AC210" s="1921" t="s">
        <v>1885</v>
      </c>
      <c r="AD210" s="1921"/>
      <c r="AE210" s="1921"/>
      <c r="AF210" s="1921"/>
      <c r="AG210" s="1905" t="s">
        <v>2782</v>
      </c>
      <c r="AH210" s="1906"/>
      <c r="AI210" s="1906"/>
      <c r="AJ210" s="1906"/>
      <c r="AK210" s="190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6">
        <v>3</v>
      </c>
      <c r="D211" s="1917"/>
      <c r="E211" s="1917"/>
      <c r="F211" s="1917"/>
      <c r="G211" s="1918" t="s">
        <v>2784</v>
      </c>
      <c r="H211" s="1918"/>
      <c r="I211" s="1918"/>
      <c r="J211" s="1918"/>
      <c r="K211" s="1918"/>
      <c r="L211" s="1918"/>
      <c r="M211" s="1918"/>
      <c r="N211" s="1918"/>
      <c r="O211" s="1918"/>
      <c r="P211" s="1919">
        <v>46631</v>
      </c>
      <c r="Q211" s="1919"/>
      <c r="R211" s="1919"/>
      <c r="S211" s="1919"/>
      <c r="T211" s="1919"/>
      <c r="U211" s="1920">
        <v>15112222</v>
      </c>
      <c r="V211" s="1920"/>
      <c r="W211" s="1920"/>
      <c r="X211" s="1920"/>
      <c r="Y211" s="1920" t="s">
        <v>1885</v>
      </c>
      <c r="Z211" s="1920"/>
      <c r="AA211" s="1920"/>
      <c r="AB211" s="1920"/>
      <c r="AC211" s="1921" t="s">
        <v>1885</v>
      </c>
      <c r="AD211" s="1921"/>
      <c r="AE211" s="1921"/>
      <c r="AF211" s="1921"/>
      <c r="AG211" s="1905" t="s">
        <v>2782</v>
      </c>
      <c r="AH211" s="1906"/>
      <c r="AI211" s="1906"/>
      <c r="AJ211" s="1906"/>
      <c r="AK211" s="190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6">
        <v>4</v>
      </c>
      <c r="D212" s="1917"/>
      <c r="E212" s="1917"/>
      <c r="F212" s="1917"/>
      <c r="G212" s="1918" t="s">
        <v>1885</v>
      </c>
      <c r="H212" s="1918"/>
      <c r="I212" s="1918"/>
      <c r="J212" s="1918"/>
      <c r="K212" s="1918"/>
      <c r="L212" s="1918"/>
      <c r="M212" s="1918"/>
      <c r="N212" s="1918"/>
      <c r="O212" s="1918"/>
      <c r="P212" s="1919">
        <v>46966</v>
      </c>
      <c r="Q212" s="1919"/>
      <c r="R212" s="1919"/>
      <c r="S212" s="1919"/>
      <c r="T212" s="1919"/>
      <c r="U212" s="1920" t="s">
        <v>1885</v>
      </c>
      <c r="V212" s="1920"/>
      <c r="W212" s="1920"/>
      <c r="X212" s="1920"/>
      <c r="Y212" s="1920">
        <v>324919</v>
      </c>
      <c r="Z212" s="1920"/>
      <c r="AA212" s="1920"/>
      <c r="AB212" s="1920"/>
      <c r="AC212" s="1921" t="s">
        <v>1885</v>
      </c>
      <c r="AD212" s="1921"/>
      <c r="AE212" s="1921"/>
      <c r="AF212" s="1921"/>
      <c r="AG212" s="1905" t="s">
        <v>2782</v>
      </c>
      <c r="AH212" s="1906"/>
      <c r="AI212" s="1906"/>
      <c r="AJ212" s="1906"/>
      <c r="AK212" s="190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6">
        <v>5</v>
      </c>
      <c r="D213" s="1917"/>
      <c r="E213" s="1917"/>
      <c r="F213" s="1917"/>
      <c r="G213" s="1918" t="s">
        <v>2785</v>
      </c>
      <c r="H213" s="1918"/>
      <c r="I213" s="1918"/>
      <c r="J213" s="1918"/>
      <c r="K213" s="1918"/>
      <c r="L213" s="1918"/>
      <c r="M213" s="1918"/>
      <c r="N213" s="1918"/>
      <c r="O213" s="1918"/>
      <c r="P213" s="1919">
        <v>46935</v>
      </c>
      <c r="Q213" s="1919"/>
      <c r="R213" s="1919"/>
      <c r="S213" s="1919"/>
      <c r="T213" s="1919"/>
      <c r="U213" s="1920">
        <v>9299830</v>
      </c>
      <c r="V213" s="1920"/>
      <c r="W213" s="1920"/>
      <c r="X213" s="1920"/>
      <c r="Y213" s="1920">
        <v>1137215</v>
      </c>
      <c r="Z213" s="1920"/>
      <c r="AA213" s="1920"/>
      <c r="AB213" s="1920"/>
      <c r="AC213" s="1921" t="s">
        <v>1885</v>
      </c>
      <c r="AD213" s="1921"/>
      <c r="AE213" s="1921"/>
      <c r="AF213" s="1921"/>
      <c r="AG213" s="1905" t="s">
        <v>2782</v>
      </c>
      <c r="AH213" s="1906"/>
      <c r="AI213" s="1906"/>
      <c r="AJ213" s="1906"/>
      <c r="AK213" s="190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6">
        <v>6</v>
      </c>
      <c r="D214" s="1917"/>
      <c r="E214" s="1917"/>
      <c r="F214" s="1917"/>
      <c r="G214" s="1918" t="s">
        <v>2786</v>
      </c>
      <c r="H214" s="1918"/>
      <c r="I214" s="1918"/>
      <c r="J214" s="1918"/>
      <c r="K214" s="1918"/>
      <c r="L214" s="1918"/>
      <c r="M214" s="1918"/>
      <c r="N214" s="1918"/>
      <c r="O214" s="1918"/>
      <c r="P214" s="1919">
        <v>46966</v>
      </c>
      <c r="Q214" s="1919"/>
      <c r="R214" s="1919"/>
      <c r="S214" s="1919"/>
      <c r="T214" s="1919"/>
      <c r="U214" s="1920">
        <v>290620</v>
      </c>
      <c r="V214" s="1920"/>
      <c r="W214" s="1920"/>
      <c r="X214" s="1920"/>
      <c r="Y214" s="1920">
        <v>162459</v>
      </c>
      <c r="Z214" s="1920"/>
      <c r="AA214" s="1920"/>
      <c r="AB214" s="1920"/>
      <c r="AC214" s="1921" t="s">
        <v>1885</v>
      </c>
      <c r="AD214" s="1921"/>
      <c r="AE214" s="1921"/>
      <c r="AF214" s="1921"/>
      <c r="AG214" s="1905"/>
      <c r="AH214" s="1906"/>
      <c r="AI214" s="1906"/>
      <c r="AJ214" s="1906"/>
      <c r="AK214" s="190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6">
        <v>7</v>
      </c>
      <c r="D215" s="1917"/>
      <c r="E215" s="1917"/>
      <c r="F215" s="1917"/>
      <c r="G215" s="1918"/>
      <c r="H215" s="1918"/>
      <c r="I215" s="1918"/>
      <c r="J215" s="1918"/>
      <c r="K215" s="1918"/>
      <c r="L215" s="1918"/>
      <c r="M215" s="1918"/>
      <c r="N215" s="1918"/>
      <c r="O215" s="1918"/>
      <c r="P215" s="1919"/>
      <c r="Q215" s="1919"/>
      <c r="R215" s="1919"/>
      <c r="S215" s="1919"/>
      <c r="T215" s="1919"/>
      <c r="U215" s="1920"/>
      <c r="V215" s="1920"/>
      <c r="W215" s="1920"/>
      <c r="X215" s="1920"/>
      <c r="Y215" s="1920"/>
      <c r="Z215" s="1920"/>
      <c r="AA215" s="1920"/>
      <c r="AB215" s="1920"/>
      <c r="AC215" s="1921" t="s">
        <v>1885</v>
      </c>
      <c r="AD215" s="1921"/>
      <c r="AE215" s="1921"/>
      <c r="AF215" s="1921"/>
      <c r="AG215" s="1905"/>
      <c r="AH215" s="1906"/>
      <c r="AI215" s="1906"/>
      <c r="AJ215" s="1906"/>
      <c r="AK215" s="190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8" t="s">
        <v>2296</v>
      </c>
      <c r="D216" s="1909"/>
      <c r="E216" s="1909"/>
      <c r="F216" s="1909"/>
      <c r="G216" s="1909"/>
      <c r="H216" s="1909"/>
      <c r="I216" s="1909"/>
      <c r="J216" s="1909"/>
      <c r="K216" s="1909"/>
      <c r="L216" s="1909"/>
      <c r="M216" s="1909"/>
      <c r="N216" s="1909"/>
      <c r="O216" s="1909"/>
      <c r="P216" s="1910"/>
      <c r="Q216" s="1910"/>
      <c r="R216" s="1910"/>
      <c r="S216" s="1910"/>
      <c r="T216" s="1910"/>
      <c r="U216" s="1911">
        <f>-SUM(U209:U215)</f>
        <v>-29061967</v>
      </c>
      <c r="V216" s="1911"/>
      <c r="W216" s="1911"/>
      <c r="X216" s="1911"/>
      <c r="Y216" s="1911">
        <f>-SUM(Y209:Y215)</f>
        <v>-3249185</v>
      </c>
      <c r="Z216" s="1911"/>
      <c r="AA216" s="1911"/>
      <c r="AB216" s="1911"/>
      <c r="AC216" s="1912">
        <f>-SUM(AC209:AC215)</f>
        <v>0</v>
      </c>
      <c r="AD216" s="1912"/>
      <c r="AE216" s="1912"/>
      <c r="AF216" s="1912"/>
      <c r="AG216" s="1913"/>
      <c r="AH216" s="1914"/>
      <c r="AI216" s="1914"/>
      <c r="AJ216" s="1914"/>
      <c r="AK216" s="19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2" t="s">
        <v>2294</v>
      </c>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c r="AI221" s="1893"/>
      <c r="AJ221" s="1893"/>
      <c r="AK221" s="1893"/>
      <c r="AL221" s="1893"/>
      <c r="AM221" s="1893"/>
      <c r="AN221" s="1893"/>
      <c r="AO221" s="1893"/>
      <c r="AP221" s="1893"/>
      <c r="AQ221" s="1893"/>
      <c r="AR221" s="1893"/>
      <c r="AS221" s="1893"/>
      <c r="AT221" s="1893"/>
      <c r="AU221" s="1893"/>
      <c r="AV221" s="1893"/>
      <c r="AW221" s="1893"/>
      <c r="AX221" s="1893"/>
      <c r="AY221" s="1893"/>
      <c r="AZ221" s="1893"/>
      <c r="BA221" s="1893"/>
      <c r="BB221" s="1893"/>
      <c r="BC221" s="1893"/>
      <c r="BD221" s="1894"/>
      <c r="BE221" s="1194"/>
    </row>
    <row r="222" spans="1:57" ht="15.75" customHeight="1">
      <c r="A222" s="1190"/>
      <c r="B222" s="1895"/>
      <c r="C222" s="1896"/>
      <c r="D222" s="1896"/>
      <c r="E222" s="1896"/>
      <c r="F222" s="1896"/>
      <c r="G222" s="1896"/>
      <c r="H222" s="1896"/>
      <c r="I222" s="1896"/>
      <c r="J222" s="1896"/>
      <c r="K222" s="1896"/>
      <c r="L222" s="1896"/>
      <c r="M222" s="1896"/>
      <c r="N222" s="1896"/>
      <c r="O222" s="1896"/>
      <c r="P222" s="1896"/>
      <c r="Q222" s="1896"/>
      <c r="R222" s="1896"/>
      <c r="S222" s="1896"/>
      <c r="T222" s="1896"/>
      <c r="U222" s="1896"/>
      <c r="V222" s="1896"/>
      <c r="W222" s="1896"/>
      <c r="X222" s="1896"/>
      <c r="Y222" s="1896"/>
      <c r="Z222" s="1896"/>
      <c r="AA222" s="1896"/>
      <c r="AB222" s="1896"/>
      <c r="AC222" s="1896"/>
      <c r="AD222" s="1896"/>
      <c r="AE222" s="1896"/>
      <c r="AF222" s="1896"/>
      <c r="AG222" s="1896"/>
      <c r="AH222" s="1896"/>
      <c r="AI222" s="1896"/>
      <c r="AJ222" s="1896"/>
      <c r="AK222" s="1896"/>
      <c r="AL222" s="1896"/>
      <c r="AM222" s="1896"/>
      <c r="AN222" s="1896"/>
      <c r="AO222" s="1896"/>
      <c r="AP222" s="1896"/>
      <c r="AQ222" s="1896"/>
      <c r="AR222" s="1896"/>
      <c r="AS222" s="1896"/>
      <c r="AT222" s="1896"/>
      <c r="AU222" s="1896"/>
      <c r="AV222" s="1896"/>
      <c r="AW222" s="1896"/>
      <c r="AX222" s="1896"/>
      <c r="AY222" s="1896"/>
      <c r="AZ222" s="1896"/>
      <c r="BA222" s="1896"/>
      <c r="BB222" s="1896"/>
      <c r="BC222" s="1896"/>
      <c r="BD222" s="1897"/>
      <c r="BE222" s="1194"/>
    </row>
    <row r="223" spans="1:57" ht="15.75" customHeight="1">
      <c r="A223" s="1190"/>
      <c r="B223" s="1898" t="s">
        <v>2293</v>
      </c>
      <c r="C223" s="1899"/>
      <c r="D223" s="1899"/>
      <c r="E223" s="1899"/>
      <c r="F223" s="1899"/>
      <c r="G223" s="1899"/>
      <c r="H223" s="1899"/>
      <c r="I223" s="1899"/>
      <c r="J223" s="1899"/>
      <c r="K223" s="1899"/>
      <c r="L223" s="1899"/>
      <c r="M223" s="1899"/>
      <c r="N223" s="1899"/>
      <c r="O223" s="1899"/>
      <c r="P223" s="1899"/>
      <c r="Q223" s="1899"/>
      <c r="R223" s="1899"/>
      <c r="S223" s="1899"/>
      <c r="T223" s="1899"/>
      <c r="U223" s="1899"/>
      <c r="V223" s="1899"/>
      <c r="W223" s="1899"/>
      <c r="X223" s="1899"/>
      <c r="Y223" s="1899"/>
      <c r="Z223" s="1899"/>
      <c r="AA223" s="1899"/>
      <c r="AB223" s="1899"/>
      <c r="AC223" s="1899"/>
      <c r="AD223" s="1899"/>
      <c r="AE223" s="1899"/>
      <c r="AF223" s="1899"/>
      <c r="AG223" s="1899"/>
      <c r="AH223" s="1899"/>
      <c r="AI223" s="1899"/>
      <c r="AJ223" s="1899"/>
      <c r="AK223" s="1899"/>
      <c r="AL223" s="1899"/>
      <c r="AM223" s="1899"/>
      <c r="AN223" s="1899"/>
      <c r="AO223" s="1899"/>
      <c r="AP223" s="1899"/>
      <c r="AQ223" s="1899"/>
      <c r="AR223" s="1899"/>
      <c r="AS223" s="1899"/>
      <c r="AT223" s="1899"/>
      <c r="AU223" s="1899"/>
      <c r="AV223" s="1899"/>
      <c r="AW223" s="1899"/>
      <c r="AX223" s="1899"/>
      <c r="AY223" s="1899"/>
      <c r="AZ223" s="1899"/>
      <c r="BA223" s="1899"/>
      <c r="BB223" s="1899"/>
      <c r="BC223" s="1899"/>
      <c r="BD223" s="1900"/>
      <c r="BE223" s="1194"/>
    </row>
    <row r="224" spans="1:57" ht="15.75" customHeight="1">
      <c r="A224" s="1190"/>
      <c r="B224" s="1898" t="s">
        <v>2292</v>
      </c>
      <c r="C224" s="1899"/>
      <c r="D224" s="1899"/>
      <c r="E224" s="1899"/>
      <c r="F224" s="1899"/>
      <c r="G224" s="1899"/>
      <c r="H224" s="1899"/>
      <c r="I224" s="1899"/>
      <c r="J224" s="1899"/>
      <c r="K224" s="1899"/>
      <c r="L224" s="1899"/>
      <c r="M224" s="1899"/>
      <c r="N224" s="1899"/>
      <c r="O224" s="1899"/>
      <c r="P224" s="1899"/>
      <c r="Q224" s="1899"/>
      <c r="R224" s="1899"/>
      <c r="S224" s="1899"/>
      <c r="T224" s="1899"/>
      <c r="U224" s="1899"/>
      <c r="V224" s="1899"/>
      <c r="W224" s="1899"/>
      <c r="X224" s="1899"/>
      <c r="Y224" s="1899"/>
      <c r="Z224" s="1899"/>
      <c r="AA224" s="1899"/>
      <c r="AB224" s="1899"/>
      <c r="AC224" s="1899"/>
      <c r="AD224" s="1899"/>
      <c r="AE224" s="1899"/>
      <c r="AF224" s="1899"/>
      <c r="AG224" s="1899"/>
      <c r="AH224" s="1899"/>
      <c r="AI224" s="1899"/>
      <c r="AJ224" s="1899"/>
      <c r="AK224" s="1899"/>
      <c r="AL224" s="1899"/>
      <c r="AM224" s="1899"/>
      <c r="AN224" s="1899"/>
      <c r="AO224" s="1899"/>
      <c r="AP224" s="1899"/>
      <c r="AQ224" s="1899"/>
      <c r="AR224" s="1899"/>
      <c r="AS224" s="1899"/>
      <c r="AT224" s="1899"/>
      <c r="AU224" s="1899"/>
      <c r="AV224" s="1899"/>
      <c r="AW224" s="1899"/>
      <c r="AX224" s="1899"/>
      <c r="AY224" s="1899"/>
      <c r="AZ224" s="1899"/>
      <c r="BA224" s="1899"/>
      <c r="BB224" s="1899"/>
      <c r="BC224" s="1899"/>
      <c r="BD224" s="19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1" t="s">
        <v>2291</v>
      </c>
      <c r="C226" s="1902"/>
      <c r="D226" s="1902"/>
      <c r="E226" s="1902"/>
      <c r="F226" s="1902"/>
      <c r="G226" s="1902"/>
      <c r="H226" s="1902"/>
      <c r="I226" s="1902"/>
      <c r="J226" s="1902"/>
      <c r="K226" s="1902"/>
      <c r="L226" s="1902"/>
      <c r="M226" s="1902"/>
      <c r="N226" s="1902"/>
      <c r="O226" s="1902"/>
      <c r="P226" s="1902"/>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4" t="s">
        <v>2289</v>
      </c>
      <c r="I230" s="1904"/>
      <c r="J230" s="1904"/>
      <c r="K230" s="1904"/>
      <c r="L230" s="1904"/>
      <c r="M230" s="1904"/>
      <c r="N230" s="1904"/>
      <c r="O230" s="1904"/>
      <c r="P230" s="1904"/>
      <c r="Q230" s="1904"/>
      <c r="R230" s="1904"/>
      <c r="S230" s="1904"/>
      <c r="T230" s="1904"/>
      <c r="U230" s="1904"/>
      <c r="V230" s="1904"/>
      <c r="W230" s="1904"/>
      <c r="X230" s="1904"/>
      <c r="Y230" s="1904"/>
      <c r="Z230" s="1904"/>
      <c r="AA230" s="1904"/>
      <c r="AB230" s="1904"/>
      <c r="AC230" s="1904"/>
      <c r="AD230" s="1904"/>
      <c r="AE230" s="1904"/>
      <c r="AF230" s="1904"/>
      <c r="AG230" s="1904"/>
      <c r="AH230" s="1904"/>
      <c r="AI230" s="1904"/>
      <c r="AJ230" s="1904"/>
      <c r="AK230" s="1904"/>
      <c r="AL230" s="1904"/>
      <c r="AM230" s="1904"/>
      <c r="AN230" s="1904"/>
      <c r="AO230" s="1904"/>
      <c r="AP230" s="1904"/>
      <c r="AQ230" s="1904"/>
      <c r="AR230" s="1904"/>
      <c r="AS230" s="1904"/>
      <c r="AT230" s="1904"/>
      <c r="AU230" s="1904"/>
      <c r="AV230" s="1904"/>
      <c r="AW230" s="1904"/>
      <c r="AX230" s="1904"/>
      <c r="AY230" s="19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7" t="s">
        <v>2288</v>
      </c>
      <c r="I232" s="1887"/>
      <c r="J232" s="1887"/>
      <c r="K232" s="1887"/>
      <c r="L232" s="1887"/>
      <c r="M232" s="1887"/>
      <c r="N232" s="1887"/>
      <c r="O232" s="1887"/>
      <c r="P232" s="1887"/>
      <c r="Q232" s="1887"/>
      <c r="R232" s="1887"/>
      <c r="S232" s="1887"/>
      <c r="T232" s="1887"/>
      <c r="U232" s="1887"/>
      <c r="V232" s="1887"/>
      <c r="W232" s="1887"/>
      <c r="X232" s="1887"/>
      <c r="Y232" s="1887"/>
      <c r="Z232" s="1887"/>
      <c r="AA232" s="1887"/>
      <c r="AB232" s="1887"/>
      <c r="AC232" s="1887"/>
      <c r="AD232" s="1887"/>
      <c r="AE232" s="1887"/>
      <c r="AF232" s="1887"/>
      <c r="AG232" s="1887"/>
      <c r="AH232" s="1887"/>
      <c r="AI232" s="1887"/>
      <c r="AJ232" s="1887"/>
      <c r="AK232" s="1887"/>
      <c r="AL232" s="1887"/>
      <c r="AM232" s="1887"/>
      <c r="AN232" s="1887"/>
      <c r="AO232" s="1887"/>
      <c r="AP232" s="1887"/>
      <c r="AQ232" s="1887"/>
      <c r="AR232" s="1887"/>
      <c r="AS232" s="1887"/>
      <c r="AT232" s="1887"/>
      <c r="AU232" s="1887"/>
      <c r="AV232" s="1887"/>
      <c r="AW232" s="1887"/>
      <c r="AX232" s="1887"/>
      <c r="AY232" s="1887"/>
      <c r="AZ232" s="1887"/>
      <c r="BA232" s="1190"/>
      <c r="BB232" s="1190"/>
      <c r="BC232" s="1190"/>
      <c r="BD232" s="1194"/>
      <c r="BE232" s="1194"/>
    </row>
    <row r="233" spans="1:57" ht="15.75" customHeight="1">
      <c r="A233" s="1190"/>
      <c r="B233" s="1189"/>
      <c r="C233" s="1190"/>
      <c r="D233" s="1190"/>
      <c r="E233" s="1190"/>
      <c r="F233" s="1190"/>
      <c r="G233" s="1190"/>
      <c r="H233" s="1887"/>
      <c r="I233" s="1887"/>
      <c r="J233" s="1887"/>
      <c r="K233" s="1887"/>
      <c r="L233" s="1887"/>
      <c r="M233" s="1887"/>
      <c r="N233" s="1887"/>
      <c r="O233" s="1887"/>
      <c r="P233" s="1887"/>
      <c r="Q233" s="1887"/>
      <c r="R233" s="1887"/>
      <c r="S233" s="1887"/>
      <c r="T233" s="1887"/>
      <c r="U233" s="1887"/>
      <c r="V233" s="1887"/>
      <c r="W233" s="1887"/>
      <c r="X233" s="1887"/>
      <c r="Y233" s="1887"/>
      <c r="Z233" s="1887"/>
      <c r="AA233" s="1887"/>
      <c r="AB233" s="1887"/>
      <c r="AC233" s="1887"/>
      <c r="AD233" s="1887"/>
      <c r="AE233" s="1887"/>
      <c r="AF233" s="1887"/>
      <c r="AG233" s="1887"/>
      <c r="AH233" s="1887"/>
      <c r="AI233" s="1887"/>
      <c r="AJ233" s="1887"/>
      <c r="AK233" s="1887"/>
      <c r="AL233" s="1887"/>
      <c r="AM233" s="1887"/>
      <c r="AN233" s="1887"/>
      <c r="AO233" s="1887"/>
      <c r="AP233" s="1887"/>
      <c r="AQ233" s="1887"/>
      <c r="AR233" s="1887"/>
      <c r="AS233" s="1887"/>
      <c r="AT233" s="1887"/>
      <c r="AU233" s="1887"/>
      <c r="AV233" s="1887"/>
      <c r="AW233" s="1887"/>
      <c r="AX233" s="1887"/>
      <c r="AY233" s="1887"/>
      <c r="AZ233" s="1887"/>
      <c r="BA233" s="1190"/>
      <c r="BB233" s="1190"/>
      <c r="BC233" s="1190"/>
      <c r="BD233" s="1194"/>
      <c r="BE233" s="1194"/>
    </row>
    <row r="234" spans="1:57" ht="15.75" customHeight="1">
      <c r="A234" s="1190"/>
      <c r="B234" s="1189"/>
      <c r="C234" s="1190"/>
      <c r="D234" s="1190"/>
      <c r="E234" s="1190"/>
      <c r="F234" s="1190"/>
      <c r="G234" s="1190"/>
      <c r="H234" s="1887"/>
      <c r="I234" s="1887"/>
      <c r="J234" s="1887"/>
      <c r="K234" s="1887"/>
      <c r="L234" s="1887"/>
      <c r="M234" s="1887"/>
      <c r="N234" s="1887"/>
      <c r="O234" s="1887"/>
      <c r="P234" s="1887"/>
      <c r="Q234" s="1887"/>
      <c r="R234" s="1887"/>
      <c r="S234" s="1887"/>
      <c r="T234" s="1887"/>
      <c r="U234" s="1887"/>
      <c r="V234" s="1887"/>
      <c r="W234" s="1887"/>
      <c r="X234" s="1887"/>
      <c r="Y234" s="1887"/>
      <c r="Z234" s="1887"/>
      <c r="AA234" s="1887"/>
      <c r="AB234" s="1887"/>
      <c r="AC234" s="1887"/>
      <c r="AD234" s="1887"/>
      <c r="AE234" s="1887"/>
      <c r="AF234" s="1887"/>
      <c r="AG234" s="1887"/>
      <c r="AH234" s="1887"/>
      <c r="AI234" s="1887"/>
      <c r="AJ234" s="1887"/>
      <c r="AK234" s="1887"/>
      <c r="AL234" s="1887"/>
      <c r="AM234" s="1887"/>
      <c r="AN234" s="1887"/>
      <c r="AO234" s="1887"/>
      <c r="AP234" s="1887"/>
      <c r="AQ234" s="1887"/>
      <c r="AR234" s="1887"/>
      <c r="AS234" s="1887"/>
      <c r="AT234" s="1887"/>
      <c r="AU234" s="1887"/>
      <c r="AV234" s="1887"/>
      <c r="AW234" s="1887"/>
      <c r="AX234" s="1887"/>
      <c r="AY234" s="1887"/>
      <c r="AZ234" s="1887"/>
      <c r="BA234" s="1190"/>
      <c r="BB234" s="1190"/>
      <c r="BC234" s="1190"/>
      <c r="BD234" s="1194"/>
      <c r="BE234" s="1194"/>
    </row>
    <row r="235" spans="1:57" ht="15.75" customHeight="1">
      <c r="A235" s="1190"/>
      <c r="B235" s="1189"/>
      <c r="C235" s="1190"/>
      <c r="D235" s="1190"/>
      <c r="E235" s="1190"/>
      <c r="F235" s="1190"/>
      <c r="G235" s="1190"/>
      <c r="H235" s="1887"/>
      <c r="I235" s="1887"/>
      <c r="J235" s="1887"/>
      <c r="K235" s="1887"/>
      <c r="L235" s="1887"/>
      <c r="M235" s="1887"/>
      <c r="N235" s="1887"/>
      <c r="O235" s="1887"/>
      <c r="P235" s="1887"/>
      <c r="Q235" s="1887"/>
      <c r="R235" s="1887"/>
      <c r="S235" s="1887"/>
      <c r="T235" s="1887"/>
      <c r="U235" s="1887"/>
      <c r="V235" s="1887"/>
      <c r="W235" s="1887"/>
      <c r="X235" s="1887"/>
      <c r="Y235" s="1887"/>
      <c r="Z235" s="1887"/>
      <c r="AA235" s="1887"/>
      <c r="AB235" s="1887"/>
      <c r="AC235" s="1887"/>
      <c r="AD235" s="1887"/>
      <c r="AE235" s="1887"/>
      <c r="AF235" s="1887"/>
      <c r="AG235" s="1887"/>
      <c r="AH235" s="1887"/>
      <c r="AI235" s="1887"/>
      <c r="AJ235" s="1887"/>
      <c r="AK235" s="1887"/>
      <c r="AL235" s="1887"/>
      <c r="AM235" s="1887"/>
      <c r="AN235" s="1887"/>
      <c r="AO235" s="1887"/>
      <c r="AP235" s="1887"/>
      <c r="AQ235" s="1887"/>
      <c r="AR235" s="1887"/>
      <c r="AS235" s="1887"/>
      <c r="AT235" s="1887"/>
      <c r="AU235" s="1887"/>
      <c r="AV235" s="1887"/>
      <c r="AW235" s="1887"/>
      <c r="AX235" s="1887"/>
      <c r="AY235" s="1887"/>
      <c r="AZ235" s="188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8" t="s">
        <v>2287</v>
      </c>
      <c r="I237" s="1888"/>
      <c r="J237" s="1888"/>
      <c r="K237" s="1888"/>
      <c r="L237" s="1888"/>
      <c r="M237" s="1888"/>
      <c r="N237" s="1888"/>
      <c r="O237" s="1888"/>
      <c r="P237" s="1888"/>
      <c r="Q237" s="1888"/>
      <c r="R237" s="1888"/>
      <c r="S237" s="1888"/>
      <c r="T237" s="1888"/>
      <c r="U237" s="1888"/>
      <c r="V237" s="1888"/>
      <c r="W237" s="1888"/>
      <c r="X237" s="1888"/>
      <c r="Y237" s="1888"/>
      <c r="Z237" s="1888"/>
      <c r="AA237" s="1888"/>
      <c r="AB237" s="1888"/>
      <c r="AC237" s="1888"/>
      <c r="AD237" s="1888"/>
      <c r="AE237" s="1888"/>
      <c r="AF237" s="1888"/>
      <c r="AG237" s="1888"/>
      <c r="AH237" s="1888"/>
      <c r="AI237" s="1888"/>
      <c r="AJ237" s="1888"/>
      <c r="AK237" s="1888"/>
      <c r="AL237" s="1888"/>
      <c r="AM237" s="1888"/>
      <c r="AN237" s="1888"/>
      <c r="AO237" s="1888"/>
      <c r="AP237" s="1888"/>
      <c r="AQ237" s="1888"/>
      <c r="AR237" s="1888"/>
      <c r="AS237" s="1888"/>
      <c r="AT237" s="1888"/>
      <c r="AU237" s="1888"/>
      <c r="AV237" s="188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8" t="s">
        <v>2286</v>
      </c>
      <c r="I239" s="1878"/>
      <c r="J239" s="1878"/>
      <c r="K239" s="1878"/>
      <c r="L239" s="1239"/>
      <c r="M239" s="1239"/>
      <c r="N239" s="1239"/>
      <c r="O239" s="1239"/>
      <c r="P239" s="1239"/>
      <c r="Q239" s="1239"/>
      <c r="R239" s="1239"/>
      <c r="S239" s="1889"/>
      <c r="T239" s="1890"/>
      <c r="U239" s="1890"/>
      <c r="V239" s="1890"/>
      <c r="W239" s="1890"/>
      <c r="X239" s="1890"/>
      <c r="Y239" s="1890"/>
      <c r="Z239" s="1890"/>
      <c r="AA239" s="1890"/>
      <c r="AB239" s="1890"/>
      <c r="AC239" s="1890"/>
      <c r="AD239" s="1890"/>
      <c r="AE239" s="1890"/>
      <c r="AF239" s="1890"/>
      <c r="AG239" s="1890"/>
      <c r="AH239" s="1890"/>
      <c r="AI239" s="1890"/>
      <c r="AJ239" s="189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8" t="s">
        <v>2285</v>
      </c>
      <c r="I241" s="1878"/>
      <c r="J241" s="1878"/>
      <c r="K241" s="1241"/>
      <c r="L241" s="1239"/>
      <c r="M241" s="1239"/>
      <c r="N241" s="1239"/>
      <c r="O241" s="1239"/>
      <c r="P241" s="1239"/>
      <c r="Q241" s="1239"/>
      <c r="R241" s="1239"/>
      <c r="S241" s="1879"/>
      <c r="T241" s="1880"/>
      <c r="U241" s="1880"/>
      <c r="V241" s="1880"/>
      <c r="W241" s="1880"/>
      <c r="X241" s="1880"/>
      <c r="Y241" s="1880"/>
      <c r="Z241" s="1880"/>
      <c r="AA241" s="1880"/>
      <c r="AB241" s="1880"/>
      <c r="AC241" s="1880"/>
      <c r="AD241" s="1880"/>
      <c r="AE241" s="1880"/>
      <c r="AF241" s="1880"/>
      <c r="AG241" s="1880"/>
      <c r="AH241" s="1880"/>
      <c r="AI241" s="1880"/>
      <c r="AJ241" s="188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8" t="s">
        <v>441</v>
      </c>
      <c r="I243" s="1878"/>
      <c r="J243" s="1241"/>
      <c r="K243" s="1241"/>
      <c r="L243" s="1239"/>
      <c r="M243" s="1239"/>
      <c r="N243" s="1239"/>
      <c r="O243" s="1239"/>
      <c r="P243" s="1239"/>
      <c r="Q243" s="1239"/>
      <c r="R243" s="1239"/>
      <c r="S243" s="1879"/>
      <c r="T243" s="1880"/>
      <c r="U243" s="1880"/>
      <c r="V243" s="1880"/>
      <c r="W243" s="1880"/>
      <c r="X243" s="1880"/>
      <c r="Y243" s="1880"/>
      <c r="Z243" s="1880"/>
      <c r="AA243" s="1880"/>
      <c r="AB243" s="1880"/>
      <c r="AC243" s="1880"/>
      <c r="AD243" s="1880"/>
      <c r="AE243" s="1880"/>
      <c r="AF243" s="1880"/>
      <c r="AG243" s="1880"/>
      <c r="AH243" s="1880"/>
      <c r="AI243" s="1880"/>
      <c r="AJ243" s="188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2" t="s">
        <v>2284</v>
      </c>
      <c r="I245" s="1882"/>
      <c r="J245" s="1882"/>
      <c r="K245" s="1882"/>
      <c r="L245" s="1882"/>
      <c r="M245" s="1882"/>
      <c r="N245" s="1882"/>
      <c r="O245" s="1882"/>
      <c r="P245" s="1239"/>
      <c r="Q245" s="1239"/>
      <c r="R245" s="1239"/>
      <c r="S245" s="1879"/>
      <c r="T245" s="1880"/>
      <c r="U245" s="1880"/>
      <c r="V245" s="1880"/>
      <c r="W245" s="1880"/>
      <c r="X245" s="1880"/>
      <c r="Y245" s="1880"/>
      <c r="Z245" s="1880"/>
      <c r="AA245" s="1880"/>
      <c r="AB245" s="1880"/>
      <c r="AC245" s="1880"/>
      <c r="AD245" s="1880"/>
      <c r="AE245" s="1880"/>
      <c r="AF245" s="1880"/>
      <c r="AG245" s="1880"/>
      <c r="AH245" s="1880"/>
      <c r="AI245" s="1880"/>
      <c r="AJ245" s="188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3" t="s">
        <v>2283</v>
      </c>
      <c r="I247" s="1883"/>
      <c r="J247" s="1239"/>
      <c r="K247" s="1239"/>
      <c r="L247" s="1239"/>
      <c r="M247" s="1239"/>
      <c r="N247" s="1239"/>
      <c r="O247" s="1239"/>
      <c r="P247" s="1239"/>
      <c r="Q247" s="1239"/>
      <c r="R247" s="1239"/>
      <c r="S247" s="1884"/>
      <c r="T247" s="1885"/>
      <c r="U247" s="1885"/>
      <c r="V247" s="1885"/>
      <c r="W247" s="1885"/>
      <c r="X247" s="1885"/>
      <c r="Y247" s="1885"/>
      <c r="Z247" s="1885"/>
      <c r="AA247" s="1885"/>
      <c r="AB247" s="1885"/>
      <c r="AC247" s="1885"/>
      <c r="AD247" s="1885"/>
      <c r="AE247" s="1885"/>
      <c r="AF247" s="1885"/>
      <c r="AG247" s="1885"/>
      <c r="AH247" s="1885"/>
      <c r="AI247" s="1885"/>
      <c r="AJ247" s="188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55" fitToHeight="4" orientation="portrait" r:id="rId1"/>
  <rowBreaks count="1" manualBreakCount="1">
    <brk id="205" max="56" man="1"/>
  </rowBreaks>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2" workbookViewId="0">
      <selection activeCell="AB50" sqref="AB50:AF50"/>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8" t="s">
        <v>1280</v>
      </c>
      <c r="B1" s="2378"/>
      <c r="C1" s="2378"/>
      <c r="D1" s="2378"/>
      <c r="E1" s="2378"/>
      <c r="F1" s="2378"/>
      <c r="G1" s="2378"/>
      <c r="H1" s="2378"/>
      <c r="I1" s="2378"/>
      <c r="J1" s="2378"/>
      <c r="K1" s="2378"/>
      <c r="L1" s="2378"/>
      <c r="M1" s="2378"/>
      <c r="N1" s="2378"/>
      <c r="O1" s="2378"/>
      <c r="P1" s="2378"/>
      <c r="Q1" s="2378"/>
      <c r="R1" s="2378"/>
      <c r="S1" s="2378"/>
      <c r="T1" s="2378"/>
      <c r="U1" s="2378"/>
      <c r="V1" s="2378"/>
      <c r="W1" s="2378"/>
      <c r="X1" s="2378"/>
      <c r="Y1" s="2378"/>
      <c r="Z1" s="2378"/>
      <c r="AA1" s="2378"/>
      <c r="AB1" s="2378"/>
      <c r="AC1" s="2378"/>
      <c r="AD1" s="2378"/>
      <c r="AE1" s="2378"/>
      <c r="AF1" s="2378"/>
      <c r="AG1" s="2378"/>
      <c r="AH1" s="2378"/>
      <c r="AI1" s="2378"/>
      <c r="AJ1" s="2378"/>
      <c r="AK1" s="2378"/>
      <c r="AL1" s="2378"/>
      <c r="AM1" s="2378"/>
      <c r="AN1" s="2378"/>
    </row>
    <row r="2" spans="1:40" ht="12.95" customHeight="1" thickBot="1">
      <c r="A2" s="2379"/>
      <c r="B2" s="2379"/>
      <c r="C2" s="2379"/>
      <c r="D2" s="2379"/>
      <c r="E2" s="2379"/>
      <c r="F2" s="2379"/>
      <c r="G2" s="2379"/>
      <c r="H2" s="2379"/>
      <c r="I2" s="2379"/>
      <c r="J2" s="2379"/>
      <c r="K2" s="2379"/>
      <c r="L2" s="2379"/>
      <c r="M2" s="2379"/>
      <c r="N2" s="2379"/>
      <c r="O2" s="2379"/>
      <c r="P2" s="2379"/>
      <c r="Q2" s="2379"/>
      <c r="R2" s="2379"/>
      <c r="S2" s="2379"/>
      <c r="T2" s="2379"/>
      <c r="U2" s="2379"/>
      <c r="V2" s="2379"/>
      <c r="W2" s="2379"/>
      <c r="X2" s="2379"/>
      <c r="Y2" s="2379"/>
      <c r="Z2" s="2379"/>
      <c r="AA2" s="2379"/>
      <c r="AB2" s="2379"/>
      <c r="AC2" s="2379"/>
      <c r="AD2" s="2379"/>
      <c r="AE2" s="2379"/>
      <c r="AF2" s="2379"/>
      <c r="AG2" s="2379"/>
      <c r="AH2" s="2379"/>
      <c r="AI2" s="2379"/>
      <c r="AJ2" s="2379"/>
      <c r="AK2" s="2379"/>
      <c r="AL2" s="2379"/>
      <c r="AM2" s="2379"/>
      <c r="AN2" s="2379"/>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2.95"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2.95"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2.95"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2.95" customHeight="1">
      <c r="B11" s="2344" t="s">
        <v>374</v>
      </c>
      <c r="C11" s="2345"/>
      <c r="D11" s="2345"/>
      <c r="E11" s="2345"/>
      <c r="F11" s="2345"/>
      <c r="G11" s="2345"/>
      <c r="H11" s="2345"/>
      <c r="I11" s="2345"/>
      <c r="J11" s="2345"/>
      <c r="K11" s="2345"/>
      <c r="L11" s="2345"/>
      <c r="M11" s="2345"/>
      <c r="N11" s="2345"/>
      <c r="O11" s="2345"/>
      <c r="P11" s="2345"/>
      <c r="Q11" s="2345"/>
      <c r="R11" s="2345"/>
      <c r="S11" s="2346"/>
      <c r="T11" s="2380">
        <f>IF('Sources and Basis Breakdown'!F107=0,'Sources and Basis Breakdown'!E107,'Sources and Basis Breakdown'!F107)</f>
        <v>60101062</v>
      </c>
      <c r="U11" s="2381"/>
      <c r="V11" s="2381"/>
      <c r="W11" s="2381"/>
      <c r="X11" s="2381"/>
      <c r="Y11" s="2380">
        <f>IF(Y7="",0,IF('Sources and Basis Breakdown'!G107+'Sources and Basis Breakdown'!F107='Sources and Basis Breakdown'!E107,'Sources and Basis Breakdown'!G107,0))</f>
        <v>0</v>
      </c>
      <c r="Z11" s="2381"/>
      <c r="AA11" s="2381"/>
      <c r="AB11" s="2381"/>
      <c r="AC11" s="2381"/>
      <c r="AD11" s="2381">
        <f>IF('Sources and Basis Breakdown'!I107=0,'Sources and Basis Breakdown'!H107,'Sources and Basis Breakdown'!I107)</f>
        <v>0</v>
      </c>
      <c r="AE11" s="2381"/>
      <c r="AF11" s="2381"/>
      <c r="AG11" s="2381"/>
      <c r="AH11" s="2381"/>
      <c r="AI11" s="2381">
        <f>IF(Y7="",0,IF('Sources and Basis Breakdown'!I107+'Sources and Basis Breakdown'!J107='Sources and Basis Breakdown'!H107,'Sources and Basis Breakdown'!J107,0))</f>
        <v>0</v>
      </c>
      <c r="AJ11" s="2381"/>
      <c r="AK11" s="2381"/>
      <c r="AL11" s="2381"/>
      <c r="AM11" s="2381"/>
    </row>
    <row r="12" spans="1:40" ht="12.95" customHeight="1">
      <c r="B12" s="2382" t="s">
        <v>497</v>
      </c>
      <c r="C12" s="1310"/>
      <c r="D12" s="1310"/>
      <c r="E12" s="1310"/>
      <c r="F12" s="1310"/>
      <c r="G12" s="1310"/>
      <c r="H12" s="1310"/>
      <c r="I12" s="1310"/>
      <c r="J12" s="1310"/>
      <c r="K12" s="1310"/>
      <c r="L12" s="1310"/>
      <c r="M12" s="1310"/>
      <c r="N12" s="1310"/>
      <c r="O12" s="1310"/>
      <c r="P12" s="1310"/>
      <c r="Q12" s="1310"/>
      <c r="R12" s="1310"/>
      <c r="S12" s="2383"/>
      <c r="T12" s="2373"/>
      <c r="U12" s="2374"/>
      <c r="V12" s="2374"/>
      <c r="W12" s="2374"/>
      <c r="X12" s="2375"/>
      <c r="Y12" s="2373"/>
      <c r="Z12" s="2374"/>
      <c r="AA12" s="2374"/>
      <c r="AB12" s="2374"/>
      <c r="AC12" s="2375"/>
      <c r="AD12" s="2373"/>
      <c r="AE12" s="2374"/>
      <c r="AF12" s="2374"/>
      <c r="AG12" s="2374"/>
      <c r="AH12" s="2375"/>
      <c r="AI12" s="2373"/>
      <c r="AJ12" s="2374"/>
      <c r="AK12" s="2374"/>
      <c r="AL12" s="2374"/>
      <c r="AM12" s="2375"/>
    </row>
    <row r="13" spans="1:40" ht="12.95" customHeight="1">
      <c r="B13" s="435"/>
      <c r="C13" s="2384" t="s">
        <v>498</v>
      </c>
      <c r="D13" s="2384"/>
      <c r="E13" s="2384"/>
      <c r="F13" s="2384"/>
      <c r="G13" s="2384"/>
      <c r="H13" s="2384"/>
      <c r="I13" s="2384"/>
      <c r="J13" s="2384"/>
      <c r="K13" s="2384"/>
      <c r="L13" s="2384"/>
      <c r="M13" s="2384"/>
      <c r="N13" s="2384"/>
      <c r="O13" s="2384"/>
      <c r="P13" s="2384"/>
      <c r="Q13" s="2384"/>
      <c r="R13" s="2384"/>
      <c r="S13" s="2385"/>
      <c r="T13" s="2376"/>
      <c r="U13" s="2377"/>
      <c r="V13" s="2377"/>
      <c r="W13" s="2377"/>
      <c r="X13" s="2377"/>
      <c r="Y13" s="2376"/>
      <c r="Z13" s="2377"/>
      <c r="AA13" s="2377"/>
      <c r="AB13" s="2377"/>
      <c r="AC13" s="2377"/>
      <c r="AD13" s="2377"/>
      <c r="AE13" s="2377"/>
      <c r="AF13" s="2377"/>
      <c r="AG13" s="2377"/>
      <c r="AH13" s="2377"/>
      <c r="AI13" s="2377"/>
      <c r="AJ13" s="2377"/>
      <c r="AK13" s="2377"/>
      <c r="AL13" s="2377"/>
      <c r="AM13" s="2377"/>
    </row>
    <row r="14" spans="1:40" ht="12.95" customHeight="1">
      <c r="B14" s="435"/>
      <c r="C14" s="2384" t="s">
        <v>499</v>
      </c>
      <c r="D14" s="2384"/>
      <c r="E14" s="2384"/>
      <c r="F14" s="2384"/>
      <c r="G14" s="2384"/>
      <c r="H14" s="2384"/>
      <c r="I14" s="2384"/>
      <c r="J14" s="2384"/>
      <c r="K14" s="2384"/>
      <c r="L14" s="2384"/>
      <c r="M14" s="2384"/>
      <c r="N14" s="2384"/>
      <c r="O14" s="2384"/>
      <c r="P14" s="2384"/>
      <c r="Q14" s="2384"/>
      <c r="R14" s="2384"/>
      <c r="S14" s="2385"/>
      <c r="T14" s="2366"/>
      <c r="U14" s="2367"/>
      <c r="V14" s="2367"/>
      <c r="W14" s="2367"/>
      <c r="X14" s="2367"/>
      <c r="Y14" s="2366"/>
      <c r="Z14" s="2367"/>
      <c r="AA14" s="2367"/>
      <c r="AB14" s="2367"/>
      <c r="AC14" s="2367"/>
      <c r="AD14" s="2367"/>
      <c r="AE14" s="2367"/>
      <c r="AF14" s="2367"/>
      <c r="AG14" s="2367"/>
      <c r="AH14" s="2367"/>
      <c r="AI14" s="2367"/>
      <c r="AJ14" s="2367"/>
      <c r="AK14" s="2367"/>
      <c r="AL14" s="2367"/>
      <c r="AM14" s="2367"/>
    </row>
    <row r="15" spans="1:40" ht="12.95" customHeight="1">
      <c r="B15" s="435"/>
      <c r="C15" s="2384" t="s">
        <v>500</v>
      </c>
      <c r="D15" s="2384"/>
      <c r="E15" s="2384"/>
      <c r="F15" s="2384"/>
      <c r="G15" s="2384"/>
      <c r="H15" s="2384"/>
      <c r="I15" s="2384"/>
      <c r="J15" s="2384"/>
      <c r="K15" s="2384"/>
      <c r="L15" s="2384"/>
      <c r="M15" s="2384"/>
      <c r="N15" s="2384"/>
      <c r="O15" s="2384"/>
      <c r="P15" s="2384"/>
      <c r="Q15" s="2384"/>
      <c r="R15" s="2384"/>
      <c r="S15" s="2385"/>
      <c r="T15" s="2366"/>
      <c r="U15" s="2367"/>
      <c r="V15" s="2367"/>
      <c r="W15" s="2367"/>
      <c r="X15" s="2367"/>
      <c r="Y15" s="2366"/>
      <c r="Z15" s="2367"/>
      <c r="AA15" s="2367"/>
      <c r="AB15" s="2367"/>
      <c r="AC15" s="2367"/>
      <c r="AD15" s="2367"/>
      <c r="AE15" s="2367"/>
      <c r="AF15" s="2367"/>
      <c r="AG15" s="2367"/>
      <c r="AH15" s="2367"/>
      <c r="AI15" s="2367"/>
      <c r="AJ15" s="2367"/>
      <c r="AK15" s="2367"/>
      <c r="AL15" s="2367"/>
      <c r="AM15" s="2367"/>
    </row>
    <row r="16" spans="1:40" ht="12.95" customHeight="1">
      <c r="B16" s="435"/>
      <c r="C16" s="2384" t="s">
        <v>805</v>
      </c>
      <c r="D16" s="2384"/>
      <c r="E16" s="2384"/>
      <c r="F16" s="2384"/>
      <c r="G16" s="2384"/>
      <c r="H16" s="2384"/>
      <c r="I16" s="2384"/>
      <c r="J16" s="2384"/>
      <c r="K16" s="2384"/>
      <c r="L16" s="2384"/>
      <c r="M16" s="2384"/>
      <c r="N16" s="2384"/>
      <c r="O16" s="2384"/>
      <c r="P16" s="2384"/>
      <c r="Q16" s="2384"/>
      <c r="R16" s="2384"/>
      <c r="S16" s="2385"/>
      <c r="T16" s="2366"/>
      <c r="U16" s="2367"/>
      <c r="V16" s="2367"/>
      <c r="W16" s="2367"/>
      <c r="X16" s="2367"/>
      <c r="Y16" s="2366"/>
      <c r="Z16" s="2367"/>
      <c r="AA16" s="2367"/>
      <c r="AB16" s="2367"/>
      <c r="AC16" s="2367"/>
      <c r="AD16" s="2367"/>
      <c r="AE16" s="2367"/>
      <c r="AF16" s="2367"/>
      <c r="AG16" s="2367"/>
      <c r="AH16" s="2367"/>
      <c r="AI16" s="2367"/>
      <c r="AJ16" s="2367"/>
      <c r="AK16" s="2367"/>
      <c r="AL16" s="2367"/>
      <c r="AM16" s="2367"/>
    </row>
    <row r="17" spans="1:40" ht="12.95" customHeight="1">
      <c r="B17" s="435"/>
      <c r="C17" s="2384" t="s">
        <v>501</v>
      </c>
      <c r="D17" s="2384"/>
      <c r="E17" s="2384"/>
      <c r="F17" s="2384"/>
      <c r="G17" s="2384"/>
      <c r="H17" s="2384"/>
      <c r="I17" s="2384"/>
      <c r="J17" s="2384"/>
      <c r="K17" s="2384"/>
      <c r="L17" s="2384"/>
      <c r="M17" s="2384"/>
      <c r="N17" s="2384"/>
      <c r="O17" s="2384"/>
      <c r="P17" s="2384"/>
      <c r="Q17" s="2384"/>
      <c r="R17" s="2384"/>
      <c r="S17" s="2385"/>
      <c r="T17" s="2366"/>
      <c r="U17" s="2367"/>
      <c r="V17" s="2367"/>
      <c r="W17" s="2367"/>
      <c r="X17" s="2367"/>
      <c r="Y17" s="2366"/>
      <c r="Z17" s="2367"/>
      <c r="AA17" s="2367"/>
      <c r="AB17" s="2367"/>
      <c r="AC17" s="2367"/>
      <c r="AD17" s="2367"/>
      <c r="AE17" s="2367"/>
      <c r="AF17" s="2367"/>
      <c r="AG17" s="2367"/>
      <c r="AH17" s="2367"/>
      <c r="AI17" s="2367"/>
      <c r="AJ17" s="2367"/>
      <c r="AK17" s="2367"/>
      <c r="AL17" s="2367"/>
      <c r="AM17" s="2367"/>
    </row>
    <row r="18" spans="1:40" ht="12.95" customHeight="1">
      <c r="A18"/>
      <c r="B18" s="1150"/>
      <c r="C18" s="1617" t="s">
        <v>960</v>
      </c>
      <c r="D18" s="1617"/>
      <c r="E18" s="1617"/>
      <c r="F18" s="1617"/>
      <c r="G18" s="1617"/>
      <c r="H18" s="1617"/>
      <c r="I18" s="1617"/>
      <c r="J18" s="1617"/>
      <c r="K18" s="1617"/>
      <c r="L18" s="1617"/>
      <c r="M18" s="1617"/>
      <c r="N18" s="1617"/>
      <c r="O18" s="1617"/>
      <c r="P18" s="1617"/>
      <c r="Q18" s="1617"/>
      <c r="R18" s="1617"/>
      <c r="S18" s="1618"/>
      <c r="T18" s="2366"/>
      <c r="U18" s="2367"/>
      <c r="V18" s="2367"/>
      <c r="W18" s="2367"/>
      <c r="X18" s="2367"/>
      <c r="Y18" s="2366"/>
      <c r="Z18" s="2367"/>
      <c r="AA18" s="2367"/>
      <c r="AB18" s="2367"/>
      <c r="AC18" s="2367"/>
      <c r="AD18" s="2367"/>
      <c r="AE18" s="2367"/>
      <c r="AF18" s="2367"/>
      <c r="AG18" s="2367"/>
      <c r="AH18" s="2367"/>
      <c r="AI18" s="2367"/>
      <c r="AJ18" s="2367"/>
      <c r="AK18" s="2367"/>
      <c r="AL18" s="2367"/>
      <c r="AM18" s="2367"/>
    </row>
    <row r="19" spans="1:40" ht="12.95" customHeight="1">
      <c r="B19" s="1150"/>
      <c r="C19" s="1617" t="s">
        <v>960</v>
      </c>
      <c r="D19" s="1617"/>
      <c r="E19" s="1617"/>
      <c r="F19" s="1617"/>
      <c r="G19" s="1617"/>
      <c r="H19" s="1617"/>
      <c r="I19" s="1617"/>
      <c r="J19" s="1617"/>
      <c r="K19" s="1617"/>
      <c r="L19" s="1617"/>
      <c r="M19" s="1617"/>
      <c r="N19" s="1617"/>
      <c r="O19" s="1617"/>
      <c r="P19" s="1617"/>
      <c r="Q19" s="1617"/>
      <c r="R19" s="1617"/>
      <c r="S19" s="1618"/>
      <c r="T19" s="2366"/>
      <c r="U19" s="2367"/>
      <c r="V19" s="2367"/>
      <c r="W19" s="2367"/>
      <c r="X19" s="2367"/>
      <c r="Y19" s="2366"/>
      <c r="Z19" s="2367"/>
      <c r="AA19" s="2367"/>
      <c r="AB19" s="2367"/>
      <c r="AC19" s="2367"/>
      <c r="AD19" s="2367"/>
      <c r="AE19" s="2367"/>
      <c r="AF19" s="2367"/>
      <c r="AG19" s="2367"/>
      <c r="AH19" s="2367"/>
      <c r="AI19" s="2367"/>
      <c r="AJ19" s="2367"/>
      <c r="AK19" s="2367"/>
      <c r="AL19" s="2367"/>
      <c r="AM19" s="2367"/>
    </row>
    <row r="20" spans="1:40" ht="12.95" customHeight="1">
      <c r="B20" s="2344" t="s">
        <v>502</v>
      </c>
      <c r="C20" s="2345"/>
      <c r="D20" s="2345"/>
      <c r="E20" s="2345"/>
      <c r="F20" s="2345"/>
      <c r="G20" s="2345"/>
      <c r="H20" s="2345"/>
      <c r="I20" s="2345"/>
      <c r="J20" s="2345"/>
      <c r="K20" s="2345"/>
      <c r="L20" s="2345"/>
      <c r="M20" s="2345"/>
      <c r="N20" s="2345"/>
      <c r="O20" s="2345"/>
      <c r="P20" s="2345"/>
      <c r="Q20" s="2345"/>
      <c r="R20" s="2345"/>
      <c r="S20" s="2346"/>
      <c r="T20" s="2357">
        <f>SUM(T13:X19)</f>
        <v>0</v>
      </c>
      <c r="U20" s="2338"/>
      <c r="V20" s="2338"/>
      <c r="W20" s="2338"/>
      <c r="X20" s="2338"/>
      <c r="Y20" s="2357">
        <f>SUM(Y13:AC19)</f>
        <v>0</v>
      </c>
      <c r="Z20" s="2338"/>
      <c r="AA20" s="2338"/>
      <c r="AB20" s="2338"/>
      <c r="AC20" s="2338"/>
      <c r="AD20" s="2348">
        <f>SUM(AD13:AH19)</f>
        <v>0</v>
      </c>
      <c r="AE20" s="2356"/>
      <c r="AF20" s="2356"/>
      <c r="AG20" s="2356"/>
      <c r="AH20" s="2357"/>
      <c r="AI20" s="2348">
        <f>SUM(AI13:AM19)</f>
        <v>0</v>
      </c>
      <c r="AJ20" s="2356"/>
      <c r="AK20" s="2356"/>
      <c r="AL20" s="2356"/>
      <c r="AM20" s="2357"/>
    </row>
    <row r="21" spans="1:40" ht="12.95" customHeight="1">
      <c r="B21" s="2344" t="s">
        <v>1263</v>
      </c>
      <c r="C21" s="2345"/>
      <c r="D21" s="2345"/>
      <c r="E21" s="2345"/>
      <c r="F21" s="2345"/>
      <c r="G21" s="2345"/>
      <c r="H21" s="2345"/>
      <c r="I21" s="2345"/>
      <c r="J21" s="2345"/>
      <c r="K21" s="2345"/>
      <c r="L21" s="2345"/>
      <c r="M21" s="2345"/>
      <c r="N21" s="2345"/>
      <c r="O21" s="2345"/>
      <c r="P21" s="2345"/>
      <c r="Q21" s="2345"/>
      <c r="R21" s="2345"/>
      <c r="S21" s="2346"/>
      <c r="T21" s="2366"/>
      <c r="U21" s="2367"/>
      <c r="V21" s="2367"/>
      <c r="W21" s="2367"/>
      <c r="X21" s="2367"/>
      <c r="Y21" s="2366"/>
      <c r="Z21" s="2367"/>
      <c r="AA21" s="2367"/>
      <c r="AB21" s="2367"/>
      <c r="AC21" s="2367"/>
      <c r="AD21" s="2373"/>
      <c r="AE21" s="2374"/>
      <c r="AF21" s="2374"/>
      <c r="AG21" s="2374"/>
      <c r="AH21" s="2375"/>
      <c r="AI21" s="2373"/>
      <c r="AJ21" s="2374"/>
      <c r="AK21" s="2374"/>
      <c r="AL21" s="2374"/>
      <c r="AM21" s="2375"/>
    </row>
    <row r="22" spans="1:40" ht="12.95" customHeight="1">
      <c r="B22" s="2344" t="s">
        <v>503</v>
      </c>
      <c r="C22" s="2345"/>
      <c r="D22" s="2345"/>
      <c r="E22" s="2345"/>
      <c r="F22" s="2345"/>
      <c r="G22" s="2345"/>
      <c r="H22" s="2345"/>
      <c r="I22" s="2345"/>
      <c r="J22" s="2345"/>
      <c r="K22" s="2345"/>
      <c r="L22" s="2345"/>
      <c r="M22" s="2345"/>
      <c r="N22" s="2345"/>
      <c r="O22" s="2345"/>
      <c r="P22" s="2345"/>
      <c r="Q22" s="2345"/>
      <c r="R22" s="2345"/>
      <c r="S22" s="2346"/>
      <c r="T22" s="2362">
        <f>(ABS(T20)+ABS(T21))*-1</f>
        <v>0</v>
      </c>
      <c r="U22" s="2363"/>
      <c r="V22" s="2363"/>
      <c r="W22" s="2363"/>
      <c r="X22" s="2363"/>
      <c r="Y22" s="2362">
        <f>(Y20+Y21)*-1</f>
        <v>0</v>
      </c>
      <c r="Z22" s="2363"/>
      <c r="AA22" s="2363"/>
      <c r="AB22" s="2363"/>
      <c r="AC22" s="2363"/>
      <c r="AD22" s="2364">
        <f>(AD20)*-1</f>
        <v>0</v>
      </c>
      <c r="AE22" s="2365"/>
      <c r="AF22" s="2365"/>
      <c r="AG22" s="2365"/>
      <c r="AH22" s="2362"/>
      <c r="AI22" s="2364">
        <f>(AI20)*-1</f>
        <v>0</v>
      </c>
      <c r="AJ22" s="2365"/>
      <c r="AK22" s="2365"/>
      <c r="AL22" s="2365"/>
      <c r="AM22" s="2362"/>
    </row>
    <row r="23" spans="1:40" ht="12.95" customHeight="1">
      <c r="B23" s="2344" t="s">
        <v>504</v>
      </c>
      <c r="C23" s="2345"/>
      <c r="D23" s="2345"/>
      <c r="E23" s="2345"/>
      <c r="F23" s="2345"/>
      <c r="G23" s="2345"/>
      <c r="H23" s="2345"/>
      <c r="I23" s="2345"/>
      <c r="J23" s="2345"/>
      <c r="K23" s="2345"/>
      <c r="L23" s="2345"/>
      <c r="M23" s="2345"/>
      <c r="N23" s="2345"/>
      <c r="O23" s="2345"/>
      <c r="P23" s="2345"/>
      <c r="Q23" s="2345"/>
      <c r="R23" s="2345"/>
      <c r="S23" s="2346"/>
      <c r="T23" s="2357">
        <f>T11+T22</f>
        <v>60101062</v>
      </c>
      <c r="U23" s="2338"/>
      <c r="V23" s="2338"/>
      <c r="W23" s="2338"/>
      <c r="X23" s="2338"/>
      <c r="Y23" s="2357">
        <f>Y11+Y22</f>
        <v>0</v>
      </c>
      <c r="Z23" s="2338"/>
      <c r="AA23" s="2338"/>
      <c r="AB23" s="2338"/>
      <c r="AC23" s="2338"/>
      <c r="AD23" s="2357">
        <f>AD11+AD22</f>
        <v>0</v>
      </c>
      <c r="AE23" s="2338"/>
      <c r="AF23" s="2338"/>
      <c r="AG23" s="2338"/>
      <c r="AH23" s="2338"/>
      <c r="AI23" s="2357">
        <f>AI11+AI22</f>
        <v>0</v>
      </c>
      <c r="AJ23" s="2338"/>
      <c r="AK23" s="2338"/>
      <c r="AL23" s="2338"/>
      <c r="AM23" s="2338"/>
    </row>
    <row r="24" spans="1:40" ht="12.95" customHeight="1">
      <c r="B24" s="2344" t="s">
        <v>961</v>
      </c>
      <c r="C24" s="2345"/>
      <c r="D24" s="2345"/>
      <c r="E24" s="2345"/>
      <c r="F24" s="2345"/>
      <c r="G24" s="2345"/>
      <c r="H24" s="2345"/>
      <c r="I24" s="2345"/>
      <c r="J24" s="2345"/>
      <c r="K24" s="2345"/>
      <c r="L24" s="2345"/>
      <c r="M24" s="2345"/>
      <c r="N24" s="2345"/>
      <c r="O24" s="2345"/>
      <c r="P24" s="2345"/>
      <c r="Q24" s="2345"/>
      <c r="R24" s="2345"/>
      <c r="S24" s="2346"/>
      <c r="T24" s="2348">
        <f>Application!AJ1053</f>
        <v>119432579.78000002</v>
      </c>
      <c r="U24" s="2356"/>
      <c r="V24" s="2356"/>
      <c r="W24" s="2356"/>
      <c r="X24" s="2356"/>
      <c r="Y24" s="2356"/>
      <c r="Z24" s="2356"/>
      <c r="AA24" s="2356"/>
      <c r="AB24" s="2356"/>
      <c r="AC24" s="2356"/>
      <c r="AD24" s="2356"/>
      <c r="AE24" s="2356"/>
      <c r="AF24" s="2356"/>
      <c r="AG24" s="2356"/>
      <c r="AH24" s="2356"/>
      <c r="AI24" s="2356"/>
      <c r="AJ24" s="2356"/>
      <c r="AK24" s="2356"/>
      <c r="AL24" s="2356"/>
      <c r="AM24" s="2357"/>
    </row>
    <row r="25" spans="1:40" ht="12.95" customHeight="1">
      <c r="B25" s="2388" t="s">
        <v>1264</v>
      </c>
      <c r="C25" s="2389"/>
      <c r="D25" s="2389"/>
      <c r="E25" s="2389"/>
      <c r="F25" s="2389"/>
      <c r="G25" s="2389"/>
      <c r="H25" s="2389"/>
      <c r="I25" s="2389"/>
      <c r="J25" s="2389"/>
      <c r="K25" s="2389"/>
      <c r="L25" s="2389"/>
      <c r="M25" s="2389"/>
      <c r="N25" s="2389"/>
      <c r="O25" s="2389"/>
      <c r="P25" s="2389"/>
      <c r="Q25" s="2389"/>
      <c r="R25" s="2389"/>
      <c r="S25" s="2390"/>
      <c r="T25" s="2370">
        <f>IF(OR(Application!T196="yes",Application!T195="yes"),1.3,1)</f>
        <v>1.3</v>
      </c>
      <c r="U25" s="2371"/>
      <c r="V25" s="2371"/>
      <c r="W25" s="2371"/>
      <c r="X25" s="2371"/>
      <c r="Y25" s="2370">
        <v>1</v>
      </c>
      <c r="Z25" s="2371"/>
      <c r="AA25" s="2371"/>
      <c r="AB25" s="2371"/>
      <c r="AC25" s="2371"/>
      <c r="AD25" s="2370">
        <v>1</v>
      </c>
      <c r="AE25" s="2371"/>
      <c r="AF25" s="2371"/>
      <c r="AG25" s="2371"/>
      <c r="AH25" s="2372"/>
      <c r="AI25" s="2370">
        <v>1</v>
      </c>
      <c r="AJ25" s="2371"/>
      <c r="AK25" s="2371"/>
      <c r="AL25" s="2371"/>
      <c r="AM25" s="2372"/>
    </row>
    <row r="26" spans="1:40" ht="12.95" customHeight="1">
      <c r="B26" s="2344" t="s">
        <v>505</v>
      </c>
      <c r="C26" s="2345"/>
      <c r="D26" s="2345"/>
      <c r="E26" s="2345"/>
      <c r="F26" s="2345"/>
      <c r="G26" s="2345"/>
      <c r="H26" s="2345"/>
      <c r="I26" s="2345"/>
      <c r="J26" s="2345"/>
      <c r="K26" s="2345"/>
      <c r="L26" s="2345"/>
      <c r="M26" s="2345"/>
      <c r="N26" s="2345"/>
      <c r="O26" s="2345"/>
      <c r="P26" s="2345"/>
      <c r="Q26" s="2345"/>
      <c r="R26" s="2345"/>
      <c r="S26" s="2346"/>
      <c r="T26" s="2357">
        <f>T23*T25</f>
        <v>78131380.600000009</v>
      </c>
      <c r="U26" s="2338"/>
      <c r="V26" s="2338"/>
      <c r="W26" s="2338"/>
      <c r="X26" s="2338"/>
      <c r="Y26" s="2357">
        <f>Y23*Y25</f>
        <v>0</v>
      </c>
      <c r="Z26" s="2338"/>
      <c r="AA26" s="2338"/>
      <c r="AB26" s="2338"/>
      <c r="AC26" s="2338"/>
      <c r="AD26" s="2357">
        <f>AD23*AD25</f>
        <v>0</v>
      </c>
      <c r="AE26" s="2338"/>
      <c r="AF26" s="2338"/>
      <c r="AG26" s="2338"/>
      <c r="AH26" s="2338"/>
      <c r="AI26" s="2357">
        <f>AI23*AI25</f>
        <v>0</v>
      </c>
      <c r="AJ26" s="2338"/>
      <c r="AK26" s="2338"/>
      <c r="AL26" s="2338"/>
      <c r="AM26" s="2338"/>
    </row>
    <row r="27" spans="1:40" ht="12.95" customHeight="1">
      <c r="A27" s="410"/>
      <c r="B27" s="2391" t="s">
        <v>425</v>
      </c>
      <c r="C27" s="2392"/>
      <c r="D27" s="2392"/>
      <c r="E27" s="2392"/>
      <c r="F27" s="2392"/>
      <c r="G27" s="2392"/>
      <c r="H27" s="2392"/>
      <c r="I27" s="2392"/>
      <c r="J27" s="2392"/>
      <c r="K27" s="2392"/>
      <c r="L27" s="2392"/>
      <c r="M27" s="2392"/>
      <c r="N27" s="2392"/>
      <c r="O27" s="2392"/>
      <c r="P27" s="2392"/>
      <c r="Q27" s="2392"/>
      <c r="R27" s="2392"/>
      <c r="S27" s="2393"/>
      <c r="T27" s="2368">
        <f>Application!$AG$445</f>
        <v>1</v>
      </c>
      <c r="U27" s="2369"/>
      <c r="V27" s="2369"/>
      <c r="W27" s="2369"/>
      <c r="X27" s="2369"/>
      <c r="Y27" s="2368">
        <f>Application!$AG$445</f>
        <v>1</v>
      </c>
      <c r="Z27" s="2369"/>
      <c r="AA27" s="2369"/>
      <c r="AB27" s="2369"/>
      <c r="AC27" s="2369"/>
      <c r="AD27" s="2368">
        <f>Application!$AG$445</f>
        <v>1</v>
      </c>
      <c r="AE27" s="2369"/>
      <c r="AF27" s="2369"/>
      <c r="AG27" s="2369"/>
      <c r="AH27" s="2369"/>
      <c r="AI27" s="2368">
        <f>Application!$AG$445</f>
        <v>1</v>
      </c>
      <c r="AJ27" s="2369"/>
      <c r="AK27" s="2369"/>
      <c r="AL27" s="2369"/>
      <c r="AM27" s="2369"/>
    </row>
    <row r="28" spans="1:40" ht="12.95" customHeight="1">
      <c r="A28" s="404"/>
      <c r="B28" s="2344" t="s">
        <v>506</v>
      </c>
      <c r="C28" s="2345"/>
      <c r="D28" s="2345"/>
      <c r="E28" s="2345"/>
      <c r="F28" s="2345"/>
      <c r="G28" s="2345"/>
      <c r="H28" s="2345"/>
      <c r="I28" s="2345"/>
      <c r="J28" s="2345"/>
      <c r="K28" s="2345"/>
      <c r="L28" s="2345"/>
      <c r="M28" s="2345"/>
      <c r="N28" s="2345"/>
      <c r="O28" s="2345"/>
      <c r="P28" s="2345"/>
      <c r="Q28" s="2345"/>
      <c r="R28" s="2345"/>
      <c r="S28" s="2346"/>
      <c r="T28" s="2357">
        <f>IF(ISERROR((T26*T27)),0,(T26*T27))</f>
        <v>78131380.600000009</v>
      </c>
      <c r="U28" s="2338"/>
      <c r="V28" s="2338"/>
      <c r="W28" s="2338"/>
      <c r="X28" s="2338"/>
      <c r="Y28" s="2357">
        <f>IF(ISERROR((Y26*Y27)),0,(Y26*Y27))</f>
        <v>0</v>
      </c>
      <c r="Z28" s="2338"/>
      <c r="AA28" s="2338"/>
      <c r="AB28" s="2338"/>
      <c r="AC28" s="2338"/>
      <c r="AD28" s="2357">
        <f>IF(ISERROR((AD26*AD27)),0,(AD26*AD27))</f>
        <v>0</v>
      </c>
      <c r="AE28" s="2338"/>
      <c r="AF28" s="2338"/>
      <c r="AG28" s="2338"/>
      <c r="AH28" s="2338"/>
      <c r="AI28" s="2357">
        <f>IF(ISERROR((AI26*AI27)),0,(AI26*AI27))</f>
        <v>0</v>
      </c>
      <c r="AJ28" s="2338"/>
      <c r="AK28" s="2338"/>
      <c r="AL28" s="2338"/>
      <c r="AM28" s="2338"/>
    </row>
    <row r="29" spans="1:40" ht="12.95" customHeight="1">
      <c r="B29" s="2344" t="s">
        <v>523</v>
      </c>
      <c r="C29" s="2345"/>
      <c r="D29" s="2345"/>
      <c r="E29" s="2345"/>
      <c r="F29" s="2345"/>
      <c r="G29" s="2345"/>
      <c r="H29" s="2345"/>
      <c r="I29" s="2345"/>
      <c r="J29" s="2345"/>
      <c r="K29" s="2345"/>
      <c r="L29" s="2345"/>
      <c r="M29" s="2345"/>
      <c r="N29" s="2345"/>
      <c r="O29" s="2345"/>
      <c r="P29" s="2345"/>
      <c r="Q29" s="2345"/>
      <c r="R29" s="2345"/>
      <c r="S29" s="2346"/>
      <c r="T29" s="2348">
        <f>T28+Y28+AD28+AI28</f>
        <v>78131380.600000009</v>
      </c>
      <c r="U29" s="2356"/>
      <c r="V29" s="2356"/>
      <c r="W29" s="2356"/>
      <c r="X29" s="2356"/>
      <c r="Y29" s="2356"/>
      <c r="Z29" s="2356"/>
      <c r="AA29" s="2356"/>
      <c r="AB29" s="2356"/>
      <c r="AC29" s="2356"/>
      <c r="AD29" s="2356"/>
      <c r="AE29" s="2356"/>
      <c r="AF29" s="2356"/>
      <c r="AG29" s="2356"/>
      <c r="AH29" s="2356"/>
      <c r="AI29" s="2356"/>
      <c r="AJ29" s="2356"/>
      <c r="AK29" s="2356"/>
      <c r="AL29" s="2356"/>
      <c r="AM29" s="2357"/>
    </row>
    <row r="30" spans="1:40" ht="12.95" customHeight="1">
      <c r="B30" s="2361" t="s">
        <v>1266</v>
      </c>
      <c r="C30" s="2361"/>
      <c r="D30" s="2361"/>
      <c r="E30" s="2361"/>
      <c r="F30" s="2361"/>
      <c r="G30" s="2361"/>
      <c r="H30" s="2361"/>
      <c r="I30" s="2361"/>
      <c r="J30" s="2361"/>
      <c r="K30" s="2361"/>
      <c r="L30" s="2361"/>
      <c r="M30" s="2361"/>
      <c r="N30" s="2361"/>
      <c r="O30" s="2361"/>
      <c r="P30" s="2361"/>
      <c r="Q30" s="2361"/>
      <c r="R30" s="2361"/>
      <c r="S30" s="2361"/>
      <c r="T30" s="2361"/>
      <c r="U30" s="2361"/>
      <c r="V30" s="2361"/>
      <c r="W30" s="2361"/>
      <c r="X30" s="2361"/>
      <c r="Y30" s="2361"/>
      <c r="Z30" s="2361"/>
      <c r="AA30" s="2361"/>
      <c r="AB30" s="2361"/>
      <c r="AC30" s="2361"/>
      <c r="AD30" s="2361"/>
      <c r="AE30" s="2361"/>
      <c r="AF30" s="2361"/>
      <c r="AG30" s="2361"/>
      <c r="AH30" s="2361"/>
      <c r="AI30" s="2361"/>
      <c r="AJ30" s="2361"/>
      <c r="AK30" s="2361"/>
      <c r="AL30" s="2361"/>
      <c r="AM30" s="2361"/>
    </row>
    <row r="31" spans="1:40" ht="12.95" customHeight="1">
      <c r="B31" s="2361" t="s">
        <v>1265</v>
      </c>
      <c r="C31" s="2361"/>
      <c r="D31" s="2361"/>
      <c r="E31" s="2361"/>
      <c r="F31" s="2361"/>
      <c r="G31" s="2361"/>
      <c r="H31" s="2361"/>
      <c r="I31" s="2361"/>
      <c r="J31" s="2361"/>
      <c r="K31" s="2361"/>
      <c r="L31" s="2361"/>
      <c r="M31" s="2361"/>
      <c r="N31" s="2361"/>
      <c r="O31" s="2361"/>
      <c r="P31" s="2361"/>
      <c r="Q31" s="2361"/>
      <c r="R31" s="2361"/>
      <c r="S31" s="2361"/>
      <c r="T31" s="2361"/>
      <c r="U31" s="2361"/>
      <c r="V31" s="2361"/>
      <c r="W31" s="2361"/>
      <c r="X31" s="2361"/>
      <c r="Y31" s="2361"/>
      <c r="Z31" s="2361"/>
      <c r="AA31" s="2361"/>
      <c r="AB31" s="2361"/>
      <c r="AC31" s="2361"/>
      <c r="AD31" s="2361"/>
      <c r="AE31" s="2361"/>
      <c r="AF31" s="2361"/>
      <c r="AG31" s="2361"/>
      <c r="AH31" s="2361"/>
      <c r="AI31" s="2361"/>
      <c r="AJ31" s="2361"/>
      <c r="AK31" s="2361"/>
      <c r="AL31" s="2361"/>
      <c r="AM31" s="2361"/>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1154</v>
      </c>
      <c r="Z35" s="2358"/>
      <c r="AA35" s="2358"/>
      <c r="AB35" s="2358"/>
      <c r="AC35" s="2358"/>
      <c r="AD35" s="2359" t="s">
        <v>368</v>
      </c>
      <c r="AE35" s="2359"/>
      <c r="AF35" s="2359"/>
      <c r="AG35" s="2359"/>
      <c r="AH35" s="2359"/>
    </row>
    <row r="36" spans="1:76" ht="12.95" customHeight="1">
      <c r="B36" s="407"/>
      <c r="X36" s="412"/>
      <c r="Y36" s="2358"/>
      <c r="Z36" s="2358"/>
      <c r="AA36" s="2358"/>
      <c r="AB36" s="2358"/>
      <c r="AC36" s="2358"/>
      <c r="AD36" s="2359"/>
      <c r="AE36" s="2359"/>
      <c r="AF36" s="2359"/>
      <c r="AG36" s="2359"/>
      <c r="AH36" s="2359"/>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59"/>
      <c r="AE37" s="2359"/>
      <c r="AF37" s="2359"/>
      <c r="AG37" s="2359"/>
      <c r="AH37" s="2359"/>
    </row>
    <row r="38" spans="1:76" ht="12.95" customHeight="1">
      <c r="A38" s="404"/>
      <c r="B38" s="2344" t="s">
        <v>506</v>
      </c>
      <c r="C38" s="2345"/>
      <c r="D38" s="2345"/>
      <c r="E38" s="2345"/>
      <c r="F38" s="2345"/>
      <c r="G38" s="2345"/>
      <c r="H38" s="2345"/>
      <c r="I38" s="2345"/>
      <c r="J38" s="2345"/>
      <c r="K38" s="2345"/>
      <c r="L38" s="2345"/>
      <c r="M38" s="2345"/>
      <c r="N38" s="2345"/>
      <c r="O38" s="2345"/>
      <c r="P38" s="2345"/>
      <c r="Q38" s="2345"/>
      <c r="R38" s="2345"/>
      <c r="S38" s="2345"/>
      <c r="T38" s="2345"/>
      <c r="U38" s="2345"/>
      <c r="V38" s="2345"/>
      <c r="W38" s="2345"/>
      <c r="X38" s="2346"/>
      <c r="Y38" s="2338">
        <f>IF(T24&gt;=(T23+Y23+AD23+AI23),T28+Y28,0)</f>
        <v>78131380.600000009</v>
      </c>
      <c r="Z38" s="2338"/>
      <c r="AA38" s="2338"/>
      <c r="AB38" s="2338"/>
      <c r="AC38" s="2338"/>
      <c r="AD38" s="2338">
        <f>IF(T24&gt;=(T23+Y23+AD23+AI23),AD28+AI28,0)</f>
        <v>0</v>
      </c>
      <c r="AE38" s="2338"/>
      <c r="AF38" s="2338"/>
      <c r="AG38" s="2338"/>
      <c r="AH38" s="2338"/>
    </row>
    <row r="39" spans="1:76" ht="12.95" customHeight="1">
      <c r="B39" s="2344" t="s">
        <v>1691</v>
      </c>
      <c r="C39" s="2345"/>
      <c r="D39" s="2345"/>
      <c r="E39" s="2345"/>
      <c r="F39" s="2345"/>
      <c r="G39" s="2345"/>
      <c r="H39" s="2345"/>
      <c r="I39" s="2345"/>
      <c r="J39" s="2345"/>
      <c r="K39" s="2345"/>
      <c r="L39" s="2345"/>
      <c r="M39" s="2345"/>
      <c r="N39" s="2345"/>
      <c r="O39" s="2345"/>
      <c r="P39" s="2345"/>
      <c r="Q39" s="2345"/>
      <c r="R39" s="2345"/>
      <c r="S39" s="2345"/>
      <c r="T39" s="2345"/>
      <c r="U39" s="2345"/>
      <c r="V39" s="2345"/>
      <c r="W39" s="2345"/>
      <c r="X39" s="2346"/>
      <c r="Y39" s="2360">
        <v>0.04</v>
      </c>
      <c r="Z39" s="2360"/>
      <c r="AA39" s="2360"/>
      <c r="AB39" s="2360"/>
      <c r="AC39" s="2360"/>
      <c r="AD39" s="2360">
        <v>0.04</v>
      </c>
      <c r="AE39" s="2360"/>
      <c r="AF39" s="2360"/>
      <c r="AG39" s="2360"/>
      <c r="AH39" s="2360"/>
    </row>
    <row r="40" spans="1:76" ht="12.95" customHeight="1">
      <c r="A40" s="404"/>
      <c r="B40" s="2344" t="s">
        <v>642</v>
      </c>
      <c r="C40" s="2345"/>
      <c r="D40" s="2345"/>
      <c r="E40" s="2345"/>
      <c r="F40" s="2345"/>
      <c r="G40" s="2345"/>
      <c r="H40" s="2345"/>
      <c r="I40" s="2345"/>
      <c r="J40" s="2345"/>
      <c r="K40" s="2345"/>
      <c r="L40" s="2345"/>
      <c r="M40" s="2345"/>
      <c r="N40" s="2345"/>
      <c r="O40" s="2345"/>
      <c r="P40" s="2345"/>
      <c r="Q40" s="2345"/>
      <c r="R40" s="2345"/>
      <c r="S40" s="2345"/>
      <c r="T40" s="2345"/>
      <c r="U40" s="2345"/>
      <c r="V40" s="2345"/>
      <c r="W40" s="2345"/>
      <c r="X40" s="2346"/>
      <c r="Y40" s="2338">
        <f>ROUND(Y38*Y39,0)</f>
        <v>3125255</v>
      </c>
      <c r="Z40" s="2338"/>
      <c r="AA40" s="2338"/>
      <c r="AB40" s="2338"/>
      <c r="AC40" s="2338"/>
      <c r="AD40" s="2357">
        <f>ROUND(AD38*AD39,0)</f>
        <v>0</v>
      </c>
      <c r="AE40" s="2338"/>
      <c r="AF40" s="2338"/>
      <c r="AG40" s="2338"/>
      <c r="AH40" s="2338"/>
    </row>
    <row r="41" spans="1:76" ht="12.95" customHeight="1">
      <c r="B41" s="2344" t="s">
        <v>643</v>
      </c>
      <c r="C41" s="2345"/>
      <c r="D41" s="2345"/>
      <c r="E41" s="2345"/>
      <c r="F41" s="2345"/>
      <c r="G41" s="2345"/>
      <c r="H41" s="2345"/>
      <c r="I41" s="2345"/>
      <c r="J41" s="2345"/>
      <c r="K41" s="2345"/>
      <c r="L41" s="2345"/>
      <c r="M41" s="2345"/>
      <c r="N41" s="2345"/>
      <c r="O41" s="2345"/>
      <c r="P41" s="2345"/>
      <c r="Q41" s="2345"/>
      <c r="R41" s="2345"/>
      <c r="S41" s="2345"/>
      <c r="T41" s="2345"/>
      <c r="U41" s="2345"/>
      <c r="V41" s="2345"/>
      <c r="W41" s="2345"/>
      <c r="X41" s="2346"/>
      <c r="Y41" s="2348">
        <f>Y40+AD40</f>
        <v>3125255</v>
      </c>
      <c r="Z41" s="2356"/>
      <c r="AA41" s="2356"/>
      <c r="AB41" s="2356"/>
      <c r="AC41" s="2356"/>
      <c r="AD41" s="2356"/>
      <c r="AE41" s="2356"/>
      <c r="AF41" s="2356"/>
      <c r="AG41" s="2356"/>
      <c r="AH41" s="2357"/>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5" t="s">
        <v>1276</v>
      </c>
      <c r="B44" s="2355"/>
      <c r="C44" s="2355"/>
      <c r="D44" s="2355"/>
      <c r="E44" s="2355"/>
      <c r="F44" s="2355"/>
      <c r="G44" s="2355"/>
      <c r="H44" s="2355"/>
      <c r="I44" s="2355"/>
      <c r="J44" s="2355"/>
      <c r="K44" s="2355"/>
      <c r="L44" s="2355"/>
      <c r="M44" s="2355"/>
      <c r="N44" s="2355"/>
      <c r="O44" s="2355"/>
      <c r="P44" s="2355"/>
      <c r="Q44" s="2355"/>
      <c r="R44" s="2355"/>
      <c r="S44" s="2355"/>
      <c r="T44" s="2355"/>
      <c r="U44" s="2355"/>
      <c r="V44" s="2355"/>
      <c r="W44" s="2355"/>
      <c r="X44" s="2355"/>
      <c r="Y44" s="2355"/>
      <c r="Z44" s="2355"/>
      <c r="AA44" s="2355"/>
      <c r="AB44" s="2355"/>
      <c r="AC44" s="2355"/>
      <c r="AD44" s="2355"/>
      <c r="AE44" s="2355"/>
      <c r="AF44" s="2355"/>
      <c r="AG44" s="2355"/>
      <c r="AH44" s="2355"/>
      <c r="AI44" s="2355"/>
      <c r="AJ44" s="2355"/>
      <c r="AK44" s="2355"/>
      <c r="AL44" s="2355"/>
      <c r="AM44" s="2355"/>
      <c r="AN44" s="2355"/>
      <c r="AO44" s="2355"/>
      <c r="AP44" s="2355"/>
      <c r="AQ44" s="2355"/>
      <c r="AR44" s="2355"/>
      <c r="AS44" s="2355"/>
      <c r="AT44" s="2355"/>
      <c r="AU44" s="2355"/>
      <c r="AV44" s="2355"/>
      <c r="AW44" s="2355"/>
      <c r="AX44" s="2355"/>
      <c r="AY44" s="2355"/>
      <c r="AZ44" s="2355"/>
      <c r="BA44" s="2355"/>
      <c r="BB44" s="2355"/>
      <c r="BC44" s="2355"/>
      <c r="BD44" s="2355"/>
      <c r="BE44" s="2355"/>
      <c r="BF44" s="2355"/>
      <c r="BG44" s="2355"/>
      <c r="BH44" s="2355"/>
      <c r="BI44" s="2355"/>
      <c r="BJ44" s="2355"/>
      <c r="BK44" s="2355"/>
      <c r="BL44" s="2355"/>
      <c r="BM44" s="2355"/>
      <c r="BN44" s="2355"/>
      <c r="BO44" s="2355"/>
      <c r="BP44" s="2355"/>
      <c r="BQ44" s="2355"/>
      <c r="BR44" s="2355"/>
      <c r="BS44" s="2355"/>
      <c r="BT44" s="2355"/>
      <c r="BU44" s="2355"/>
      <c r="BV44" s="2355"/>
      <c r="BW44" s="2355"/>
      <c r="BX44" s="2355"/>
    </row>
    <row r="45" spans="1:76" s="204" customFormat="1" ht="12.95" customHeight="1" thickTop="1"/>
    <row r="46" spans="1:76" ht="12.95" customHeight="1">
      <c r="A46" s="404" t="s">
        <v>586</v>
      </c>
      <c r="C46" s="404" t="s">
        <v>281</v>
      </c>
    </row>
    <row r="47" spans="1:76" ht="12.95" customHeight="1">
      <c r="D47" s="404" t="s">
        <v>282</v>
      </c>
      <c r="AB47" s="2352">
        <f>'Sources and Uses Budget'!B105-MAX(IF('Sources and Uses Budget'!B15="",0,'Sources and Uses Budget'!B15),IF(Application!AG394="",0,Application!AG394))</f>
        <v>73932184</v>
      </c>
      <c r="AC47" s="2353"/>
      <c r="AD47" s="2353"/>
      <c r="AE47" s="2353"/>
      <c r="AF47" s="2354"/>
    </row>
    <row r="48" spans="1:76" ht="12.95" customHeight="1">
      <c r="D48" s="404" t="s">
        <v>21</v>
      </c>
      <c r="AB48" s="2352">
        <f>Application!AO639-MAX(IF('Sources and Uses Budget'!B15="",0,'Sources and Uses Budget'!B15),IF(Application!AG394="",0,Application!AG394))</f>
        <v>44870217</v>
      </c>
      <c r="AC48" s="2353"/>
      <c r="AD48" s="2353"/>
      <c r="AE48" s="2353"/>
      <c r="AF48" s="2354"/>
    </row>
    <row r="49" spans="1:76" ht="12.95" customHeight="1">
      <c r="D49" s="404" t="s">
        <v>91</v>
      </c>
      <c r="AB49" s="2352">
        <f>AB47-AB48</f>
        <v>29061967</v>
      </c>
      <c r="AC49" s="2353"/>
      <c r="AD49" s="2353"/>
      <c r="AE49" s="2353"/>
      <c r="AF49" s="2354"/>
    </row>
    <row r="50" spans="1:76" ht="12.95" customHeight="1">
      <c r="D50" s="404" t="s">
        <v>681</v>
      </c>
      <c r="AA50" s="415"/>
      <c r="AB50" s="2340">
        <f>AB49/31252550</f>
        <v>0.92990706358361153</v>
      </c>
      <c r="AC50" s="2341"/>
      <c r="AD50" s="2341"/>
      <c r="AE50" s="2341"/>
      <c r="AF50" s="2342"/>
    </row>
    <row r="51" spans="1:76" s="417" customFormat="1" ht="12.95" customHeight="1">
      <c r="A51" s="402"/>
      <c r="B51" s="402"/>
      <c r="C51" s="402"/>
      <c r="D51" s="402"/>
      <c r="E51" s="2351" t="s">
        <v>1850</v>
      </c>
      <c r="F51" s="2351"/>
      <c r="G51" s="2351"/>
      <c r="H51" s="2351"/>
      <c r="I51" s="2351"/>
      <c r="J51" s="2351"/>
      <c r="K51" s="2351"/>
      <c r="L51" s="2351"/>
      <c r="M51" s="2351"/>
      <c r="N51" s="2351"/>
      <c r="O51" s="2351"/>
      <c r="P51" s="2351"/>
      <c r="Q51" s="2351"/>
      <c r="R51" s="2351"/>
      <c r="S51" s="2351"/>
      <c r="T51" s="2351"/>
      <c r="U51" s="2351"/>
      <c r="V51" s="2351"/>
      <c r="W51" s="2351"/>
      <c r="X51" s="2351"/>
      <c r="Y51" s="2351"/>
      <c r="Z51" s="2351"/>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1"/>
      <c r="F52" s="2351"/>
      <c r="G52" s="2351"/>
      <c r="H52" s="2351"/>
      <c r="I52" s="2351"/>
      <c r="J52" s="2351"/>
      <c r="K52" s="2351"/>
      <c r="L52" s="2351"/>
      <c r="M52" s="2351"/>
      <c r="N52" s="2351"/>
      <c r="O52" s="2351"/>
      <c r="P52" s="2351"/>
      <c r="Q52" s="2351"/>
      <c r="R52" s="2351"/>
      <c r="S52" s="2351"/>
      <c r="T52" s="2351"/>
      <c r="U52" s="2351"/>
      <c r="V52" s="2351"/>
      <c r="W52" s="2351"/>
      <c r="X52" s="2351"/>
      <c r="Y52" s="2351"/>
      <c r="Z52" s="2351"/>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52">
        <f>ROUND(IF(ISERROR((AB49/AB50)),0,(AB49/AB50)),0)</f>
        <v>31252550</v>
      </c>
      <c r="AC54" s="2353"/>
      <c r="AD54" s="2353"/>
      <c r="AE54" s="2353"/>
      <c r="AF54" s="2354"/>
    </row>
    <row r="55" spans="1:76" ht="12.95" customHeight="1">
      <c r="D55" s="404" t="s">
        <v>332</v>
      </c>
      <c r="AB55" s="2352">
        <f>(AB54/10)</f>
        <v>3125255</v>
      </c>
      <c r="AC55" s="2353"/>
      <c r="AD55" s="2353"/>
      <c r="AE55" s="2353"/>
      <c r="AF55" s="2354"/>
    </row>
    <row r="56" spans="1:76" ht="12.95" customHeight="1">
      <c r="D56" s="404" t="s">
        <v>756</v>
      </c>
      <c r="AB56" s="2352">
        <f>ROUND((IF((Y41&lt;AB55),Y41,AB55)),0)</f>
        <v>3125255</v>
      </c>
      <c r="AC56" s="2353"/>
      <c r="AD56" s="2353"/>
      <c r="AE56" s="2353"/>
      <c r="AF56" s="2354"/>
    </row>
    <row r="57" spans="1:76" ht="12.95" customHeight="1">
      <c r="D57" s="404" t="s">
        <v>755</v>
      </c>
      <c r="AB57" s="2352">
        <f>ROUND((10*AB56*AB50),0)</f>
        <v>29061967</v>
      </c>
      <c r="AC57" s="2353"/>
      <c r="AD57" s="2353"/>
      <c r="AE57" s="2353"/>
      <c r="AF57" s="2354"/>
    </row>
    <row r="58" spans="1:76" ht="12.95" customHeight="1">
      <c r="D58" s="404"/>
      <c r="AB58" s="423"/>
      <c r="AC58" s="423"/>
      <c r="AD58" s="423"/>
      <c r="AE58" s="423"/>
      <c r="AF58" s="423"/>
    </row>
    <row r="59" spans="1:76" ht="12.95" customHeight="1">
      <c r="D59" s="404" t="s">
        <v>754</v>
      </c>
      <c r="AB59" s="2336">
        <f>AB49-AB57</f>
        <v>0</v>
      </c>
      <c r="AC59" s="2336"/>
      <c r="AD59" s="2336"/>
      <c r="AE59" s="2336"/>
      <c r="AF59" s="2336"/>
    </row>
    <row r="60" spans="1:76" ht="12.95" customHeight="1">
      <c r="D60" s="404"/>
      <c r="AB60" s="423"/>
      <c r="AC60" s="423"/>
      <c r="AD60" s="423"/>
      <c r="AE60" s="423"/>
      <c r="AF60" s="423"/>
    </row>
    <row r="61" spans="1:76" s="204" customFormat="1" ht="12.95" customHeight="1" thickBot="1">
      <c r="A61" s="2355" t="str">
        <f>IF(Application!AP205="yes","Farmworker State Credit", "State Credit" )</f>
        <v>State Credit</v>
      </c>
      <c r="B61" s="2355"/>
      <c r="C61" s="2355"/>
      <c r="D61" s="2355"/>
      <c r="E61" s="2355"/>
      <c r="F61" s="2355"/>
      <c r="G61" s="2355"/>
      <c r="H61" s="2355"/>
      <c r="I61" s="2355"/>
      <c r="J61" s="2355"/>
      <c r="K61" s="2355"/>
      <c r="L61" s="2355"/>
      <c r="M61" s="2355"/>
      <c r="N61" s="2355"/>
      <c r="O61" s="2355"/>
      <c r="P61" s="2355"/>
      <c r="Q61" s="2355"/>
      <c r="R61" s="2355"/>
      <c r="S61" s="2355"/>
      <c r="T61" s="2355"/>
      <c r="U61" s="2355"/>
      <c r="V61" s="2355"/>
      <c r="W61" s="2355"/>
      <c r="X61" s="2355"/>
      <c r="Y61" s="2355"/>
      <c r="Z61" s="2355"/>
      <c r="AA61" s="2355"/>
      <c r="AB61" s="2355"/>
      <c r="AC61" s="2355"/>
      <c r="AD61" s="2355"/>
      <c r="AE61" s="2355"/>
      <c r="AF61" s="2355"/>
      <c r="AG61" s="2355"/>
      <c r="AH61" s="2355"/>
      <c r="AI61" s="2355"/>
      <c r="AJ61" s="2355"/>
      <c r="AK61" s="2355"/>
      <c r="AL61" s="2355"/>
      <c r="AM61" s="2355"/>
      <c r="AN61" s="2355"/>
      <c r="AO61" s="2355"/>
      <c r="AP61" s="2355"/>
      <c r="AQ61" s="2355"/>
      <c r="AR61" s="2355"/>
      <c r="AS61" s="2355"/>
      <c r="AT61" s="2355"/>
      <c r="AU61" s="2355"/>
      <c r="AV61" s="2355"/>
      <c r="AW61" s="2355"/>
      <c r="AX61" s="2355"/>
      <c r="AY61" s="2355"/>
      <c r="AZ61" s="2355"/>
      <c r="BA61" s="2355"/>
      <c r="BB61" s="2355"/>
      <c r="BC61" s="2355"/>
      <c r="BD61" s="2355"/>
      <c r="BE61" s="2355"/>
      <c r="BF61" s="2355"/>
      <c r="BG61" s="2355"/>
      <c r="BH61" s="2355"/>
      <c r="BI61" s="2355"/>
      <c r="BJ61" s="2355"/>
      <c r="BK61" s="2355"/>
      <c r="BL61" s="2355"/>
      <c r="BM61" s="2355"/>
      <c r="BN61" s="2355"/>
      <c r="BO61" s="2355"/>
      <c r="BP61" s="2355"/>
      <c r="BQ61" s="2355"/>
      <c r="BR61" s="2355"/>
      <c r="BS61" s="2355"/>
      <c r="BT61" s="2355"/>
      <c r="BU61" s="2355"/>
      <c r="BV61" s="2355"/>
      <c r="BW61" s="2355"/>
      <c r="BX61" s="2355"/>
    </row>
    <row r="62" spans="1:76" s="204" customFormat="1" ht="12.95" customHeight="1" thickTop="1"/>
    <row r="63" spans="1:76" ht="12.95" customHeight="1">
      <c r="A63" s="404" t="s">
        <v>589</v>
      </c>
      <c r="C63" s="205" t="s">
        <v>1248</v>
      </c>
      <c r="Y63" s="2347" t="s">
        <v>984</v>
      </c>
      <c r="Z63" s="2347"/>
      <c r="AA63" s="2347"/>
      <c r="AB63" s="2347"/>
      <c r="AC63" s="2347"/>
      <c r="AD63" s="2347" t="s">
        <v>368</v>
      </c>
      <c r="AE63" s="2347"/>
      <c r="AF63" s="2347"/>
      <c r="AG63" s="2347"/>
      <c r="AH63" s="2347"/>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8">
        <f>IF(Application!$Z$205="(select)",0,((T23*T27)+Y28))</f>
        <v>60101062</v>
      </c>
      <c r="Z64" s="2349"/>
      <c r="AA64" s="2349"/>
      <c r="AB64" s="2349"/>
      <c r="AC64" s="2350"/>
      <c r="AD64" s="2348">
        <f>IF(AND(OR(Application!D211="At-Risk",Application!D211="At-Risk and Special Needs"),Application!M358="yes"),AD28+AI28,0)</f>
        <v>0</v>
      </c>
      <c r="AE64" s="2349"/>
      <c r="AF64" s="2349"/>
      <c r="AG64" s="2349"/>
      <c r="AH64" s="2350"/>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7" cm="1">
        <f t="array" ref="Y67">_xlfn.IFS(OR(Application!Z205="State Farmworker Credit",Application!Z205="$500M (Farmworker Housing)"),0.75,Application!Z205="15% set-aside",0.13,Application!Z205="15% set-aside with qualifying low value rehab",0.95,Application!Z205="$500M",0.3,TRUE,0)</f>
        <v>0.3</v>
      </c>
      <c r="Z67" s="2337"/>
      <c r="AA67" s="2337"/>
      <c r="AB67" s="2337"/>
      <c r="AC67" s="2337"/>
      <c r="AD67" s="2337" cm="1">
        <f t="array" ref="AD67">_xlfn.IFS(Application!Z205="15% set-aside with qualifying low value rehab", 0.95,OR(Application!D211="At-Risk",'Points System'!B13="Yes"),0.13,TRUE,0)</f>
        <v>0</v>
      </c>
      <c r="AE67" s="2337"/>
      <c r="AF67" s="2337"/>
      <c r="AG67" s="2337"/>
      <c r="AH67" s="2337"/>
    </row>
    <row r="68" spans="1:36" ht="12.95" customHeight="1">
      <c r="C68" s="404"/>
      <c r="D68" s="205" t="s">
        <v>2226</v>
      </c>
      <c r="Y68" s="2338">
        <f>ROUND(Y64*Y67,0)</f>
        <v>18030319</v>
      </c>
      <c r="Z68" s="2339"/>
      <c r="AA68" s="2339"/>
      <c r="AB68" s="2339"/>
      <c r="AC68" s="2339"/>
      <c r="AD68" s="2338">
        <f>ROUND(AD64*AD67,0)</f>
        <v>0</v>
      </c>
      <c r="AE68" s="2339"/>
      <c r="AF68" s="2339"/>
      <c r="AG68" s="2339"/>
      <c r="AH68" s="2339"/>
    </row>
    <row r="69" spans="1:36" ht="12.95" customHeight="1">
      <c r="C69" s="404"/>
      <c r="D69" s="205" t="s">
        <v>2227</v>
      </c>
      <c r="Y69" s="2338">
        <f>IF(OR(Application!Z205="State Farmworker Credit",Application!Z205="$500M (Farmworker Housing)"),Y68+AD68,MIN(Y68+AD68,200000*(Application!G753+Application!O777)))</f>
        <v>18030319</v>
      </c>
      <c r="Z69" s="2338"/>
      <c r="AA69" s="2338"/>
      <c r="AB69" s="2338"/>
      <c r="AC69" s="2338"/>
      <c r="AD69" s="2338"/>
      <c r="AE69" s="2338"/>
      <c r="AF69" s="2338"/>
      <c r="AG69" s="2338"/>
      <c r="AH69" s="2338"/>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40"/>
      <c r="AC72" s="2341"/>
      <c r="AD72" s="2341"/>
      <c r="AE72" s="2341"/>
      <c r="AF72" s="2342"/>
    </row>
    <row r="73" spans="1:36" ht="12.95" customHeight="1">
      <c r="A73" s="404"/>
      <c r="C73" s="404"/>
      <c r="D73" s="404"/>
      <c r="E73" s="2343" t="s">
        <v>1251</v>
      </c>
      <c r="F73" s="2343"/>
      <c r="G73" s="2343"/>
      <c r="H73" s="2343"/>
      <c r="I73" s="2343"/>
      <c r="J73" s="2343"/>
      <c r="K73" s="2343"/>
      <c r="L73" s="2343"/>
      <c r="M73" s="2343"/>
      <c r="N73" s="2343"/>
      <c r="O73" s="2343"/>
      <c r="P73" s="2343"/>
      <c r="Q73" s="2343"/>
      <c r="R73" s="2343"/>
      <c r="S73" s="2343"/>
      <c r="T73" s="2343"/>
      <c r="U73" s="2343"/>
      <c r="V73" s="2343"/>
      <c r="W73" s="2343"/>
      <c r="X73" s="2343"/>
      <c r="Y73" s="2343"/>
      <c r="Z73" s="2343"/>
      <c r="AA73" s="2343"/>
      <c r="AB73" s="438"/>
      <c r="AC73" s="438"/>
    </row>
    <row r="74" spans="1:36" ht="12.95" customHeight="1">
      <c r="A74" s="404"/>
      <c r="C74" s="404"/>
      <c r="D74" s="404"/>
      <c r="E74" s="2343"/>
      <c r="F74" s="2343"/>
      <c r="G74" s="2343"/>
      <c r="H74" s="2343"/>
      <c r="I74" s="2343"/>
      <c r="J74" s="2343"/>
      <c r="K74" s="2343"/>
      <c r="L74" s="2343"/>
      <c r="M74" s="2343"/>
      <c r="N74" s="2343"/>
      <c r="O74" s="2343"/>
      <c r="P74" s="2343"/>
      <c r="Q74" s="2343"/>
      <c r="R74" s="2343"/>
      <c r="S74" s="2343"/>
      <c r="T74" s="2343"/>
      <c r="U74" s="2343"/>
      <c r="V74" s="2343"/>
      <c r="W74" s="2343"/>
      <c r="X74" s="2343"/>
      <c r="Y74" s="2343"/>
      <c r="Z74" s="2343"/>
      <c r="AA74" s="2343"/>
      <c r="AB74" s="438"/>
      <c r="AC74" s="438"/>
    </row>
    <row r="75" spans="1:36" ht="12.95" customHeight="1">
      <c r="A75" s="404"/>
      <c r="C75" s="404"/>
      <c r="D75" s="404"/>
      <c r="E75" s="2343"/>
      <c r="F75" s="2343"/>
      <c r="G75" s="2343"/>
      <c r="H75" s="2343"/>
      <c r="I75" s="2343"/>
      <c r="J75" s="2343"/>
      <c r="K75" s="2343"/>
      <c r="L75" s="2343"/>
      <c r="M75" s="2343"/>
      <c r="N75" s="2343"/>
      <c r="O75" s="2343"/>
      <c r="P75" s="2343"/>
      <c r="Q75" s="2343"/>
      <c r="R75" s="2343"/>
      <c r="S75" s="2343"/>
      <c r="T75" s="2343"/>
      <c r="U75" s="2343"/>
      <c r="V75" s="2343"/>
      <c r="W75" s="2343"/>
      <c r="X75" s="2343"/>
      <c r="Y75" s="2343"/>
      <c r="Z75" s="2343"/>
      <c r="AA75" s="2343"/>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31">
        <f>ROUND(IF(ISERROR((AB59/AB72)),0,(AB59/AB72)),0)</f>
        <v>0</v>
      </c>
      <c r="AC77" s="2331"/>
      <c r="AD77" s="2331"/>
      <c r="AE77" s="2331"/>
      <c r="AF77" s="2331"/>
    </row>
    <row r="78" spans="1:36" ht="12.95" customHeight="1">
      <c r="C78" s="404"/>
      <c r="D78" s="205" t="s">
        <v>1253</v>
      </c>
      <c r="AB78" s="2332">
        <f>ROUNDUP(MIN(Y69,AB77),0)</f>
        <v>0</v>
      </c>
      <c r="AC78" s="2333"/>
      <c r="AD78" s="2333"/>
      <c r="AE78" s="2333"/>
      <c r="AF78" s="2334"/>
    </row>
    <row r="79" spans="1:36" ht="12.95" customHeight="1">
      <c r="C79" s="404"/>
      <c r="D79" s="205" t="s">
        <v>1254</v>
      </c>
      <c r="AB79" s="2335">
        <f>AB78*AB72</f>
        <v>0</v>
      </c>
      <c r="AC79" s="2335"/>
      <c r="AD79" s="2335"/>
      <c r="AE79" s="2335"/>
      <c r="AF79" s="2335"/>
    </row>
    <row r="80" spans="1:36" ht="12.95" customHeight="1">
      <c r="C80" s="404"/>
      <c r="D80" s="404"/>
      <c r="AB80" s="425"/>
      <c r="AC80" s="425"/>
      <c r="AD80" s="425"/>
      <c r="AE80" s="425"/>
      <c r="AF80" s="425"/>
    </row>
    <row r="81" spans="1:78" ht="12.95" customHeight="1">
      <c r="D81" s="404" t="s">
        <v>754</v>
      </c>
      <c r="AB81" s="2336">
        <f>AB49-(AB57+AB79)</f>
        <v>0</v>
      </c>
      <c r="AC81" s="2336"/>
      <c r="AD81" s="2336"/>
      <c r="AE81" s="2336"/>
      <c r="AF81" s="2336"/>
    </row>
    <row r="82" spans="1:78" ht="12.95" customHeight="1">
      <c r="F82" s="522"/>
      <c r="J82" s="522" t="str">
        <f>IF(AB81&gt;0,"FUNDING GAP MUST NOT EXCEED ZERO","")</f>
        <v/>
      </c>
    </row>
    <row r="83" spans="1:78" ht="12.95" customHeight="1">
      <c r="D83" s="523"/>
    </row>
    <row r="84" spans="1:78" ht="12.95" customHeight="1" thickBot="1">
      <c r="A84" s="2355"/>
      <c r="B84" s="2355"/>
      <c r="C84" s="2355"/>
      <c r="D84" s="2355"/>
      <c r="E84" s="2355"/>
      <c r="F84" s="2355"/>
      <c r="G84" s="2355"/>
      <c r="H84" s="2355"/>
      <c r="I84" s="2355"/>
      <c r="J84" s="2355"/>
      <c r="K84" s="2355"/>
      <c r="L84" s="2355"/>
      <c r="M84" s="2355"/>
      <c r="N84" s="2355"/>
      <c r="O84" s="2355"/>
      <c r="P84" s="2355"/>
      <c r="Q84" s="2355"/>
      <c r="R84" s="2355"/>
      <c r="S84" s="2355"/>
      <c r="T84" s="2355"/>
      <c r="U84" s="2355"/>
      <c r="V84" s="2355"/>
      <c r="W84" s="2355"/>
      <c r="X84" s="2355"/>
      <c r="Y84" s="2355"/>
      <c r="Z84" s="2355"/>
      <c r="AA84" s="2355"/>
      <c r="AB84" s="2355"/>
      <c r="AC84" s="2355"/>
      <c r="AD84" s="2355"/>
      <c r="AE84" s="2355"/>
      <c r="AF84" s="2355"/>
      <c r="AG84" s="2355"/>
      <c r="AH84" s="2355"/>
      <c r="AI84" s="2355"/>
      <c r="AJ84" s="2355"/>
      <c r="AK84" s="2355"/>
      <c r="AL84" s="2355"/>
      <c r="AM84" s="2355"/>
      <c r="AN84" s="2355"/>
      <c r="AO84" s="2355"/>
      <c r="AP84" s="2355"/>
      <c r="AQ84" s="2355"/>
      <c r="AR84" s="2355"/>
      <c r="AS84" s="2355"/>
      <c r="AT84" s="2355"/>
      <c r="AU84" s="2355"/>
      <c r="AV84" s="2355"/>
      <c r="AW84" s="2355"/>
      <c r="AX84" s="2355"/>
      <c r="AY84" s="2355"/>
      <c r="AZ84" s="2355"/>
      <c r="BA84" s="2355"/>
      <c r="BB84" s="2355"/>
      <c r="BC84" s="2355"/>
      <c r="BD84" s="2355"/>
      <c r="BE84" s="2355"/>
      <c r="BF84" s="2355"/>
      <c r="BG84" s="2355"/>
      <c r="BH84" s="2355"/>
      <c r="BI84" s="2355"/>
      <c r="BJ84" s="2355"/>
      <c r="BK84" s="2355"/>
      <c r="BL84" s="2355"/>
      <c r="BM84" s="2355"/>
      <c r="BN84" s="2355"/>
      <c r="BO84" s="2355"/>
      <c r="BP84" s="2355"/>
      <c r="BQ84" s="2355"/>
      <c r="BR84" s="2355"/>
      <c r="BS84" s="2355"/>
      <c r="BT84" s="2355"/>
      <c r="BU84" s="2355"/>
      <c r="BV84" s="2355"/>
      <c r="BW84" s="2355"/>
      <c r="BX84" s="2355"/>
    </row>
    <row r="85" spans="1:78" ht="12.95" customHeight="1" thickTop="1"/>
    <row r="86" spans="1:78" ht="12.95" customHeight="1">
      <c r="A86" s="404"/>
      <c r="C86" s="205"/>
    </row>
    <row r="87" spans="1:78" ht="12.95" customHeight="1">
      <c r="D87" s="205"/>
      <c r="AB87" s="2387"/>
      <c r="AC87" s="2387"/>
      <c r="AD87" s="2387"/>
      <c r="AE87" s="2387"/>
      <c r="AF87" s="2387"/>
    </row>
    <row r="88" spans="1:78" ht="12.95" customHeight="1" thickBot="1">
      <c r="D88" s="205"/>
      <c r="AB88" s="2386"/>
      <c r="AC88" s="2386"/>
      <c r="AD88" s="2386"/>
      <c r="AE88" s="2386"/>
      <c r="AF88" s="2386"/>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60" workbookViewId="0">
      <selection activeCell="X73" sqref="X7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9" t="s">
        <v>1300</v>
      </c>
      <c r="B1" s="2429"/>
      <c r="C1" s="2429"/>
      <c r="D1" s="2429"/>
      <c r="E1" s="2429"/>
      <c r="F1" s="2429"/>
      <c r="G1" s="2429"/>
      <c r="H1" s="2429"/>
      <c r="I1" s="2429"/>
      <c r="J1" s="2429"/>
      <c r="K1" s="2429"/>
      <c r="L1" s="2429"/>
      <c r="M1" s="2429"/>
      <c r="N1" s="2429"/>
      <c r="O1" s="2429"/>
      <c r="P1" s="2429"/>
      <c r="Q1" s="2429"/>
      <c r="R1" s="2429"/>
      <c r="S1" s="2429"/>
      <c r="T1" s="2429"/>
      <c r="U1" s="2429"/>
      <c r="V1" s="2429"/>
      <c r="W1" s="2429"/>
      <c r="X1" s="2429"/>
      <c r="Y1" s="2429"/>
      <c r="Z1" s="2429"/>
      <c r="AA1" s="2429"/>
      <c r="AB1" s="2429"/>
      <c r="AC1" s="2429"/>
      <c r="AD1" s="2429"/>
      <c r="AE1" s="2429"/>
      <c r="AF1" s="2429"/>
      <c r="AG1" s="2429"/>
      <c r="AH1" s="2429"/>
      <c r="AI1" s="2429"/>
      <c r="AJ1" s="2429"/>
      <c r="AK1" s="2429"/>
      <c r="AL1" s="2429"/>
      <c r="AM1" s="2429"/>
    </row>
    <row r="2" spans="1:42" s="536" customFormat="1" ht="12.75" customHeight="1" thickBot="1">
      <c r="A2" s="2430"/>
      <c r="B2" s="2430"/>
      <c r="C2" s="2430"/>
      <c r="D2" s="2430"/>
      <c r="E2" s="2430"/>
      <c r="F2" s="2430"/>
      <c r="G2" s="2430"/>
      <c r="H2" s="2430"/>
      <c r="I2" s="2430"/>
      <c r="J2" s="2430"/>
      <c r="K2" s="2430"/>
      <c r="L2" s="2430"/>
      <c r="M2" s="2430"/>
      <c r="N2" s="2430"/>
      <c r="O2" s="2430"/>
      <c r="P2" s="2430"/>
      <c r="Q2" s="2430"/>
      <c r="R2" s="2430"/>
      <c r="S2" s="2430"/>
      <c r="T2" s="2430"/>
      <c r="U2" s="2430"/>
      <c r="V2" s="2430"/>
      <c r="W2" s="2430"/>
      <c r="X2" s="2430"/>
      <c r="Y2" s="2430"/>
      <c r="Z2" s="2430"/>
      <c r="AA2" s="2430"/>
      <c r="AB2" s="2430"/>
      <c r="AC2" s="2430"/>
      <c r="AD2" s="2430"/>
      <c r="AE2" s="2430"/>
      <c r="AF2" s="2430"/>
      <c r="AG2" s="2430"/>
      <c r="AH2" s="2430"/>
      <c r="AI2" s="2430"/>
      <c r="AJ2" s="2430"/>
      <c r="AK2" s="2430"/>
      <c r="AL2" s="2430"/>
      <c r="AM2" s="2430"/>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0" t="s">
        <v>1305</v>
      </c>
      <c r="AF7" s="2410"/>
      <c r="AG7" s="2410"/>
      <c r="AH7" s="2410"/>
      <c r="AI7" s="2410"/>
      <c r="AJ7" s="2410"/>
      <c r="AK7" s="2410"/>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0" t="s">
        <v>591</v>
      </c>
      <c r="C13" s="2400"/>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1"/>
      <c r="AH13" s="2431"/>
      <c r="AI13" s="2431"/>
      <c r="AJ13" s="2432"/>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0" t="s">
        <v>591</v>
      </c>
      <c r="C16" s="2400"/>
      <c r="D16" s="547"/>
      <c r="E16" s="2411" t="s">
        <v>1307</v>
      </c>
      <c r="F16" s="2412"/>
      <c r="G16" s="2412"/>
      <c r="H16" s="2412"/>
      <c r="I16" s="2412"/>
      <c r="J16" s="2412"/>
      <c r="K16" s="2412"/>
      <c r="L16" s="2412"/>
      <c r="M16" s="2412"/>
      <c r="N16" s="2412"/>
      <c r="O16" s="2412"/>
      <c r="P16" s="2412"/>
      <c r="Q16" s="2412"/>
      <c r="R16" s="2412"/>
      <c r="S16" s="2412"/>
      <c r="T16" s="2412"/>
      <c r="U16" s="2412"/>
      <c r="V16" s="2412"/>
      <c r="W16" s="2412"/>
      <c r="X16" s="2412"/>
      <c r="Y16" s="2412"/>
      <c r="Z16" s="2412"/>
      <c r="AA16" s="2412"/>
      <c r="AB16" s="2412"/>
      <c r="AC16" s="2412"/>
      <c r="AD16" s="2412"/>
      <c r="AE16" s="2412"/>
      <c r="AF16" s="2412"/>
      <c r="AG16" s="2412"/>
      <c r="AH16" s="2412"/>
      <c r="AI16" s="2412"/>
      <c r="AJ16" s="2413"/>
      <c r="AK16" s="540"/>
      <c r="AL16" s="540"/>
      <c r="AM16" s="540"/>
      <c r="AN16" s="535"/>
      <c r="AO16" s="550">
        <f>IF($B25="yes",20,0)</f>
        <v>0</v>
      </c>
      <c r="AP16" s="14"/>
    </row>
    <row r="17" spans="1:42" s="536" customFormat="1" ht="12.75" customHeight="1">
      <c r="A17" s="540"/>
      <c r="B17" s="540"/>
      <c r="C17" s="540"/>
      <c r="D17" s="551"/>
      <c r="E17" s="2414"/>
      <c r="F17" s="2415"/>
      <c r="G17" s="2415"/>
      <c r="H17" s="2415"/>
      <c r="I17" s="2415"/>
      <c r="J17" s="2415"/>
      <c r="K17" s="2415"/>
      <c r="L17" s="2415"/>
      <c r="M17" s="2415"/>
      <c r="N17" s="2415"/>
      <c r="O17" s="2415"/>
      <c r="P17" s="2415"/>
      <c r="Q17" s="2415"/>
      <c r="R17" s="2415"/>
      <c r="S17" s="2415"/>
      <c r="T17" s="2415"/>
      <c r="U17" s="2415"/>
      <c r="V17" s="2415"/>
      <c r="W17" s="2415"/>
      <c r="X17" s="2415"/>
      <c r="Y17" s="2415"/>
      <c r="Z17" s="2415"/>
      <c r="AA17" s="2415"/>
      <c r="AB17" s="2415"/>
      <c r="AC17" s="2415"/>
      <c r="AD17" s="2415"/>
      <c r="AE17" s="2415"/>
      <c r="AF17" s="2415"/>
      <c r="AG17" s="2415"/>
      <c r="AH17" s="2415"/>
      <c r="AI17" s="2415"/>
      <c r="AJ17" s="2416"/>
      <c r="AK17" s="540"/>
      <c r="AL17" s="540"/>
      <c r="AM17" s="540"/>
      <c r="AN17" s="535"/>
      <c r="AO17" s="550">
        <f>IF($B28="yes",20,0)</f>
        <v>0</v>
      </c>
    </row>
    <row r="18" spans="1:42" s="536" customFormat="1" ht="12.75" customHeight="1">
      <c r="A18" s="540"/>
      <c r="B18" s="540"/>
      <c r="C18" s="540"/>
      <c r="D18" s="551"/>
      <c r="E18" s="2414"/>
      <c r="F18" s="2415"/>
      <c r="G18" s="2415"/>
      <c r="H18" s="2415"/>
      <c r="I18" s="2415"/>
      <c r="J18" s="2415"/>
      <c r="K18" s="2415"/>
      <c r="L18" s="2415"/>
      <c r="M18" s="2415"/>
      <c r="N18" s="2415"/>
      <c r="O18" s="2415"/>
      <c r="P18" s="2415"/>
      <c r="Q18" s="2415"/>
      <c r="R18" s="2415"/>
      <c r="S18" s="2415"/>
      <c r="T18" s="2415"/>
      <c r="U18" s="2415"/>
      <c r="V18" s="2415"/>
      <c r="W18" s="2415"/>
      <c r="X18" s="2415"/>
      <c r="Y18" s="2415"/>
      <c r="Z18" s="2415"/>
      <c r="AA18" s="2415"/>
      <c r="AB18" s="2415"/>
      <c r="AC18" s="2415"/>
      <c r="AD18" s="2415"/>
      <c r="AE18" s="2415"/>
      <c r="AF18" s="2415"/>
      <c r="AG18" s="2415"/>
      <c r="AH18" s="2415"/>
      <c r="AI18" s="2415"/>
      <c r="AJ18" s="2416"/>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2"/>
      <c r="F20" s="2443"/>
      <c r="G20" s="2443"/>
      <c r="H20" s="2443"/>
      <c r="I20" s="2443"/>
      <c r="J20" s="2443"/>
      <c r="K20" s="2443"/>
      <c r="L20" s="2443"/>
      <c r="M20" s="2443"/>
      <c r="N20" s="2443"/>
      <c r="O20" s="2443"/>
      <c r="P20" s="2443"/>
      <c r="Q20" s="2443"/>
      <c r="R20" s="2443"/>
      <c r="S20" s="2443"/>
      <c r="T20" s="2443"/>
      <c r="U20" s="2443"/>
      <c r="V20" s="2443"/>
      <c r="W20" s="2443"/>
      <c r="X20" s="2443"/>
      <c r="Y20" s="2443"/>
      <c r="Z20" s="2443"/>
      <c r="AA20" s="2443"/>
      <c r="AB20" s="2443"/>
      <c r="AC20" s="2443"/>
      <c r="AD20" s="2443"/>
      <c r="AE20" s="2443"/>
      <c r="AF20" s="2443"/>
      <c r="AG20" s="2443"/>
      <c r="AH20" s="2443"/>
      <c r="AI20" s="2443"/>
      <c r="AJ20" s="2444"/>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0" t="s">
        <v>591</v>
      </c>
      <c r="C22" s="2400"/>
      <c r="D22" s="547"/>
      <c r="E22" s="2436" t="s">
        <v>1310</v>
      </c>
      <c r="F22" s="2437"/>
      <c r="G22" s="2437"/>
      <c r="H22" s="2437"/>
      <c r="I22" s="2437"/>
      <c r="J22" s="2437"/>
      <c r="K22" s="2437"/>
      <c r="L22" s="2437"/>
      <c r="M22" s="2437"/>
      <c r="N22" s="2437"/>
      <c r="O22" s="2437"/>
      <c r="P22" s="2437"/>
      <c r="Q22" s="2437"/>
      <c r="R22" s="2437"/>
      <c r="S22" s="2437"/>
      <c r="T22" s="2437"/>
      <c r="U22" s="2437"/>
      <c r="V22" s="2437"/>
      <c r="W22" s="2437"/>
      <c r="X22" s="2437"/>
      <c r="Y22" s="2437"/>
      <c r="Z22" s="2437"/>
      <c r="AA22" s="2437"/>
      <c r="AB22" s="2437"/>
      <c r="AC22" s="2437"/>
      <c r="AD22" s="2437"/>
      <c r="AE22" s="2437"/>
      <c r="AF22" s="2437"/>
      <c r="AG22" s="2437"/>
      <c r="AH22" s="2437"/>
      <c r="AI22" s="2437"/>
      <c r="AJ22" s="2438"/>
      <c r="AK22" s="540"/>
      <c r="AL22" s="540"/>
      <c r="AM22" s="540"/>
      <c r="AN22" s="535"/>
      <c r="AO22" s="550">
        <f>IF($B40="yes",14,0)</f>
        <v>0</v>
      </c>
    </row>
    <row r="23" spans="1:42" s="536" customFormat="1" ht="12.75" customHeight="1">
      <c r="A23" s="540"/>
      <c r="B23" s="540"/>
      <c r="C23" s="540"/>
      <c r="D23" s="550"/>
      <c r="E23" s="2439"/>
      <c r="F23" s="2440"/>
      <c r="G23" s="2440"/>
      <c r="H23" s="2440"/>
      <c r="I23" s="2440"/>
      <c r="J23" s="2440"/>
      <c r="K23" s="2440"/>
      <c r="L23" s="2440"/>
      <c r="M23" s="2440"/>
      <c r="N23" s="2440"/>
      <c r="O23" s="2440"/>
      <c r="P23" s="2440"/>
      <c r="Q23" s="2440"/>
      <c r="R23" s="2440"/>
      <c r="S23" s="2440"/>
      <c r="T23" s="2440"/>
      <c r="U23" s="2440"/>
      <c r="V23" s="2440"/>
      <c r="W23" s="2440"/>
      <c r="X23" s="2440"/>
      <c r="Y23" s="2440"/>
      <c r="Z23" s="2440"/>
      <c r="AA23" s="2440"/>
      <c r="AB23" s="2440"/>
      <c r="AC23" s="2440"/>
      <c r="AD23" s="2440"/>
      <c r="AE23" s="2440"/>
      <c r="AF23" s="2440"/>
      <c r="AG23" s="2440"/>
      <c r="AH23" s="2440"/>
      <c r="AI23" s="2440"/>
      <c r="AJ23" s="2441"/>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0" t="s">
        <v>591</v>
      </c>
      <c r="C25" s="2400"/>
      <c r="D25" s="547"/>
      <c r="E25" s="2401" t="s">
        <v>2034</v>
      </c>
      <c r="F25" s="2402"/>
      <c r="G25" s="2402"/>
      <c r="H25" s="2402"/>
      <c r="I25" s="2402"/>
      <c r="J25" s="2402"/>
      <c r="K25" s="2402"/>
      <c r="L25" s="2402"/>
      <c r="M25" s="2402"/>
      <c r="N25" s="2402"/>
      <c r="O25" s="2402"/>
      <c r="P25" s="2402"/>
      <c r="Q25" s="2402"/>
      <c r="R25" s="2402"/>
      <c r="S25" s="2402"/>
      <c r="T25" s="2402"/>
      <c r="U25" s="2402"/>
      <c r="V25" s="2402"/>
      <c r="W25" s="2402"/>
      <c r="X25" s="2402"/>
      <c r="Y25" s="2402"/>
      <c r="Z25" s="2402"/>
      <c r="AA25" s="2402"/>
      <c r="AB25" s="2402"/>
      <c r="AC25" s="2402"/>
      <c r="AD25" s="2402"/>
      <c r="AE25" s="2402"/>
      <c r="AF25" s="2402"/>
      <c r="AG25" s="2402"/>
      <c r="AH25" s="2402"/>
      <c r="AI25" s="2402"/>
      <c r="AJ25" s="2403"/>
      <c r="AK25" s="540"/>
      <c r="AL25" s="540"/>
      <c r="AM25" s="540"/>
      <c r="AN25" s="535"/>
      <c r="AO25" s="550">
        <f>IF($B45="yes",6,0)</f>
        <v>0</v>
      </c>
    </row>
    <row r="26" spans="1:42" s="536" customFormat="1" ht="12.75" customHeight="1">
      <c r="A26" s="540"/>
      <c r="B26" s="540"/>
      <c r="C26" s="540"/>
      <c r="D26" s="550"/>
      <c r="E26" s="2404"/>
      <c r="F26" s="2405"/>
      <c r="G26" s="2405"/>
      <c r="H26" s="2405"/>
      <c r="I26" s="2405"/>
      <c r="J26" s="2405"/>
      <c r="K26" s="2405"/>
      <c r="L26" s="2405"/>
      <c r="M26" s="2405"/>
      <c r="N26" s="2405"/>
      <c r="O26" s="2405"/>
      <c r="P26" s="2405"/>
      <c r="Q26" s="2405"/>
      <c r="R26" s="2405"/>
      <c r="S26" s="2405"/>
      <c r="T26" s="2405"/>
      <c r="U26" s="2405"/>
      <c r="V26" s="2405"/>
      <c r="W26" s="2405"/>
      <c r="X26" s="2405"/>
      <c r="Y26" s="2405"/>
      <c r="Z26" s="2405"/>
      <c r="AA26" s="2405"/>
      <c r="AB26" s="2405"/>
      <c r="AC26" s="2405"/>
      <c r="AD26" s="2405"/>
      <c r="AE26" s="2405"/>
      <c r="AF26" s="2405"/>
      <c r="AG26" s="2405"/>
      <c r="AH26" s="2405"/>
      <c r="AI26" s="2405"/>
      <c r="AJ26" s="2406"/>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0" t="s">
        <v>591</v>
      </c>
      <c r="C28" s="2400"/>
      <c r="D28" s="547"/>
      <c r="E28" s="2424" t="s">
        <v>2250</v>
      </c>
      <c r="F28" s="2425"/>
      <c r="G28" s="2425"/>
      <c r="H28" s="2425"/>
      <c r="I28" s="2425"/>
      <c r="J28" s="2425"/>
      <c r="K28" s="2425"/>
      <c r="L28" s="2425"/>
      <c r="M28" s="2425"/>
      <c r="N28" s="2425"/>
      <c r="O28" s="2425"/>
      <c r="P28" s="2425"/>
      <c r="Q28" s="2425"/>
      <c r="R28" s="2425"/>
      <c r="S28" s="2425"/>
      <c r="T28" s="2425"/>
      <c r="U28" s="2425"/>
      <c r="V28" s="2425"/>
      <c r="W28" s="2425"/>
      <c r="X28" s="2425"/>
      <c r="Y28" s="2425"/>
      <c r="Z28" s="2425"/>
      <c r="AA28" s="2425"/>
      <c r="AB28" s="2425"/>
      <c r="AC28" s="2425"/>
      <c r="AD28" s="2425"/>
      <c r="AE28" s="2425"/>
      <c r="AF28" s="2425"/>
      <c r="AG28" s="2425"/>
      <c r="AH28" s="2425"/>
      <c r="AI28" s="2425"/>
      <c r="AJ28" s="2426"/>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400" t="s">
        <v>591</v>
      </c>
      <c r="C33" s="2400"/>
      <c r="D33" s="547"/>
      <c r="E33" s="2436" t="s">
        <v>2252</v>
      </c>
      <c r="F33" s="2437"/>
      <c r="G33" s="2437"/>
      <c r="H33" s="2437"/>
      <c r="I33" s="2437"/>
      <c r="J33" s="2437"/>
      <c r="K33" s="2437"/>
      <c r="L33" s="2437"/>
      <c r="M33" s="2437"/>
      <c r="N33" s="2437"/>
      <c r="O33" s="2437"/>
      <c r="P33" s="2437"/>
      <c r="Q33" s="2437"/>
      <c r="R33" s="2437"/>
      <c r="S33" s="2437"/>
      <c r="T33" s="2437"/>
      <c r="U33" s="2437"/>
      <c r="V33" s="2437"/>
      <c r="W33" s="2437"/>
      <c r="X33" s="2437"/>
      <c r="Y33" s="2437"/>
      <c r="Z33" s="2437"/>
      <c r="AA33" s="2437"/>
      <c r="AB33" s="2437"/>
      <c r="AC33" s="2437"/>
      <c r="AD33" s="2437"/>
      <c r="AE33" s="2437"/>
      <c r="AF33" s="2437"/>
      <c r="AG33" s="2437"/>
      <c r="AH33" s="2437"/>
      <c r="AI33" s="2437"/>
      <c r="AJ33" s="2438"/>
      <c r="AK33" s="540"/>
      <c r="AL33" s="540"/>
      <c r="AM33" s="540"/>
      <c r="AN33" s="535"/>
      <c r="AO33" s="550"/>
    </row>
    <row r="34" spans="1:41" s="536" customFormat="1" ht="12.75" customHeight="1">
      <c r="A34" s="540"/>
      <c r="B34" s="540"/>
      <c r="C34" s="540"/>
      <c r="E34" s="2439"/>
      <c r="F34" s="2440"/>
      <c r="G34" s="2440"/>
      <c r="H34" s="2440"/>
      <c r="I34" s="2440"/>
      <c r="J34" s="2440"/>
      <c r="K34" s="2440"/>
      <c r="L34" s="2440"/>
      <c r="M34" s="2440"/>
      <c r="N34" s="2440"/>
      <c r="O34" s="2440"/>
      <c r="P34" s="2440"/>
      <c r="Q34" s="2440"/>
      <c r="R34" s="2440"/>
      <c r="S34" s="2440"/>
      <c r="T34" s="2440"/>
      <c r="U34" s="2440"/>
      <c r="V34" s="2440"/>
      <c r="W34" s="2440"/>
      <c r="X34" s="2440"/>
      <c r="Y34" s="2440"/>
      <c r="Z34" s="2440"/>
      <c r="AA34" s="2440"/>
      <c r="AB34" s="2440"/>
      <c r="AC34" s="2440"/>
      <c r="AD34" s="2440"/>
      <c r="AE34" s="2440"/>
      <c r="AF34" s="2440"/>
      <c r="AG34" s="2440"/>
      <c r="AH34" s="2440"/>
      <c r="AI34" s="2440"/>
      <c r="AJ34" s="2441"/>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0" t="s">
        <v>591</v>
      </c>
      <c r="C36" s="2400"/>
      <c r="D36" s="547"/>
      <c r="E36" s="2401" t="s">
        <v>2253</v>
      </c>
      <c r="F36" s="2402"/>
      <c r="G36" s="2402"/>
      <c r="H36" s="2402"/>
      <c r="I36" s="2402"/>
      <c r="J36" s="2402"/>
      <c r="K36" s="2402"/>
      <c r="L36" s="2402"/>
      <c r="M36" s="2402"/>
      <c r="N36" s="2402"/>
      <c r="O36" s="2402"/>
      <c r="P36" s="2402"/>
      <c r="Q36" s="2402"/>
      <c r="R36" s="2402"/>
      <c r="S36" s="2402"/>
      <c r="T36" s="2402"/>
      <c r="U36" s="2402"/>
      <c r="V36" s="2402"/>
      <c r="W36" s="2402"/>
      <c r="X36" s="2402"/>
      <c r="Y36" s="2402"/>
      <c r="Z36" s="2402"/>
      <c r="AA36" s="2402"/>
      <c r="AB36" s="2402"/>
      <c r="AC36" s="2402"/>
      <c r="AD36" s="2402"/>
      <c r="AE36" s="2402"/>
      <c r="AF36" s="2402"/>
      <c r="AG36" s="2402"/>
      <c r="AH36" s="2402"/>
      <c r="AI36" s="2402"/>
      <c r="AJ36" s="2403"/>
      <c r="AK36" s="540"/>
      <c r="AL36" s="540"/>
      <c r="AM36" s="540"/>
      <c r="AN36" s="535"/>
    </row>
    <row r="37" spans="1:41" s="536" customFormat="1" ht="12.75" customHeight="1">
      <c r="A37" s="540"/>
      <c r="B37" s="540"/>
      <c r="C37" s="540"/>
      <c r="E37" s="2407"/>
      <c r="F37" s="2408"/>
      <c r="G37" s="2408"/>
      <c r="H37" s="2408"/>
      <c r="I37" s="2408"/>
      <c r="J37" s="2408"/>
      <c r="K37" s="2408"/>
      <c r="L37" s="2408"/>
      <c r="M37" s="2408"/>
      <c r="N37" s="2408"/>
      <c r="O37" s="2408"/>
      <c r="P37" s="2408"/>
      <c r="Q37" s="2408"/>
      <c r="R37" s="2408"/>
      <c r="S37" s="2408"/>
      <c r="T37" s="2408"/>
      <c r="U37" s="2408"/>
      <c r="V37" s="2408"/>
      <c r="W37" s="2408"/>
      <c r="X37" s="2408"/>
      <c r="Y37" s="2408"/>
      <c r="Z37" s="2408"/>
      <c r="AA37" s="2408"/>
      <c r="AB37" s="2408"/>
      <c r="AC37" s="2408"/>
      <c r="AD37" s="2408"/>
      <c r="AE37" s="2408"/>
      <c r="AF37" s="2408"/>
      <c r="AG37" s="2408"/>
      <c r="AH37" s="2408"/>
      <c r="AI37" s="2408"/>
      <c r="AJ37" s="2409"/>
      <c r="AK37" s="540"/>
      <c r="AL37" s="540"/>
      <c r="AM37" s="540"/>
      <c r="AN37" s="535"/>
    </row>
    <row r="38" spans="1:41" s="536" customFormat="1" ht="12.75" customHeight="1">
      <c r="A38" s="540"/>
      <c r="B38" s="540"/>
      <c r="C38" s="540"/>
      <c r="E38" s="2404"/>
      <c r="F38" s="2405"/>
      <c r="G38" s="2405"/>
      <c r="H38" s="2405"/>
      <c r="I38" s="2405"/>
      <c r="J38" s="2405"/>
      <c r="K38" s="2405"/>
      <c r="L38" s="2405"/>
      <c r="M38" s="2405"/>
      <c r="N38" s="2405"/>
      <c r="O38" s="2405"/>
      <c r="P38" s="2405"/>
      <c r="Q38" s="2405"/>
      <c r="R38" s="2405"/>
      <c r="S38" s="2405"/>
      <c r="T38" s="2405"/>
      <c r="U38" s="2405"/>
      <c r="V38" s="2405"/>
      <c r="W38" s="2405"/>
      <c r="X38" s="2405"/>
      <c r="Y38" s="2405"/>
      <c r="Z38" s="2405"/>
      <c r="AA38" s="2405"/>
      <c r="AB38" s="2405"/>
      <c r="AC38" s="2405"/>
      <c r="AD38" s="2405"/>
      <c r="AE38" s="2405"/>
      <c r="AF38" s="2405"/>
      <c r="AG38" s="2405"/>
      <c r="AH38" s="2405"/>
      <c r="AI38" s="2405"/>
      <c r="AJ38" s="240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0" t="s">
        <v>591</v>
      </c>
      <c r="C40" s="2400"/>
      <c r="D40" s="547"/>
      <c r="E40" s="2401" t="s">
        <v>2251</v>
      </c>
      <c r="F40" s="2402"/>
      <c r="G40" s="2402"/>
      <c r="H40" s="2402"/>
      <c r="I40" s="2402"/>
      <c r="J40" s="2402"/>
      <c r="K40" s="2402"/>
      <c r="L40" s="2402"/>
      <c r="M40" s="2402"/>
      <c r="N40" s="2402"/>
      <c r="O40" s="2402"/>
      <c r="P40" s="2402"/>
      <c r="Q40" s="2402"/>
      <c r="R40" s="2402"/>
      <c r="S40" s="2402"/>
      <c r="T40" s="2402"/>
      <c r="U40" s="2402"/>
      <c r="V40" s="2402"/>
      <c r="W40" s="2402"/>
      <c r="X40" s="2402"/>
      <c r="Y40" s="2402"/>
      <c r="Z40" s="2402"/>
      <c r="AA40" s="2402"/>
      <c r="AB40" s="2402"/>
      <c r="AC40" s="2402"/>
      <c r="AD40" s="2402"/>
      <c r="AE40" s="2402"/>
      <c r="AF40" s="2402"/>
      <c r="AG40" s="2402"/>
      <c r="AH40" s="2402"/>
      <c r="AI40" s="2402"/>
      <c r="AJ40" s="2403"/>
      <c r="AK40" s="540"/>
      <c r="AL40" s="540"/>
      <c r="AM40" s="540"/>
      <c r="AN40" s="535"/>
    </row>
    <row r="41" spans="1:41" s="536" customFormat="1" ht="12.75" customHeight="1">
      <c r="A41" s="540"/>
      <c r="B41" s="540"/>
      <c r="C41" s="540"/>
      <c r="E41" s="2404"/>
      <c r="F41" s="2405"/>
      <c r="G41" s="2405"/>
      <c r="H41" s="2405"/>
      <c r="I41" s="2405"/>
      <c r="J41" s="2405"/>
      <c r="K41" s="2405"/>
      <c r="L41" s="2405"/>
      <c r="M41" s="2405"/>
      <c r="N41" s="2405"/>
      <c r="O41" s="2405"/>
      <c r="P41" s="2405"/>
      <c r="Q41" s="2405"/>
      <c r="R41" s="2405"/>
      <c r="S41" s="2405"/>
      <c r="T41" s="2405"/>
      <c r="U41" s="2405"/>
      <c r="V41" s="2405"/>
      <c r="W41" s="2405"/>
      <c r="X41" s="2405"/>
      <c r="Y41" s="2405"/>
      <c r="Z41" s="2405"/>
      <c r="AA41" s="2405"/>
      <c r="AB41" s="2405"/>
      <c r="AC41" s="2405"/>
      <c r="AD41" s="2405"/>
      <c r="AE41" s="2405"/>
      <c r="AF41" s="2405"/>
      <c r="AG41" s="2405"/>
      <c r="AH41" s="2405"/>
      <c r="AI41" s="2405"/>
      <c r="AJ41" s="240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0" t="s">
        <v>591</v>
      </c>
      <c r="C45" s="2400"/>
      <c r="D45" s="1142"/>
      <c r="E45" s="2401" t="s">
        <v>2009</v>
      </c>
      <c r="F45" s="2402"/>
      <c r="G45" s="2402"/>
      <c r="H45" s="2402"/>
      <c r="I45" s="2402"/>
      <c r="J45" s="2402"/>
      <c r="K45" s="2402"/>
      <c r="L45" s="2402"/>
      <c r="M45" s="2402"/>
      <c r="N45" s="2402"/>
      <c r="O45" s="2402"/>
      <c r="P45" s="2402"/>
      <c r="Q45" s="2402"/>
      <c r="R45" s="2402"/>
      <c r="S45" s="2402"/>
      <c r="T45" s="2402"/>
      <c r="U45" s="2402"/>
      <c r="V45" s="2402"/>
      <c r="W45" s="2402"/>
      <c r="X45" s="2402"/>
      <c r="Y45" s="2402"/>
      <c r="Z45" s="2402"/>
      <c r="AA45" s="2402"/>
      <c r="AB45" s="2402"/>
      <c r="AC45" s="2402"/>
      <c r="AD45" s="2402"/>
      <c r="AE45" s="2402"/>
      <c r="AF45" s="2402"/>
      <c r="AG45" s="2402"/>
      <c r="AH45" s="2402"/>
      <c r="AI45" s="2402"/>
      <c r="AJ45" s="2403"/>
      <c r="AK45" s="1142"/>
      <c r="AL45" s="540"/>
      <c r="AM45" s="540"/>
      <c r="AN45" s="535"/>
    </row>
    <row r="46" spans="1:41" s="536" customFormat="1" ht="12.75" customHeight="1">
      <c r="A46" s="540"/>
      <c r="B46" s="540"/>
      <c r="C46" s="540"/>
      <c r="E46" s="2407"/>
      <c r="F46" s="2408"/>
      <c r="G46" s="2408"/>
      <c r="H46" s="2408"/>
      <c r="I46" s="2408"/>
      <c r="J46" s="2408"/>
      <c r="K46" s="2408"/>
      <c r="L46" s="2408"/>
      <c r="M46" s="2408"/>
      <c r="N46" s="2408"/>
      <c r="O46" s="2408"/>
      <c r="P46" s="2408"/>
      <c r="Q46" s="2408"/>
      <c r="R46" s="2408"/>
      <c r="S46" s="2408"/>
      <c r="T46" s="2408"/>
      <c r="U46" s="2408"/>
      <c r="V46" s="2408"/>
      <c r="W46" s="2408"/>
      <c r="X46" s="2408"/>
      <c r="Y46" s="2408"/>
      <c r="Z46" s="2408"/>
      <c r="AA46" s="2408"/>
      <c r="AB46" s="2408"/>
      <c r="AC46" s="2408"/>
      <c r="AD46" s="2408"/>
      <c r="AE46" s="2408"/>
      <c r="AF46" s="2408"/>
      <c r="AG46" s="2408"/>
      <c r="AH46" s="2408"/>
      <c r="AI46" s="2408"/>
      <c r="AJ46" s="2409"/>
      <c r="AK46" s="540"/>
      <c r="AL46" s="540"/>
      <c r="AM46" s="540"/>
      <c r="AN46" s="535"/>
    </row>
    <row r="47" spans="1:41" s="536" customFormat="1" ht="12.75" customHeight="1">
      <c r="A47" s="540"/>
      <c r="D47" s="547"/>
      <c r="E47" s="2404"/>
      <c r="F47" s="2405"/>
      <c r="G47" s="2405"/>
      <c r="H47" s="2405"/>
      <c r="I47" s="2405"/>
      <c r="J47" s="2405"/>
      <c r="K47" s="2405"/>
      <c r="L47" s="2405"/>
      <c r="M47" s="2405"/>
      <c r="N47" s="2405"/>
      <c r="O47" s="2405"/>
      <c r="P47" s="2405"/>
      <c r="Q47" s="2405"/>
      <c r="R47" s="2405"/>
      <c r="S47" s="2405"/>
      <c r="T47" s="2405"/>
      <c r="U47" s="2405"/>
      <c r="V47" s="2405"/>
      <c r="W47" s="2405"/>
      <c r="X47" s="2405"/>
      <c r="Y47" s="2405"/>
      <c r="Z47" s="2405"/>
      <c r="AA47" s="2405"/>
      <c r="AB47" s="2405"/>
      <c r="AC47" s="2405"/>
      <c r="AD47" s="2405"/>
      <c r="AE47" s="2405"/>
      <c r="AF47" s="2405"/>
      <c r="AG47" s="2405"/>
      <c r="AH47" s="2405"/>
      <c r="AI47" s="2405"/>
      <c r="AJ47" s="240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0" t="s">
        <v>591</v>
      </c>
      <c r="C52" s="2400"/>
      <c r="D52" s="540"/>
      <c r="E52" s="2401" t="s">
        <v>2014</v>
      </c>
      <c r="F52" s="2402"/>
      <c r="G52" s="2402"/>
      <c r="H52" s="2402"/>
      <c r="I52" s="2402"/>
      <c r="J52" s="2402"/>
      <c r="K52" s="2402"/>
      <c r="L52" s="2402"/>
      <c r="M52" s="2402"/>
      <c r="N52" s="2402"/>
      <c r="O52" s="2402"/>
      <c r="P52" s="2402"/>
      <c r="Q52" s="2402"/>
      <c r="R52" s="2402"/>
      <c r="S52" s="2402"/>
      <c r="T52" s="2402"/>
      <c r="U52" s="2402"/>
      <c r="V52" s="2402"/>
      <c r="W52" s="2402"/>
      <c r="X52" s="2402"/>
      <c r="Y52" s="2402"/>
      <c r="Z52" s="2402"/>
      <c r="AA52" s="2402"/>
      <c r="AB52" s="2402"/>
      <c r="AC52" s="2402"/>
      <c r="AD52" s="2402"/>
      <c r="AE52" s="2402"/>
      <c r="AF52" s="2402"/>
      <c r="AG52" s="2402"/>
      <c r="AH52" s="2402"/>
      <c r="AI52" s="2402"/>
      <c r="AJ52" s="2403"/>
      <c r="AK52" s="540"/>
      <c r="AL52" s="540"/>
      <c r="AM52" s="540"/>
      <c r="AN52" s="535"/>
      <c r="AO52" s="559"/>
    </row>
    <row r="53" spans="1:50" s="536" customFormat="1" ht="12.75" customHeight="1">
      <c r="A53" s="540"/>
      <c r="D53" s="547"/>
      <c r="E53" s="2407"/>
      <c r="F53" s="2408"/>
      <c r="G53" s="2408"/>
      <c r="H53" s="2408"/>
      <c r="I53" s="2408"/>
      <c r="J53" s="2408"/>
      <c r="K53" s="2408"/>
      <c r="L53" s="2408"/>
      <c r="M53" s="2408"/>
      <c r="N53" s="2408"/>
      <c r="O53" s="2408"/>
      <c r="P53" s="2408"/>
      <c r="Q53" s="2408"/>
      <c r="R53" s="2408"/>
      <c r="S53" s="2408"/>
      <c r="T53" s="2408"/>
      <c r="U53" s="2408"/>
      <c r="V53" s="2408"/>
      <c r="W53" s="2408"/>
      <c r="X53" s="2408"/>
      <c r="Y53" s="2408"/>
      <c r="Z53" s="2408"/>
      <c r="AA53" s="2408"/>
      <c r="AB53" s="2408"/>
      <c r="AC53" s="2408"/>
      <c r="AD53" s="2408"/>
      <c r="AE53" s="2408"/>
      <c r="AF53" s="2408"/>
      <c r="AG53" s="2408"/>
      <c r="AH53" s="2408"/>
      <c r="AI53" s="2408"/>
      <c r="AJ53" s="2409"/>
      <c r="AK53" s="540"/>
      <c r="AL53" s="540"/>
      <c r="AM53" s="540"/>
      <c r="AN53" s="535"/>
      <c r="AO53" s="559"/>
    </row>
    <row r="54" spans="1:50" s="536" customFormat="1" ht="12.75" customHeight="1">
      <c r="A54" s="540"/>
      <c r="D54" s="540"/>
      <c r="E54" s="2404"/>
      <c r="F54" s="2405"/>
      <c r="G54" s="2405"/>
      <c r="H54" s="2405"/>
      <c r="I54" s="2405"/>
      <c r="J54" s="2405"/>
      <c r="K54" s="2405"/>
      <c r="L54" s="2405"/>
      <c r="M54" s="2405"/>
      <c r="N54" s="2405"/>
      <c r="O54" s="2405"/>
      <c r="P54" s="2405"/>
      <c r="Q54" s="2405"/>
      <c r="R54" s="2405"/>
      <c r="S54" s="2405"/>
      <c r="T54" s="2405"/>
      <c r="U54" s="2405"/>
      <c r="V54" s="2405"/>
      <c r="W54" s="2405"/>
      <c r="X54" s="2405"/>
      <c r="Y54" s="2405"/>
      <c r="Z54" s="2405"/>
      <c r="AA54" s="2405"/>
      <c r="AB54" s="2405"/>
      <c r="AC54" s="2405"/>
      <c r="AD54" s="2405"/>
      <c r="AE54" s="2405"/>
      <c r="AF54" s="2405"/>
      <c r="AG54" s="2405"/>
      <c r="AH54" s="2405"/>
      <c r="AI54" s="2405"/>
      <c r="AJ54" s="240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0" t="s">
        <v>591</v>
      </c>
      <c r="C56" s="2400"/>
      <c r="D56" s="540"/>
      <c r="E56" s="2421" t="s">
        <v>2015</v>
      </c>
      <c r="F56" s="2422"/>
      <c r="G56" s="2422"/>
      <c r="H56" s="2422"/>
      <c r="I56" s="2422"/>
      <c r="J56" s="2422"/>
      <c r="K56" s="2422"/>
      <c r="L56" s="2422"/>
      <c r="M56" s="2422"/>
      <c r="N56" s="2422"/>
      <c r="O56" s="2422"/>
      <c r="P56" s="2422"/>
      <c r="Q56" s="2422"/>
      <c r="R56" s="2422"/>
      <c r="S56" s="2422"/>
      <c r="T56" s="2422"/>
      <c r="U56" s="2422"/>
      <c r="V56" s="2422"/>
      <c r="W56" s="2422"/>
      <c r="X56" s="2422"/>
      <c r="Y56" s="2422"/>
      <c r="Z56" s="2422"/>
      <c r="AA56" s="2422"/>
      <c r="AB56" s="2422"/>
      <c r="AC56" s="2422"/>
      <c r="AD56" s="2422"/>
      <c r="AE56" s="2422"/>
      <c r="AF56" s="2422"/>
      <c r="AG56" s="2422"/>
      <c r="AH56" s="2422"/>
      <c r="AI56" s="2422"/>
      <c r="AJ56" s="2423"/>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0" t="s">
        <v>591</v>
      </c>
      <c r="C58" s="2400"/>
      <c r="D58" s="540"/>
      <c r="E58" s="2401" t="s">
        <v>2016</v>
      </c>
      <c r="F58" s="2402"/>
      <c r="G58" s="2402"/>
      <c r="H58" s="2402"/>
      <c r="I58" s="2402"/>
      <c r="J58" s="2402"/>
      <c r="K58" s="2402"/>
      <c r="L58" s="2402"/>
      <c r="M58" s="2402"/>
      <c r="N58" s="2402"/>
      <c r="O58" s="2402"/>
      <c r="P58" s="2402"/>
      <c r="Q58" s="2402"/>
      <c r="R58" s="2402"/>
      <c r="S58" s="2402"/>
      <c r="T58" s="2402"/>
      <c r="U58" s="2402"/>
      <c r="V58" s="2402"/>
      <c r="W58" s="2402"/>
      <c r="X58" s="2402"/>
      <c r="Y58" s="2402"/>
      <c r="Z58" s="2402"/>
      <c r="AA58" s="2402"/>
      <c r="AB58" s="2402"/>
      <c r="AC58" s="2402"/>
      <c r="AD58" s="2402"/>
      <c r="AE58" s="2402"/>
      <c r="AF58" s="2402"/>
      <c r="AG58" s="2402"/>
      <c r="AH58" s="2402"/>
      <c r="AI58" s="2402"/>
      <c r="AJ58" s="2403"/>
      <c r="AK58" s="540"/>
      <c r="AL58" s="540"/>
      <c r="AM58" s="540"/>
      <c r="AN58" s="535"/>
    </row>
    <row r="59" spans="1:50" s="536" customFormat="1" ht="12.75" customHeight="1">
      <c r="A59" s="540"/>
      <c r="B59" s="547"/>
      <c r="C59" s="547"/>
      <c r="D59" s="547"/>
      <c r="E59" s="2404"/>
      <c r="F59" s="2405"/>
      <c r="G59" s="2405"/>
      <c r="H59" s="2405"/>
      <c r="I59" s="2405"/>
      <c r="J59" s="2405"/>
      <c r="K59" s="2405"/>
      <c r="L59" s="2405"/>
      <c r="M59" s="2405"/>
      <c r="N59" s="2405"/>
      <c r="O59" s="2405"/>
      <c r="P59" s="2405"/>
      <c r="Q59" s="2405"/>
      <c r="R59" s="2405"/>
      <c r="S59" s="2405"/>
      <c r="T59" s="2405"/>
      <c r="U59" s="2405"/>
      <c r="V59" s="2405"/>
      <c r="W59" s="2405"/>
      <c r="X59" s="2405"/>
      <c r="Y59" s="2405"/>
      <c r="Z59" s="2405"/>
      <c r="AA59" s="2405"/>
      <c r="AB59" s="2405"/>
      <c r="AC59" s="2405"/>
      <c r="AD59" s="2405"/>
      <c r="AE59" s="2405"/>
      <c r="AF59" s="2405"/>
      <c r="AG59" s="2405"/>
      <c r="AH59" s="2405"/>
      <c r="AI59" s="2405"/>
      <c r="AJ59" s="240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3">
        <f>AO39</f>
        <v>0</v>
      </c>
      <c r="AL62" s="2434"/>
      <c r="AM62" s="2435"/>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0" t="s">
        <v>1314</v>
      </c>
      <c r="AF65" s="2410"/>
      <c r="AG65" s="2410"/>
      <c r="AH65" s="2410"/>
      <c r="AI65" s="2410"/>
      <c r="AJ65" s="2410"/>
      <c r="AK65" s="2410"/>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0"/>
      <c r="C68" s="2400"/>
      <c r="D68" s="547" t="s">
        <v>1315</v>
      </c>
      <c r="E68" s="2411" t="s">
        <v>2017</v>
      </c>
      <c r="F68" s="2412"/>
      <c r="G68" s="2412"/>
      <c r="H68" s="2412"/>
      <c r="I68" s="2412"/>
      <c r="J68" s="2412"/>
      <c r="K68" s="2412"/>
      <c r="L68" s="2412"/>
      <c r="M68" s="2412"/>
      <c r="N68" s="2412"/>
      <c r="O68" s="2412"/>
      <c r="P68" s="2412"/>
      <c r="Q68" s="2412"/>
      <c r="R68" s="2412"/>
      <c r="S68" s="2412"/>
      <c r="T68" s="2412"/>
      <c r="U68" s="2412"/>
      <c r="V68" s="2412"/>
      <c r="W68" s="2412"/>
      <c r="X68" s="2412"/>
      <c r="Y68" s="2412"/>
      <c r="Z68" s="2412"/>
      <c r="AA68" s="2412"/>
      <c r="AB68" s="2412"/>
      <c r="AC68" s="2412"/>
      <c r="AD68" s="2412"/>
      <c r="AE68" s="2412"/>
      <c r="AF68" s="2412"/>
      <c r="AG68" s="2412"/>
      <c r="AH68" s="2412"/>
      <c r="AI68" s="2412"/>
      <c r="AJ68" s="2413"/>
      <c r="AK68" s="543"/>
      <c r="AL68" s="540"/>
      <c r="AM68" s="540"/>
      <c r="AN68" s="535"/>
      <c r="AO68" s="550">
        <f>IF($B68="yes",10,0)</f>
        <v>0</v>
      </c>
    </row>
    <row r="69" spans="1:42" s="536" customFormat="1" ht="12.75" customHeight="1">
      <c r="A69" s="538"/>
      <c r="B69" s="540"/>
      <c r="C69" s="540"/>
      <c r="D69" s="551"/>
      <c r="E69" s="2414"/>
      <c r="F69" s="2415"/>
      <c r="G69" s="2415"/>
      <c r="H69" s="2415"/>
      <c r="I69" s="2415"/>
      <c r="J69" s="2415"/>
      <c r="K69" s="2415"/>
      <c r="L69" s="2415"/>
      <c r="M69" s="2415"/>
      <c r="N69" s="2415"/>
      <c r="O69" s="2415"/>
      <c r="P69" s="2415"/>
      <c r="Q69" s="2415"/>
      <c r="R69" s="2415"/>
      <c r="S69" s="2415"/>
      <c r="T69" s="2415"/>
      <c r="U69" s="2415"/>
      <c r="V69" s="2415"/>
      <c r="W69" s="2415"/>
      <c r="X69" s="2415"/>
      <c r="Y69" s="2415"/>
      <c r="Z69" s="2415"/>
      <c r="AA69" s="2415"/>
      <c r="AB69" s="2415"/>
      <c r="AC69" s="2415"/>
      <c r="AD69" s="2415"/>
      <c r="AE69" s="2415"/>
      <c r="AF69" s="2415"/>
      <c r="AG69" s="2415"/>
      <c r="AH69" s="2415"/>
      <c r="AI69" s="2415"/>
      <c r="AJ69" s="2416"/>
      <c r="AK69" s="543"/>
      <c r="AL69" s="540"/>
      <c r="AM69" s="540"/>
      <c r="AN69" s="535"/>
      <c r="AO69" s="550">
        <f>IF($B74="yes",10,0)</f>
        <v>10</v>
      </c>
    </row>
    <row r="70" spans="1:42" s="536" customFormat="1" ht="12.75" customHeight="1">
      <c r="A70" s="538"/>
      <c r="B70" s="540"/>
      <c r="C70" s="540"/>
      <c r="D70" s="551"/>
      <c r="E70" s="2414"/>
      <c r="F70" s="2415"/>
      <c r="G70" s="2415"/>
      <c r="H70" s="2415"/>
      <c r="I70" s="2415"/>
      <c r="J70" s="2415"/>
      <c r="K70" s="2415"/>
      <c r="L70" s="2415"/>
      <c r="M70" s="2415"/>
      <c r="N70" s="2415"/>
      <c r="O70" s="2415"/>
      <c r="P70" s="2415"/>
      <c r="Q70" s="2415"/>
      <c r="R70" s="2415"/>
      <c r="S70" s="2415"/>
      <c r="T70" s="2415"/>
      <c r="U70" s="2415"/>
      <c r="V70" s="2415"/>
      <c r="W70" s="2415"/>
      <c r="X70" s="2415"/>
      <c r="Y70" s="2415"/>
      <c r="Z70" s="2415"/>
      <c r="AA70" s="2415"/>
      <c r="AB70" s="2415"/>
      <c r="AC70" s="2415"/>
      <c r="AD70" s="2415"/>
      <c r="AE70" s="2415"/>
      <c r="AF70" s="2415"/>
      <c r="AG70" s="2415"/>
      <c r="AH70" s="2415"/>
      <c r="AI70" s="2415"/>
      <c r="AJ70" s="2416"/>
      <c r="AK70" s="543"/>
      <c r="AL70" s="540"/>
      <c r="AM70" s="540"/>
      <c r="AN70" s="535"/>
      <c r="AO70" s="550">
        <f>IF($B81="yes",10,0)</f>
        <v>0</v>
      </c>
    </row>
    <row r="71" spans="1:42" s="536" customFormat="1" ht="12.75" customHeight="1">
      <c r="A71" s="538"/>
      <c r="B71" s="540"/>
      <c r="C71" s="540"/>
      <c r="D71" s="551"/>
      <c r="E71" s="2414"/>
      <c r="F71" s="2415"/>
      <c r="G71" s="2415"/>
      <c r="H71" s="2415"/>
      <c r="I71" s="2415"/>
      <c r="J71" s="2415"/>
      <c r="K71" s="2415"/>
      <c r="L71" s="2415"/>
      <c r="M71" s="2415"/>
      <c r="N71" s="2415"/>
      <c r="O71" s="2415"/>
      <c r="P71" s="2415"/>
      <c r="Q71" s="2415"/>
      <c r="R71" s="2415"/>
      <c r="S71" s="2415"/>
      <c r="T71" s="2415"/>
      <c r="U71" s="2415"/>
      <c r="V71" s="2415"/>
      <c r="W71" s="2415"/>
      <c r="X71" s="2415"/>
      <c r="Y71" s="2415"/>
      <c r="Z71" s="2415"/>
      <c r="AA71" s="2415"/>
      <c r="AB71" s="2415"/>
      <c r="AC71" s="2415"/>
      <c r="AD71" s="2415"/>
      <c r="AE71" s="2415"/>
      <c r="AF71" s="2415"/>
      <c r="AG71" s="2415"/>
      <c r="AH71" s="2415"/>
      <c r="AI71" s="2415"/>
      <c r="AJ71" s="2416"/>
      <c r="AK71" s="543"/>
      <c r="AL71" s="540"/>
      <c r="AM71" s="540"/>
      <c r="AN71" s="535"/>
      <c r="AO71" s="536">
        <f>IF(SUM(AO68:AO70)&gt;10,10,(SUM(AO68:AO70)))</f>
        <v>10</v>
      </c>
      <c r="AP71" s="574" t="s">
        <v>1316</v>
      </c>
    </row>
    <row r="72" spans="1:42" s="536" customFormat="1" ht="12.75" customHeight="1">
      <c r="A72" s="538"/>
      <c r="B72" s="540"/>
      <c r="C72" s="540"/>
      <c r="D72" s="551"/>
      <c r="E72" s="2417"/>
      <c r="F72" s="2418"/>
      <c r="G72" s="2418"/>
      <c r="H72" s="2418"/>
      <c r="I72" s="2418"/>
      <c r="J72" s="2418"/>
      <c r="K72" s="2418"/>
      <c r="L72" s="2418"/>
      <c r="M72" s="2418"/>
      <c r="N72" s="2418"/>
      <c r="O72" s="2418"/>
      <c r="P72" s="2418"/>
      <c r="Q72" s="2418"/>
      <c r="R72" s="2418"/>
      <c r="S72" s="2418"/>
      <c r="T72" s="2418"/>
      <c r="U72" s="2418"/>
      <c r="V72" s="2418"/>
      <c r="W72" s="2418"/>
      <c r="X72" s="2418"/>
      <c r="Y72" s="2418"/>
      <c r="Z72" s="2418"/>
      <c r="AA72" s="2418"/>
      <c r="AB72" s="2418"/>
      <c r="AC72" s="2418"/>
      <c r="AD72" s="2418"/>
      <c r="AE72" s="2418"/>
      <c r="AF72" s="2418"/>
      <c r="AG72" s="2418"/>
      <c r="AH72" s="2418"/>
      <c r="AI72" s="2418"/>
      <c r="AJ72" s="2419"/>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0" t="s">
        <v>545</v>
      </c>
      <c r="C74" s="2400"/>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0" t="s">
        <v>591</v>
      </c>
      <c r="F75" s="2400"/>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8" t="s">
        <v>545</v>
      </c>
      <c r="F76" s="2399"/>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8" t="s">
        <v>591</v>
      </c>
      <c r="F77" s="2399"/>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0" t="s">
        <v>591</v>
      </c>
      <c r="F79" s="2400"/>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0" t="s">
        <v>591</v>
      </c>
      <c r="C81" s="2400"/>
      <c r="D81" s="547" t="s">
        <v>1320</v>
      </c>
      <c r="E81" s="2401" t="s">
        <v>1740</v>
      </c>
      <c r="F81" s="2402"/>
      <c r="G81" s="2402"/>
      <c r="H81" s="2402"/>
      <c r="I81" s="2402"/>
      <c r="J81" s="2402"/>
      <c r="K81" s="2402"/>
      <c r="L81" s="2402"/>
      <c r="M81" s="2402"/>
      <c r="N81" s="2402"/>
      <c r="O81" s="2402"/>
      <c r="P81" s="2402"/>
      <c r="Q81" s="2402"/>
      <c r="R81" s="2402"/>
      <c r="S81" s="2402"/>
      <c r="T81" s="2402"/>
      <c r="U81" s="2402"/>
      <c r="V81" s="2402"/>
      <c r="W81" s="2402"/>
      <c r="X81" s="2402"/>
      <c r="Y81" s="2402"/>
      <c r="Z81" s="2402"/>
      <c r="AA81" s="2402"/>
      <c r="AB81" s="2402"/>
      <c r="AC81" s="2402"/>
      <c r="AD81" s="2402"/>
      <c r="AE81" s="2402"/>
      <c r="AF81" s="2402"/>
      <c r="AG81" s="2402"/>
      <c r="AH81" s="2402"/>
      <c r="AI81" s="2402"/>
      <c r="AJ81" s="2403"/>
      <c r="AK81" s="543"/>
      <c r="AL81" s="540"/>
      <c r="AM81" s="540"/>
      <c r="AN81" s="535"/>
    </row>
    <row r="82" spans="1:43" s="536" customFormat="1" ht="12.75" customHeight="1">
      <c r="A82" s="538"/>
      <c r="B82" s="540"/>
      <c r="C82" s="540"/>
      <c r="D82" s="550"/>
      <c r="E82" s="2404"/>
      <c r="F82" s="2405"/>
      <c r="G82" s="2405"/>
      <c r="H82" s="2405"/>
      <c r="I82" s="2405"/>
      <c r="J82" s="2405"/>
      <c r="K82" s="2405"/>
      <c r="L82" s="2405"/>
      <c r="M82" s="2405"/>
      <c r="N82" s="2405"/>
      <c r="O82" s="2405"/>
      <c r="P82" s="2405"/>
      <c r="Q82" s="2405"/>
      <c r="R82" s="2405"/>
      <c r="S82" s="2405"/>
      <c r="T82" s="2405"/>
      <c r="U82" s="2405"/>
      <c r="V82" s="2405"/>
      <c r="W82" s="2405"/>
      <c r="X82" s="2405"/>
      <c r="Y82" s="2405"/>
      <c r="Z82" s="2405"/>
      <c r="AA82" s="2405"/>
      <c r="AB82" s="2405"/>
      <c r="AC82" s="2405"/>
      <c r="AD82" s="2405"/>
      <c r="AE82" s="2405"/>
      <c r="AF82" s="2405"/>
      <c r="AG82" s="2405"/>
      <c r="AH82" s="2405"/>
      <c r="AI82" s="2405"/>
      <c r="AJ82" s="240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3">
        <f>IF(AK62&gt;0,0,AO71)</f>
        <v>10</v>
      </c>
      <c r="AL84" s="2434"/>
      <c r="AM84" s="2435"/>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0" t="s">
        <v>1305</v>
      </c>
      <c r="AF87" s="2410"/>
      <c r="AG87" s="2410"/>
      <c r="AH87" s="2410"/>
      <c r="AI87" s="2410"/>
      <c r="AJ87" s="2410"/>
      <c r="AK87" s="2410"/>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0" t="s">
        <v>591</v>
      </c>
      <c r="C90" s="2400"/>
      <c r="D90" s="547" t="s">
        <v>1315</v>
      </c>
      <c r="E90" s="2411" t="s">
        <v>1325</v>
      </c>
      <c r="F90" s="2412"/>
      <c r="G90" s="2412"/>
      <c r="H90" s="2412"/>
      <c r="I90" s="2412"/>
      <c r="J90" s="2412"/>
      <c r="K90" s="2412"/>
      <c r="L90" s="2412"/>
      <c r="M90" s="2412"/>
      <c r="N90" s="2412"/>
      <c r="O90" s="2412"/>
      <c r="P90" s="2412"/>
      <c r="Q90" s="2412"/>
      <c r="R90" s="2412"/>
      <c r="S90" s="2412"/>
      <c r="T90" s="2412"/>
      <c r="U90" s="2412"/>
      <c r="V90" s="2412"/>
      <c r="W90" s="2412"/>
      <c r="X90" s="2412"/>
      <c r="Y90" s="2412"/>
      <c r="Z90" s="2412"/>
      <c r="AA90" s="2412"/>
      <c r="AB90" s="2412"/>
      <c r="AC90" s="2412"/>
      <c r="AD90" s="2412"/>
      <c r="AE90" s="2412"/>
      <c r="AF90" s="2412"/>
      <c r="AG90" s="2412"/>
      <c r="AH90" s="2412"/>
      <c r="AI90" s="2412"/>
      <c r="AJ90" s="2413"/>
      <c r="AK90" s="543"/>
      <c r="AL90" s="540"/>
      <c r="AM90" s="540"/>
      <c r="AN90" s="535"/>
    </row>
    <row r="91" spans="1:43" s="536" customFormat="1" ht="12.75" customHeight="1">
      <c r="A91" s="538"/>
      <c r="B91" s="539"/>
      <c r="C91" s="539"/>
      <c r="D91" s="539"/>
      <c r="E91" s="2414"/>
      <c r="F91" s="2415"/>
      <c r="G91" s="2415"/>
      <c r="H91" s="2415"/>
      <c r="I91" s="2415"/>
      <c r="J91" s="2415"/>
      <c r="K91" s="2415"/>
      <c r="L91" s="2415"/>
      <c r="M91" s="2415"/>
      <c r="N91" s="2415"/>
      <c r="O91" s="2415"/>
      <c r="P91" s="2415"/>
      <c r="Q91" s="2415"/>
      <c r="R91" s="2415"/>
      <c r="S91" s="2415"/>
      <c r="T91" s="2415"/>
      <c r="U91" s="2415"/>
      <c r="V91" s="2415"/>
      <c r="W91" s="2415"/>
      <c r="X91" s="2415"/>
      <c r="Y91" s="2415"/>
      <c r="Z91" s="2415"/>
      <c r="AA91" s="2415"/>
      <c r="AB91" s="2415"/>
      <c r="AC91" s="2415"/>
      <c r="AD91" s="2415"/>
      <c r="AE91" s="2415"/>
      <c r="AF91" s="2415"/>
      <c r="AG91" s="2415"/>
      <c r="AH91" s="2415"/>
      <c r="AI91" s="2415"/>
      <c r="AJ91" s="2416"/>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4">
        <f>Application!AC753</f>
        <v>0.57580645161290323</v>
      </c>
      <c r="F93" s="2395"/>
      <c r="G93" s="2395"/>
      <c r="H93" s="2395"/>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6">
        <f>0.6-ROUNDUP(E93,2)</f>
        <v>2.0000000000000018E-2</v>
      </c>
      <c r="F94" s="2397"/>
      <c r="G94" s="2397"/>
      <c r="H94" s="2397"/>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7">
        <f>IF(E94*200&gt;20,20,E94*200)</f>
        <v>4.0000000000000036</v>
      </c>
      <c r="F95" s="2428"/>
      <c r="G95" s="2428"/>
      <c r="H95" s="2428"/>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0" t="s">
        <v>545</v>
      </c>
      <c r="C98" s="2400"/>
      <c r="D98" s="547" t="s">
        <v>1317</v>
      </c>
      <c r="E98" s="2411" t="s">
        <v>1725</v>
      </c>
      <c r="F98" s="2412"/>
      <c r="G98" s="2412"/>
      <c r="H98" s="2412"/>
      <c r="I98" s="2412"/>
      <c r="J98" s="2412"/>
      <c r="K98" s="2412"/>
      <c r="L98" s="2412"/>
      <c r="M98" s="2412"/>
      <c r="N98" s="2412"/>
      <c r="O98" s="2412"/>
      <c r="P98" s="2412"/>
      <c r="Q98" s="2412"/>
      <c r="R98" s="2412"/>
      <c r="S98" s="2412"/>
      <c r="T98" s="2412"/>
      <c r="U98" s="2412"/>
      <c r="V98" s="2412"/>
      <c r="W98" s="2412"/>
      <c r="X98" s="2412"/>
      <c r="Y98" s="2412"/>
      <c r="Z98" s="2412"/>
      <c r="AA98" s="2412"/>
      <c r="AB98" s="2412"/>
      <c r="AC98" s="2412"/>
      <c r="AD98" s="2412"/>
      <c r="AE98" s="2412"/>
      <c r="AF98" s="2412"/>
      <c r="AG98" s="2412"/>
      <c r="AH98" s="2412"/>
      <c r="AI98" s="2412"/>
      <c r="AJ98" s="2413"/>
      <c r="AK98" s="543"/>
      <c r="AL98" s="540"/>
      <c r="AM98" s="540"/>
      <c r="AN98" s="535"/>
    </row>
    <row r="99" spans="1:47" s="536" customFormat="1" ht="12.75" customHeight="1">
      <c r="A99" s="538"/>
      <c r="B99" s="539"/>
      <c r="C99" s="539"/>
      <c r="D99" s="539"/>
      <c r="E99" s="2414"/>
      <c r="F99" s="2415"/>
      <c r="G99" s="2415"/>
      <c r="H99" s="2415"/>
      <c r="I99" s="2415"/>
      <c r="J99" s="2415"/>
      <c r="K99" s="2415"/>
      <c r="L99" s="2415"/>
      <c r="M99" s="2415"/>
      <c r="N99" s="2415"/>
      <c r="O99" s="2415"/>
      <c r="P99" s="2415"/>
      <c r="Q99" s="2415"/>
      <c r="R99" s="2415"/>
      <c r="S99" s="2415"/>
      <c r="T99" s="2415"/>
      <c r="U99" s="2415"/>
      <c r="V99" s="2415"/>
      <c r="W99" s="2415"/>
      <c r="X99" s="2415"/>
      <c r="Y99" s="2415"/>
      <c r="Z99" s="2415"/>
      <c r="AA99" s="2415"/>
      <c r="AB99" s="2415"/>
      <c r="AC99" s="2415"/>
      <c r="AD99" s="2415"/>
      <c r="AE99" s="2415"/>
      <c r="AF99" s="2415"/>
      <c r="AG99" s="2415"/>
      <c r="AH99" s="2415"/>
      <c r="AI99" s="2415"/>
      <c r="AJ99" s="2416"/>
      <c r="AK99" s="543"/>
      <c r="AL99" s="540"/>
      <c r="AM99" s="540"/>
      <c r="AN99" s="535"/>
    </row>
    <row r="100" spans="1:47" s="536" customFormat="1" ht="12.75" customHeight="1">
      <c r="A100" s="538"/>
      <c r="B100" s="539"/>
      <c r="C100" s="539"/>
      <c r="D100" s="539"/>
      <c r="E100" s="2414"/>
      <c r="F100" s="2415"/>
      <c r="G100" s="2415"/>
      <c r="H100" s="2415"/>
      <c r="I100" s="2415"/>
      <c r="J100" s="2415"/>
      <c r="K100" s="2415"/>
      <c r="L100" s="2415"/>
      <c r="M100" s="2415"/>
      <c r="N100" s="2415"/>
      <c r="O100" s="2415"/>
      <c r="P100" s="2415"/>
      <c r="Q100" s="2415"/>
      <c r="R100" s="2415"/>
      <c r="S100" s="2415"/>
      <c r="T100" s="2415"/>
      <c r="U100" s="2415"/>
      <c r="V100" s="2415"/>
      <c r="W100" s="2415"/>
      <c r="X100" s="2415"/>
      <c r="Y100" s="2415"/>
      <c r="Z100" s="2415"/>
      <c r="AA100" s="2415"/>
      <c r="AB100" s="2415"/>
      <c r="AC100" s="2415"/>
      <c r="AD100" s="2415"/>
      <c r="AE100" s="2415"/>
      <c r="AF100" s="2415"/>
      <c r="AG100" s="2415"/>
      <c r="AH100" s="2415"/>
      <c r="AI100" s="2415"/>
      <c r="AJ100" s="2416"/>
      <c r="AK100" s="543"/>
      <c r="AL100" s="540"/>
      <c r="AM100" s="540"/>
      <c r="AN100" s="535"/>
    </row>
    <row r="101" spans="1:47" s="536" customFormat="1" ht="12.75" customHeight="1">
      <c r="A101" s="538"/>
      <c r="B101" s="539"/>
      <c r="C101" s="539"/>
      <c r="D101" s="539"/>
      <c r="E101" s="2414"/>
      <c r="F101" s="2415"/>
      <c r="G101" s="2415"/>
      <c r="H101" s="2415"/>
      <c r="I101" s="2415"/>
      <c r="J101" s="2415"/>
      <c r="K101" s="2415"/>
      <c r="L101" s="2415"/>
      <c r="M101" s="2415"/>
      <c r="N101" s="2415"/>
      <c r="O101" s="2415"/>
      <c r="P101" s="2415"/>
      <c r="Q101" s="2415"/>
      <c r="R101" s="2415"/>
      <c r="S101" s="2415"/>
      <c r="T101" s="2415"/>
      <c r="U101" s="2415"/>
      <c r="V101" s="2415"/>
      <c r="W101" s="2415"/>
      <c r="X101" s="2415"/>
      <c r="Y101" s="2415"/>
      <c r="Z101" s="2415"/>
      <c r="AA101" s="2415"/>
      <c r="AB101" s="2415"/>
      <c r="AC101" s="2415"/>
      <c r="AD101" s="2415"/>
      <c r="AE101" s="2415"/>
      <c r="AF101" s="2415"/>
      <c r="AG101" s="2415"/>
      <c r="AH101" s="2415"/>
      <c r="AI101" s="2415"/>
      <c r="AJ101" s="2416"/>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4">
        <f>Application!AC753</f>
        <v>0.57580645161290323</v>
      </c>
      <c r="F103" s="2395"/>
      <c r="G103" s="2395"/>
      <c r="H103" s="2395"/>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4">
        <f ca="1">SUMIF(Application!AC718:AG752,0.2,Application!G718:J752)/Application!G753+SUMIF(Application!AC718:AG752,0.25,Application!G718:J752)/Application!G753+SUMIF(Application!AC718:AG752,0.3,Application!G718:J752)/Application!G753</f>
        <v>0.11290322580645161</v>
      </c>
      <c r="F104" s="2395"/>
      <c r="G104" s="2395"/>
      <c r="H104" s="2395"/>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4">
        <f ca="1">SUMIF(Application!AC718:AG752,0.35,Application!G718:J752)/Application!G753+SUMIF(Application!AC718:AG752,0.4,Application!G718:J752)/Application!G753+SUMIF(Application!AC718:AG752,0.45,Application!G718:J752)/Application!G753+SUMIF(Application!AC718:AG752,0.5,Application!G718:J752)/Application!G753</f>
        <v>0.39516129032258063</v>
      </c>
      <c r="F105" s="2395"/>
      <c r="G105" s="2395"/>
      <c r="H105" s="2395"/>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2">
        <f ca="1">IF(AND(E103&lt;=0.6,OR(AND(E104&gt;=0.1,E105&gt;=0.1),AND(E104&gt;0.1,(E104+E105)&gt;=0.2))),20,0)</f>
        <v>20</v>
      </c>
      <c r="F106" s="2453"/>
      <c r="G106" s="2453"/>
      <c r="H106" s="2453"/>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3">
        <f ca="1">MAX(AP95,AP106)</f>
        <v>20</v>
      </c>
      <c r="AL109" s="2434"/>
      <c r="AM109" s="2435"/>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0" t="s">
        <v>1314</v>
      </c>
      <c r="AF112" s="2410"/>
      <c r="AG112" s="2410"/>
      <c r="AH112" s="2410"/>
      <c r="AI112" s="2410"/>
      <c r="AJ112" s="2410"/>
      <c r="AK112" s="2410"/>
      <c r="AL112" s="540"/>
      <c r="AM112" s="540"/>
      <c r="AN112" s="535"/>
      <c r="AO112" s="536" t="str">
        <f>Application!B718</f>
        <v>1 Bedroom</v>
      </c>
      <c r="AQ112" s="536">
        <f>Application!O718</f>
        <v>1063</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1226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1465</v>
      </c>
    </row>
    <row r="115" spans="1:52" s="536" customFormat="1" ht="12.75" customHeight="1">
      <c r="A115" s="540"/>
      <c r="B115" s="2400" t="s">
        <v>591</v>
      </c>
      <c r="C115" s="2400"/>
      <c r="D115" s="547" t="s">
        <v>1315</v>
      </c>
      <c r="E115" s="2411" t="s">
        <v>1858</v>
      </c>
      <c r="F115" s="2412"/>
      <c r="G115" s="2412"/>
      <c r="H115" s="2412"/>
      <c r="I115" s="2412"/>
      <c r="J115" s="2412"/>
      <c r="K115" s="2412"/>
      <c r="L115" s="2412"/>
      <c r="M115" s="2412"/>
      <c r="N115" s="2412"/>
      <c r="O115" s="2412"/>
      <c r="P115" s="2412"/>
      <c r="Q115" s="2412"/>
      <c r="R115" s="2412"/>
      <c r="S115" s="2412"/>
      <c r="T115" s="2412"/>
      <c r="U115" s="2412"/>
      <c r="V115" s="2412"/>
      <c r="W115" s="2412"/>
      <c r="X115" s="2412"/>
      <c r="Y115" s="2412"/>
      <c r="Z115" s="2412"/>
      <c r="AA115" s="2412"/>
      <c r="AB115" s="2412"/>
      <c r="AC115" s="2412"/>
      <c r="AD115" s="2412"/>
      <c r="AE115" s="2412"/>
      <c r="AF115" s="2412"/>
      <c r="AG115" s="2412"/>
      <c r="AH115" s="2412"/>
      <c r="AI115" s="2412"/>
      <c r="AJ115" s="2413"/>
      <c r="AK115" s="540"/>
      <c r="AL115" s="540"/>
      <c r="AM115" s="540"/>
      <c r="AN115" s="535"/>
      <c r="AO115" s="536" t="str">
        <f>Application!B721</f>
        <v>1 Bedroom</v>
      </c>
      <c r="AQ115" s="536">
        <f>Application!O721</f>
        <v>1788</v>
      </c>
      <c r="AU115" s="536" t="s">
        <v>1840</v>
      </c>
      <c r="AV115" s="595" t="s">
        <v>1841</v>
      </c>
      <c r="AW115" s="536" t="s">
        <v>1842</v>
      </c>
    </row>
    <row r="116" spans="1:52" s="536" customFormat="1" ht="12.75" customHeight="1">
      <c r="A116" s="540"/>
      <c r="B116" s="539"/>
      <c r="C116" s="539"/>
      <c r="D116" s="539"/>
      <c r="E116" s="2414"/>
      <c r="F116" s="2415"/>
      <c r="G116" s="2415"/>
      <c r="H116" s="2415"/>
      <c r="I116" s="2415"/>
      <c r="J116" s="2415"/>
      <c r="K116" s="2415"/>
      <c r="L116" s="2415"/>
      <c r="M116" s="2415"/>
      <c r="N116" s="2415"/>
      <c r="O116" s="2415"/>
      <c r="P116" s="2415"/>
      <c r="Q116" s="2415"/>
      <c r="R116" s="2415"/>
      <c r="S116" s="2415"/>
      <c r="T116" s="2415"/>
      <c r="U116" s="2415"/>
      <c r="V116" s="2415"/>
      <c r="W116" s="2415"/>
      <c r="X116" s="2415"/>
      <c r="Y116" s="2415"/>
      <c r="Z116" s="2415"/>
      <c r="AA116" s="2415"/>
      <c r="AB116" s="2415"/>
      <c r="AC116" s="2415"/>
      <c r="AD116" s="2415"/>
      <c r="AE116" s="2415"/>
      <c r="AF116" s="2415"/>
      <c r="AG116" s="2415"/>
      <c r="AH116" s="2415"/>
      <c r="AI116" s="2415"/>
      <c r="AJ116" s="2416"/>
      <c r="AK116" s="540"/>
      <c r="AL116" s="540"/>
      <c r="AM116" s="540"/>
      <c r="AN116" s="535"/>
      <c r="AO116" s="536" t="str">
        <f>Application!B722</f>
        <v>2 Bedrooms</v>
      </c>
      <c r="AQ116" s="536">
        <f>Application!O722</f>
        <v>2097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4"/>
      <c r="F117" s="2415"/>
      <c r="G117" s="2415"/>
      <c r="H117" s="2415"/>
      <c r="I117" s="2415"/>
      <c r="J117" s="2415"/>
      <c r="K117" s="2415"/>
      <c r="L117" s="2415"/>
      <c r="M117" s="2415"/>
      <c r="N117" s="2415"/>
      <c r="O117" s="2415"/>
      <c r="P117" s="2415"/>
      <c r="Q117" s="2415"/>
      <c r="R117" s="2415"/>
      <c r="S117" s="2415"/>
      <c r="T117" s="2415"/>
      <c r="U117" s="2415"/>
      <c r="V117" s="2415"/>
      <c r="W117" s="2415"/>
      <c r="X117" s="2415"/>
      <c r="Y117" s="2415"/>
      <c r="Z117" s="2415"/>
      <c r="AA117" s="2415"/>
      <c r="AB117" s="2415"/>
      <c r="AC117" s="2415"/>
      <c r="AD117" s="2415"/>
      <c r="AE117" s="2415"/>
      <c r="AF117" s="2415"/>
      <c r="AG117" s="2415"/>
      <c r="AH117" s="2415"/>
      <c r="AI117" s="2415"/>
      <c r="AJ117" s="2416"/>
      <c r="AK117" s="540"/>
      <c r="AL117" s="540"/>
      <c r="AM117" s="540"/>
      <c r="AN117" s="535"/>
      <c r="AO117" s="536" t="str">
        <f>Application!B723</f>
        <v>3 Bedrooms</v>
      </c>
      <c r="AQ117" s="536">
        <f>Application!O723</f>
        <v>2471</v>
      </c>
      <c r="AU117" s="856" t="str">
        <f>J124</f>
        <v>1-bedroom</v>
      </c>
      <c r="AV117" s="536">
        <f t="array" ref="AV117">SUM(IF(Application!B718:F752="1 Bedroom",Application!G718:J752))</f>
        <v>45</v>
      </c>
      <c r="AW117" s="1011">
        <f>AV117/AV122</f>
        <v>0.36290322580645162</v>
      </c>
    </row>
    <row r="118" spans="1:52" s="536" customFormat="1" ht="12.75" customHeight="1">
      <c r="A118" s="540"/>
      <c r="B118" s="539"/>
      <c r="C118" s="539"/>
      <c r="D118" s="539"/>
      <c r="E118" s="2414"/>
      <c r="F118" s="2415"/>
      <c r="G118" s="2415"/>
      <c r="H118" s="2415"/>
      <c r="I118" s="2415"/>
      <c r="J118" s="2415"/>
      <c r="K118" s="2415"/>
      <c r="L118" s="2415"/>
      <c r="M118" s="2415"/>
      <c r="N118" s="2415"/>
      <c r="O118" s="2415"/>
      <c r="P118" s="2415"/>
      <c r="Q118" s="2415"/>
      <c r="R118" s="2415"/>
      <c r="S118" s="2415"/>
      <c r="T118" s="2415"/>
      <c r="U118" s="2415"/>
      <c r="V118" s="2415"/>
      <c r="W118" s="2415"/>
      <c r="X118" s="2415"/>
      <c r="Y118" s="2415"/>
      <c r="Z118" s="2415"/>
      <c r="AA118" s="2415"/>
      <c r="AB118" s="2415"/>
      <c r="AC118" s="2415"/>
      <c r="AD118" s="2415"/>
      <c r="AE118" s="2415"/>
      <c r="AF118" s="2415"/>
      <c r="AG118" s="2415"/>
      <c r="AH118" s="2415"/>
      <c r="AI118" s="2415"/>
      <c r="AJ118" s="2416"/>
      <c r="AK118" s="540"/>
      <c r="AL118" s="540"/>
      <c r="AM118" s="540"/>
      <c r="AN118" s="535"/>
      <c r="AO118" s="536" t="str">
        <f>Application!B724</f>
        <v>1 Bedroom</v>
      </c>
      <c r="AQ118" s="536">
        <f>Application!O724</f>
        <v>2514</v>
      </c>
      <c r="AU118" s="856" t="str">
        <f>O124</f>
        <v>2-bedroom</v>
      </c>
      <c r="AV118" s="536">
        <f t="array" ref="AV118">SUM(IF(Application!B718:F752="2 Bedrooms",Application!G718:J752))</f>
        <v>47</v>
      </c>
      <c r="AW118" s="1011">
        <f>AV118/AV122</f>
        <v>0.37903225806451613</v>
      </c>
    </row>
    <row r="119" spans="1:52" s="536" customFormat="1" ht="12.75" customHeight="1">
      <c r="A119" s="540"/>
      <c r="B119" s="539"/>
      <c r="C119" s="539"/>
      <c r="D119" s="539"/>
      <c r="E119" s="2414"/>
      <c r="F119" s="2415"/>
      <c r="G119" s="2415"/>
      <c r="H119" s="2415"/>
      <c r="I119" s="2415"/>
      <c r="J119" s="2415"/>
      <c r="K119" s="2415"/>
      <c r="L119" s="2415"/>
      <c r="M119" s="2415"/>
      <c r="N119" s="2415"/>
      <c r="O119" s="2415"/>
      <c r="P119" s="2415"/>
      <c r="Q119" s="2415"/>
      <c r="R119" s="2415"/>
      <c r="S119" s="2415"/>
      <c r="T119" s="2415"/>
      <c r="U119" s="2415"/>
      <c r="V119" s="2415"/>
      <c r="W119" s="2415"/>
      <c r="X119" s="2415"/>
      <c r="Y119" s="2415"/>
      <c r="Z119" s="2415"/>
      <c r="AA119" s="2415"/>
      <c r="AB119" s="2415"/>
      <c r="AC119" s="2415"/>
      <c r="AD119" s="2415"/>
      <c r="AE119" s="2415"/>
      <c r="AF119" s="2415"/>
      <c r="AG119" s="2415"/>
      <c r="AH119" s="2415"/>
      <c r="AI119" s="2415"/>
      <c r="AJ119" s="2416"/>
      <c r="AK119" s="540"/>
      <c r="AL119" s="540"/>
      <c r="AM119" s="540"/>
      <c r="AN119" s="535"/>
      <c r="AO119" s="536" t="str">
        <f>Application!B725</f>
        <v>2 Bedrooms</v>
      </c>
      <c r="AQ119" s="536">
        <f>Application!O725</f>
        <v>2967</v>
      </c>
      <c r="AU119" s="856" t="str">
        <f>T124</f>
        <v>3-bedroom</v>
      </c>
      <c r="AV119" s="536">
        <f t="array" ref="AV119">SUM(IF(Application!B718:F752="3 Bedrooms",Application!G718:J752))</f>
        <v>32</v>
      </c>
      <c r="AW119" s="1011">
        <f>AV119/AV122</f>
        <v>0.25806451612903225</v>
      </c>
    </row>
    <row r="120" spans="1:52" s="536" customFormat="1" ht="12.75" customHeight="1">
      <c r="A120" s="540"/>
      <c r="B120" s="539"/>
      <c r="C120" s="539"/>
      <c r="D120" s="539"/>
      <c r="E120" s="2414"/>
      <c r="F120" s="2415"/>
      <c r="G120" s="2415"/>
      <c r="H120" s="2415"/>
      <c r="I120" s="2415"/>
      <c r="J120" s="2415"/>
      <c r="K120" s="2415"/>
      <c r="L120" s="2415"/>
      <c r="M120" s="2415"/>
      <c r="N120" s="2415"/>
      <c r="O120" s="2415"/>
      <c r="P120" s="2415"/>
      <c r="Q120" s="2415"/>
      <c r="R120" s="2415"/>
      <c r="S120" s="2415"/>
      <c r="T120" s="2415"/>
      <c r="U120" s="2415"/>
      <c r="V120" s="2415"/>
      <c r="W120" s="2415"/>
      <c r="X120" s="2415"/>
      <c r="Y120" s="2415"/>
      <c r="Z120" s="2415"/>
      <c r="AA120" s="2415"/>
      <c r="AB120" s="2415"/>
      <c r="AC120" s="2415"/>
      <c r="AD120" s="2415"/>
      <c r="AE120" s="2415"/>
      <c r="AF120" s="2415"/>
      <c r="AG120" s="2415"/>
      <c r="AH120" s="2415"/>
      <c r="AI120" s="2415"/>
      <c r="AJ120" s="2416"/>
      <c r="AK120" s="540"/>
      <c r="AL120" s="540"/>
      <c r="AM120" s="540"/>
      <c r="AN120" s="535"/>
      <c r="AO120" s="536" t="str">
        <f>Application!B726</f>
        <v>3 Bedrooms</v>
      </c>
      <c r="AQ120" s="536">
        <f>Application!O726</f>
        <v>3477</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4"/>
      <c r="F121" s="2415"/>
      <c r="G121" s="2415"/>
      <c r="H121" s="2415"/>
      <c r="I121" s="2415"/>
      <c r="J121" s="2415"/>
      <c r="K121" s="2415"/>
      <c r="L121" s="2415"/>
      <c r="M121" s="2415"/>
      <c r="N121" s="2415"/>
      <c r="O121" s="2415"/>
      <c r="P121" s="2415"/>
      <c r="Q121" s="2415"/>
      <c r="R121" s="2415"/>
      <c r="S121" s="2415"/>
      <c r="T121" s="2415"/>
      <c r="U121" s="2415"/>
      <c r="V121" s="2415"/>
      <c r="W121" s="2415"/>
      <c r="X121" s="2415"/>
      <c r="Y121" s="2415"/>
      <c r="Z121" s="2415"/>
      <c r="AA121" s="2415"/>
      <c r="AB121" s="2415"/>
      <c r="AC121" s="2415"/>
      <c r="AD121" s="2415"/>
      <c r="AE121" s="2415"/>
      <c r="AF121" s="2415"/>
      <c r="AG121" s="2415"/>
      <c r="AH121" s="2415"/>
      <c r="AI121" s="2415"/>
      <c r="AJ121" s="2416"/>
      <c r="AK121" s="540"/>
      <c r="AL121" s="540"/>
      <c r="AM121" s="540"/>
      <c r="AN121" s="535"/>
      <c r="AO121" s="536">
        <f>Application!B727</f>
        <v>0</v>
      </c>
      <c r="AQ121" s="536" t="str">
        <f>Application!O727</f>
        <v xml:space="preserve">  </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4"/>
      <c r="F122" s="2415"/>
      <c r="G122" s="2415"/>
      <c r="H122" s="2415"/>
      <c r="I122" s="2415"/>
      <c r="J122" s="2415"/>
      <c r="K122" s="2415"/>
      <c r="L122" s="2415"/>
      <c r="M122" s="2415"/>
      <c r="N122" s="2415"/>
      <c r="O122" s="2415"/>
      <c r="P122" s="2415"/>
      <c r="Q122" s="2415"/>
      <c r="R122" s="2415"/>
      <c r="S122" s="2415"/>
      <c r="T122" s="2415"/>
      <c r="U122" s="2415"/>
      <c r="V122" s="2415"/>
      <c r="W122" s="2415"/>
      <c r="X122" s="2415"/>
      <c r="Y122" s="2415"/>
      <c r="Z122" s="2415"/>
      <c r="AA122" s="2415"/>
      <c r="AB122" s="2415"/>
      <c r="AC122" s="2415"/>
      <c r="AD122" s="2415"/>
      <c r="AE122" s="2415"/>
      <c r="AF122" s="2415"/>
      <c r="AG122" s="2415"/>
      <c r="AH122" s="2415"/>
      <c r="AI122" s="2415"/>
      <c r="AJ122" s="2416"/>
      <c r="AK122" s="540"/>
      <c r="AL122" s="540"/>
      <c r="AM122" s="540"/>
      <c r="AN122" s="535"/>
      <c r="AO122" s="536">
        <f>Application!B728</f>
        <v>0</v>
      </c>
      <c r="AQ122" s="536">
        <f>Application!O728</f>
        <v>0</v>
      </c>
      <c r="AV122" s="536">
        <f>SUM(AV116:AV121)</f>
        <v>124</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4" t="s">
        <v>1588</v>
      </c>
      <c r="F124" s="2395"/>
      <c r="G124" s="2395"/>
      <c r="H124" s="2395"/>
      <c r="I124" s="577"/>
      <c r="J124" s="2395" t="s">
        <v>1631</v>
      </c>
      <c r="K124" s="2395"/>
      <c r="L124" s="2395"/>
      <c r="M124" s="2395"/>
      <c r="N124" s="577"/>
      <c r="O124" s="2395" t="s">
        <v>1632</v>
      </c>
      <c r="P124" s="2395"/>
      <c r="Q124" s="2395"/>
      <c r="R124" s="2395"/>
      <c r="S124" s="577"/>
      <c r="T124" s="2395" t="s">
        <v>1334</v>
      </c>
      <c r="U124" s="2395"/>
      <c r="V124" s="2395"/>
      <c r="W124" s="2395"/>
      <c r="X124" s="577"/>
      <c r="Y124" s="2395" t="s">
        <v>1633</v>
      </c>
      <c r="Z124" s="2395"/>
      <c r="AA124" s="2395"/>
      <c r="AB124" s="2395"/>
      <c r="AC124" s="577"/>
      <c r="AD124" s="2395" t="s">
        <v>1634</v>
      </c>
      <c r="AE124" s="2395"/>
      <c r="AF124" s="2395"/>
      <c r="AG124" s="2395"/>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4"/>
      <c r="F127" s="2455"/>
      <c r="G127" s="2455"/>
      <c r="H127" s="2455"/>
      <c r="I127" s="864"/>
      <c r="J127" s="2455">
        <v>2870</v>
      </c>
      <c r="K127" s="2455"/>
      <c r="L127" s="2455"/>
      <c r="M127" s="2455"/>
      <c r="N127" s="864"/>
      <c r="O127" s="2455">
        <v>3765</v>
      </c>
      <c r="P127" s="2455"/>
      <c r="Q127" s="2455"/>
      <c r="R127" s="2455"/>
      <c r="S127" s="864"/>
      <c r="T127" s="2455">
        <v>4205</v>
      </c>
      <c r="U127" s="2455"/>
      <c r="V127" s="2455"/>
      <c r="W127" s="2455"/>
      <c r="X127" s="864"/>
      <c r="Y127" s="2455"/>
      <c r="Z127" s="2455"/>
      <c r="AA127" s="2455"/>
      <c r="AB127" s="2455"/>
      <c r="AC127" s="864"/>
      <c r="AD127" s="2455"/>
      <c r="AE127" s="2455"/>
      <c r="AF127" s="2455"/>
      <c r="AG127" s="2455"/>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7">
        <f>Application!DX670</f>
        <v>0</v>
      </c>
      <c r="F130" s="2448"/>
      <c r="G130" s="2448"/>
      <c r="H130" s="2448"/>
      <c r="I130" s="864"/>
      <c r="J130" s="2448">
        <f>Application!EC670</f>
        <v>2046.2444444444445</v>
      </c>
      <c r="K130" s="2448"/>
      <c r="L130" s="2448"/>
      <c r="M130" s="2448"/>
      <c r="N130" s="864"/>
      <c r="O130" s="2448">
        <f>Application!EH670</f>
        <v>2393.0425531914893</v>
      </c>
      <c r="P130" s="2448"/>
      <c r="Q130" s="2448"/>
      <c r="R130" s="2448"/>
      <c r="S130" s="868"/>
      <c r="T130" s="2448">
        <f>Application!EM670</f>
        <v>2942.5625</v>
      </c>
      <c r="U130" s="2448"/>
      <c r="V130" s="2448"/>
      <c r="W130" s="2448"/>
      <c r="X130" s="868"/>
      <c r="Y130" s="2448">
        <f>Application!ER670</f>
        <v>0</v>
      </c>
      <c r="Z130" s="2448"/>
      <c r="AA130" s="2448"/>
      <c r="AB130" s="2448"/>
      <c r="AC130" s="868"/>
      <c r="AD130" s="2448">
        <f>Application!EW670</f>
        <v>0</v>
      </c>
      <c r="AE130" s="2448"/>
      <c r="AF130" s="2448"/>
      <c r="AG130" s="2448"/>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6" t="e">
        <f>(E127-E130)/E127</f>
        <v>#DIV/0!</v>
      </c>
      <c r="F133" s="2397"/>
      <c r="G133" s="2397"/>
      <c r="H133" s="2647"/>
      <c r="I133" s="577"/>
      <c r="J133" s="2646">
        <f>(J127-J130)/J127</f>
        <v>0.28702284165698799</v>
      </c>
      <c r="K133" s="2397"/>
      <c r="L133" s="2397"/>
      <c r="M133" s="2647"/>
      <c r="N133" s="577"/>
      <c r="O133" s="2646">
        <f>(O127-O130)/O127</f>
        <v>0.3643977282359922</v>
      </c>
      <c r="P133" s="2397"/>
      <c r="Q133" s="2397"/>
      <c r="R133" s="2647"/>
      <c r="S133" s="577"/>
      <c r="T133" s="2646">
        <f>(T127-T130)/T127</f>
        <v>0.30022294887039241</v>
      </c>
      <c r="U133" s="2397"/>
      <c r="V133" s="2397"/>
      <c r="W133" s="2647"/>
      <c r="X133" s="577"/>
      <c r="Y133" s="2646" t="e">
        <f>(Y127-Y130)/Y127</f>
        <v>#DIV/0!</v>
      </c>
      <c r="Z133" s="2397"/>
      <c r="AA133" s="2397"/>
      <c r="AB133" s="2647"/>
      <c r="AC133" s="577"/>
      <c r="AD133" s="2646" t="e">
        <f>(AD127-AD130)/AD127</f>
        <v>#DIV/0!</v>
      </c>
      <c r="AE133" s="2397"/>
      <c r="AF133" s="2397"/>
      <c r="AG133" s="264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9" t="e">
        <f>IF(((E133-0.1)*AW116)&gt;0,((E133-0.1)*AW116),0)</f>
        <v>#DIV/0!</v>
      </c>
      <c r="F136" s="2450"/>
      <c r="G136" s="2450"/>
      <c r="H136" s="2451"/>
      <c r="I136" s="577"/>
      <c r="J136" s="2449">
        <f>IF(((J133-0.1)*AW117)&gt;0,((J133-0.1)*AW117),0)</f>
        <v>6.7871192536810163E-2</v>
      </c>
      <c r="K136" s="2450"/>
      <c r="L136" s="2450"/>
      <c r="M136" s="2451"/>
      <c r="N136" s="577"/>
      <c r="O136" s="2449">
        <f>IF(((O133-0.1)*AW118)&gt;0,((O133-0.1)*AW118),0)</f>
        <v>0.10021526796041638</v>
      </c>
      <c r="P136" s="2450"/>
      <c r="Q136" s="2450"/>
      <c r="R136" s="2451"/>
      <c r="S136" s="577"/>
      <c r="T136" s="2449">
        <f>IF(((T133-0.1)*AW119)&gt;0,((T133-0.1)*AW119),0)</f>
        <v>5.1670438418165779E-2</v>
      </c>
      <c r="U136" s="2450"/>
      <c r="V136" s="2450"/>
      <c r="W136" s="2451"/>
      <c r="X136" s="577"/>
      <c r="Y136" s="2449" t="e">
        <f>IF(((Y133-0.1)*AW120)&gt;0,((Y133-0.1)*AW120),0)</f>
        <v>#DIV/0!</v>
      </c>
      <c r="Z136" s="2450"/>
      <c r="AA136" s="2450"/>
      <c r="AB136" s="2451"/>
      <c r="AC136" s="577"/>
      <c r="AD136" s="2449" t="e">
        <f>IF(((AD133-0.1)*AW121)&gt;0,((AD133-0.1)*AW121),0)</f>
        <v>#DIV/0!</v>
      </c>
      <c r="AE136" s="2450"/>
      <c r="AF136" s="2450"/>
      <c r="AG136" s="2451"/>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6">
        <f>ROUNDDOWN(SUMIF(E136:AG136,"&gt;0"),2)</f>
        <v>0.21</v>
      </c>
      <c r="F138" s="2397"/>
      <c r="G138" s="2397"/>
      <c r="H138" s="2647"/>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3">
        <f>IF((E138*100)&gt;10,10,E138*100)</f>
        <v>10</v>
      </c>
      <c r="F139" s="2434"/>
      <c r="G139" s="2434"/>
      <c r="H139" s="2435"/>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3">
        <f>E139</f>
        <v>10</v>
      </c>
      <c r="AL143" s="2434"/>
      <c r="AM143" s="2435"/>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10" t="s">
        <v>1314</v>
      </c>
      <c r="AF146" s="2410"/>
      <c r="AG146" s="2410"/>
      <c r="AH146" s="2410"/>
      <c r="AI146" s="2410"/>
      <c r="AJ146" s="2410"/>
      <c r="AK146" s="2410"/>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5" t="s">
        <v>1338</v>
      </c>
      <c r="AG148" s="2445"/>
      <c r="AH148" s="2445"/>
      <c r="AI148" s="2445"/>
      <c r="AJ148" s="2445"/>
      <c r="AK148" s="2445"/>
      <c r="AL148" s="2445"/>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6" t="str">
        <f>Application!M251</f>
        <v>PACH San Jose Holding LLC</v>
      </c>
      <c r="C150" s="2446"/>
      <c r="D150" s="2446"/>
      <c r="E150" s="2446"/>
      <c r="F150" s="2446"/>
      <c r="G150" s="2446"/>
      <c r="H150" s="2446"/>
      <c r="I150" s="2446"/>
      <c r="J150" s="2446"/>
      <c r="K150" s="2446"/>
      <c r="L150" s="2446"/>
      <c r="M150" s="2446"/>
      <c r="N150" s="2446"/>
      <c r="O150" s="2446"/>
      <c r="P150" s="2446"/>
      <c r="Q150" s="2446"/>
      <c r="R150" s="2446"/>
      <c r="S150" s="2446"/>
      <c r="T150" s="2446"/>
      <c r="U150" s="2446"/>
      <c r="V150" s="2446"/>
      <c r="W150" s="2446"/>
      <c r="X150" s="2446"/>
      <c r="Y150" s="2446"/>
      <c r="Z150" s="2446"/>
      <c r="AA150" s="2446"/>
      <c r="AB150" s="2446"/>
      <c r="AC150" s="2446"/>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2" t="s">
        <v>1341</v>
      </c>
      <c r="C153" s="2472"/>
      <c r="D153" s="2472"/>
      <c r="E153" s="2472"/>
      <c r="F153" s="2472"/>
      <c r="G153" s="2472"/>
      <c r="H153" s="2472"/>
      <c r="I153" s="2472"/>
      <c r="J153" s="2472"/>
      <c r="K153" s="2472"/>
      <c r="L153" s="2472"/>
      <c r="M153" s="2472"/>
      <c r="N153" s="2472"/>
      <c r="O153" s="2472"/>
      <c r="P153" s="2472"/>
      <c r="Q153" s="2472"/>
      <c r="R153" s="2472"/>
      <c r="S153" s="2472"/>
      <c r="T153" s="2472"/>
      <c r="U153" s="2472"/>
      <c r="V153" s="2472"/>
      <c r="W153" s="2472"/>
      <c r="X153" s="2472"/>
      <c r="Y153" s="2472"/>
      <c r="Z153" s="2472"/>
      <c r="AA153" s="2472"/>
      <c r="AB153" s="2472"/>
      <c r="AC153" s="2472"/>
      <c r="AD153" s="2472"/>
      <c r="AE153" s="2472"/>
      <c r="AF153" s="2472"/>
      <c r="AG153" s="2472"/>
      <c r="AH153" s="2472"/>
      <c r="AI153" s="2472"/>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3" t="s">
        <v>591</v>
      </c>
      <c r="AC155" s="2473"/>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2" t="s">
        <v>1343</v>
      </c>
      <c r="C158" s="2472"/>
      <c r="D158" s="2472"/>
      <c r="E158" s="2472"/>
      <c r="F158" s="2472"/>
      <c r="G158" s="2472"/>
      <c r="H158" s="2472"/>
      <c r="I158" s="2472"/>
      <c r="J158" s="2472"/>
      <c r="K158" s="2472"/>
      <c r="L158" s="2472"/>
      <c r="M158" s="2472"/>
      <c r="N158" s="2472"/>
      <c r="O158" s="2472"/>
      <c r="P158" s="2472"/>
      <c r="Q158" s="2472"/>
      <c r="R158" s="2472"/>
      <c r="S158" s="2472"/>
      <c r="T158" s="2472"/>
      <c r="U158" s="2472"/>
      <c r="V158" s="2472"/>
      <c r="W158" s="2472"/>
      <c r="X158" s="2472"/>
      <c r="Y158" s="2472"/>
      <c r="Z158" s="2472"/>
      <c r="AA158" s="2472"/>
      <c r="AB158" s="2472"/>
      <c r="AC158" s="2472"/>
      <c r="AD158" s="2472"/>
      <c r="AE158" s="2472"/>
      <c r="AF158" s="2472"/>
      <c r="AG158" s="2472"/>
      <c r="AH158" s="2472"/>
      <c r="AI158" s="2472"/>
      <c r="AJ158" s="2472"/>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3" t="s">
        <v>2474</v>
      </c>
      <c r="C161" s="2633"/>
      <c r="D161" s="2633"/>
      <c r="E161" s="2633"/>
      <c r="F161" s="2633"/>
      <c r="G161" s="2633"/>
      <c r="H161" s="2633"/>
      <c r="I161" s="2633"/>
      <c r="J161" s="2633"/>
      <c r="K161" s="2633"/>
      <c r="L161" s="2633"/>
      <c r="M161" s="2633"/>
      <c r="N161" s="2633"/>
      <c r="O161" s="2633"/>
      <c r="P161" s="2633"/>
      <c r="Q161" s="2633"/>
      <c r="R161" s="2633"/>
      <c r="S161" s="2633"/>
      <c r="T161" s="2633"/>
      <c r="U161" s="2633"/>
      <c r="V161" s="2633"/>
      <c r="W161" s="2633"/>
      <c r="X161" s="2633"/>
      <c r="Y161" s="2633"/>
      <c r="Z161" s="2633"/>
      <c r="AA161" s="2633"/>
      <c r="AB161" s="2633"/>
      <c r="AC161" s="2633"/>
      <c r="AD161" s="2633"/>
      <c r="AE161" s="2633"/>
      <c r="AF161" s="2633"/>
      <c r="AG161" s="2633"/>
      <c r="AH161" s="2633"/>
      <c r="AI161" s="2633"/>
      <c r="AJ161" s="2633"/>
      <c r="AK161" s="1180"/>
      <c r="AM161" s="539"/>
      <c r="AN161" s="535"/>
      <c r="AO161" s="476"/>
      <c r="AP161" s="489"/>
    </row>
    <row r="162" spans="1:42" s="536" customFormat="1" ht="12.75" customHeight="1">
      <c r="B162" s="2633"/>
      <c r="C162" s="2633"/>
      <c r="D162" s="2633"/>
      <c r="E162" s="2633"/>
      <c r="F162" s="2633"/>
      <c r="G162" s="2633"/>
      <c r="H162" s="2633"/>
      <c r="I162" s="2633"/>
      <c r="J162" s="2633"/>
      <c r="K162" s="2633"/>
      <c r="L162" s="2633"/>
      <c r="M162" s="2633"/>
      <c r="N162" s="2633"/>
      <c r="O162" s="2633"/>
      <c r="P162" s="2633"/>
      <c r="Q162" s="2633"/>
      <c r="R162" s="2633"/>
      <c r="S162" s="2633"/>
      <c r="T162" s="2633"/>
      <c r="U162" s="2633"/>
      <c r="V162" s="2633"/>
      <c r="W162" s="2633"/>
      <c r="X162" s="2633"/>
      <c r="Y162" s="2633"/>
      <c r="Z162" s="2633"/>
      <c r="AA162" s="2633"/>
      <c r="AB162" s="2633"/>
      <c r="AC162" s="2633"/>
      <c r="AD162" s="2633"/>
      <c r="AE162" s="2633"/>
      <c r="AF162" s="2633"/>
      <c r="AG162" s="2633"/>
      <c r="AH162" s="2633"/>
      <c r="AI162" s="2633"/>
      <c r="AJ162" s="2633"/>
      <c r="AK162" s="1180"/>
      <c r="AM162" s="539"/>
      <c r="AN162" s="535"/>
      <c r="AO162" s="476"/>
      <c r="AP162" s="489"/>
    </row>
    <row r="163" spans="1:42" s="536" customFormat="1" ht="12.75" customHeight="1">
      <c r="C163" s="2536" t="s">
        <v>2475</v>
      </c>
      <c r="D163" s="2536"/>
      <c r="E163" s="2536"/>
      <c r="F163" s="2536"/>
      <c r="G163" s="2536"/>
      <c r="H163" s="2536"/>
      <c r="I163" s="2536"/>
      <c r="J163" s="2536"/>
      <c r="K163" s="2536"/>
      <c r="L163" s="2536"/>
      <c r="M163" s="2536"/>
      <c r="N163" s="2536"/>
      <c r="O163" s="2536"/>
      <c r="P163" s="2536"/>
      <c r="Q163" s="2536"/>
      <c r="R163" s="2536"/>
      <c r="S163" s="2536"/>
      <c r="T163" s="2536"/>
      <c r="U163" s="2536"/>
      <c r="V163" s="2536"/>
      <c r="W163" s="2536"/>
      <c r="X163" s="2536"/>
      <c r="Y163" s="2536"/>
      <c r="Z163" s="2536"/>
      <c r="AA163" s="2536"/>
      <c r="AB163" s="2536"/>
      <c r="AC163" s="2536"/>
      <c r="AD163" s="2536"/>
      <c r="AE163" s="2536"/>
      <c r="AF163" s="2536"/>
      <c r="AG163" s="2536"/>
      <c r="AH163" s="2536"/>
      <c r="AI163" s="2536"/>
      <c r="AJ163" s="2536"/>
      <c r="AK163" s="1180"/>
      <c r="AM163" s="539"/>
      <c r="AN163" s="535"/>
      <c r="AO163" s="476"/>
      <c r="AP163" s="489"/>
    </row>
    <row r="164" spans="1:42" s="536" customFormat="1" ht="12.75" customHeight="1">
      <c r="B164" s="1180"/>
      <c r="C164" s="2471" t="s">
        <v>2473</v>
      </c>
      <c r="D164" s="2471"/>
      <c r="E164" s="2471"/>
      <c r="F164" s="2471"/>
      <c r="G164" s="2471"/>
      <c r="H164" s="2471"/>
      <c r="I164" s="2471"/>
      <c r="J164" s="2471"/>
      <c r="K164" s="2471"/>
      <c r="L164" s="2471"/>
      <c r="M164" s="2471"/>
      <c r="N164" s="2471"/>
      <c r="O164" s="2471"/>
      <c r="P164" s="2471"/>
      <c r="Q164" s="2471"/>
      <c r="R164" s="2471"/>
      <c r="S164" s="2471"/>
      <c r="T164" s="2471"/>
      <c r="U164" s="2471"/>
      <c r="V164" s="2471"/>
      <c r="W164" s="2471"/>
      <c r="X164" s="2471"/>
      <c r="Y164" s="2471"/>
      <c r="Z164" s="2471"/>
      <c r="AA164" s="1170"/>
      <c r="AB164" s="1170"/>
      <c r="AC164" s="1170"/>
      <c r="AD164" s="1170"/>
      <c r="AE164" s="1170"/>
      <c r="AF164" s="1170"/>
      <c r="AG164" s="1170"/>
      <c r="AH164" s="1170"/>
      <c r="AJ164" s="2473" t="s">
        <v>591</v>
      </c>
      <c r="AK164" s="2473"/>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6">
        <f>IF($AB$155="N/A",VLOOKUP($B$153,$AO$151:$AP$154,2,FALSE),VLOOKUP($B$158,$AO$156:$AP$158,2,FALSE))</f>
        <v>7</v>
      </c>
      <c r="AK166" s="2476"/>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5" t="s">
        <v>1352</v>
      </c>
      <c r="AG168" s="2445"/>
      <c r="AH168" s="2445"/>
      <c r="AI168" s="2445"/>
      <c r="AJ168" s="2445"/>
      <c r="AK168" s="2445"/>
      <c r="AL168" s="2445"/>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2" t="s">
        <v>1350</v>
      </c>
      <c r="D170" s="2472"/>
      <c r="E170" s="2472"/>
      <c r="F170" s="2472"/>
      <c r="G170" s="2472"/>
      <c r="H170" s="2472"/>
      <c r="I170" s="2472"/>
      <c r="J170" s="2472"/>
      <c r="K170" s="2472"/>
      <c r="L170" s="2472"/>
      <c r="M170" s="2472"/>
      <c r="N170" s="2472"/>
      <c r="O170" s="2472"/>
      <c r="P170" s="2472"/>
      <c r="Q170" s="2472"/>
      <c r="R170" s="2472"/>
      <c r="S170" s="2472"/>
      <c r="T170" s="2472"/>
      <c r="U170" s="2472"/>
      <c r="V170" s="2472"/>
      <c r="W170" s="2472"/>
      <c r="X170" s="2472"/>
      <c r="Y170" s="2472"/>
      <c r="Z170" s="2472"/>
      <c r="AA170" s="2472"/>
      <c r="AB170" s="2472"/>
      <c r="AC170" s="2472"/>
      <c r="AD170" s="2472"/>
      <c r="AE170" s="2472"/>
      <c r="AF170" s="2472"/>
      <c r="AG170" s="2472"/>
      <c r="AH170" s="2472"/>
      <c r="AI170" s="2472"/>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3" t="s">
        <v>591</v>
      </c>
      <c r="AG172" s="2473"/>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2" t="s">
        <v>1343</v>
      </c>
      <c r="D174" s="2472"/>
      <c r="E174" s="2472"/>
      <c r="F174" s="2472"/>
      <c r="G174" s="2472"/>
      <c r="H174" s="2472"/>
      <c r="I174" s="2472"/>
      <c r="J174" s="2472"/>
      <c r="K174" s="2472"/>
      <c r="L174" s="2472"/>
      <c r="M174" s="2472"/>
      <c r="N174" s="2472"/>
      <c r="O174" s="2472"/>
      <c r="P174" s="2472"/>
      <c r="Q174" s="2472"/>
      <c r="R174" s="2472"/>
      <c r="S174" s="2472"/>
      <c r="T174" s="2472"/>
      <c r="U174" s="2472"/>
      <c r="V174" s="2472"/>
      <c r="W174" s="2472"/>
      <c r="X174" s="2472"/>
      <c r="Y174" s="2472"/>
      <c r="Z174" s="2472"/>
      <c r="AA174" s="2472"/>
      <c r="AB174" s="2472"/>
      <c r="AC174" s="2472"/>
      <c r="AD174" s="2472"/>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4" t="str">
        <f>Application!AA335</f>
        <v xml:space="preserve">Aperto Property Management, Inc.										</v>
      </c>
      <c r="D178" s="2474"/>
      <c r="E178" s="2474"/>
      <c r="F178" s="2474"/>
      <c r="G178" s="2474"/>
      <c r="H178" s="2474"/>
      <c r="I178" s="2474"/>
      <c r="J178" s="2474"/>
      <c r="K178" s="2474"/>
      <c r="L178" s="2474"/>
      <c r="M178" s="2474"/>
      <c r="N178" s="2474"/>
      <c r="O178" s="2474"/>
      <c r="P178" s="2474"/>
      <c r="Q178" s="2474"/>
      <c r="R178" s="2474"/>
      <c r="S178" s="2474"/>
      <c r="T178" s="2474"/>
      <c r="U178" s="2474"/>
      <c r="V178" s="2474"/>
      <c r="W178" s="2474"/>
      <c r="X178" s="2474"/>
      <c r="Y178" s="2474"/>
      <c r="Z178" s="2474"/>
      <c r="AA178" s="2474"/>
      <c r="AB178" s="2474"/>
      <c r="AC178" s="2474"/>
      <c r="AD178" s="2474"/>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5">
        <f>IF($AF$172="N/A",VLOOKUP($C$170,$AO$170:$AP$173,2,FALSE),VLOOKUP($C$174,$AO$177:$AP$179,2,FALSE))</f>
        <v>3</v>
      </c>
      <c r="AK180" s="2475"/>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3">
        <f>$AJ$166+$AJ$180</f>
        <v>10</v>
      </c>
      <c r="AL183" s="2434"/>
      <c r="AM183" s="2435"/>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0" t="s">
        <v>1314</v>
      </c>
      <c r="AF186" s="2410"/>
      <c r="AG186" s="2410"/>
      <c r="AH186" s="2410"/>
      <c r="AI186" s="2410"/>
      <c r="AJ186" s="2410"/>
      <c r="AK186" s="2410"/>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70" t="s">
        <v>1041</v>
      </c>
      <c r="C188" s="2470"/>
      <c r="D188" s="2470"/>
      <c r="E188" s="2470"/>
      <c r="F188" s="2470"/>
      <c r="G188" s="2470"/>
      <c r="H188" s="2470"/>
      <c r="I188" s="2470"/>
      <c r="J188" s="2470"/>
      <c r="K188" s="2470"/>
      <c r="L188" s="2470"/>
      <c r="M188" s="2470"/>
      <c r="N188" s="2470"/>
      <c r="O188" s="2470"/>
      <c r="P188" s="2470"/>
      <c r="Q188" s="2470"/>
      <c r="R188" s="2470"/>
      <c r="S188" s="2470"/>
      <c r="T188" s="2470"/>
      <c r="U188" s="2470"/>
      <c r="V188" s="2470"/>
      <c r="W188" s="2470"/>
      <c r="X188" s="2470"/>
      <c r="Y188" s="2470"/>
      <c r="Z188" s="2470"/>
      <c r="AA188" s="2470"/>
      <c r="AB188" s="2470"/>
      <c r="AC188" s="2470"/>
      <c r="AD188" s="536"/>
      <c r="AE188" s="536"/>
      <c r="AF188" s="2445" t="s">
        <v>1363</v>
      </c>
      <c r="AG188" s="2445"/>
      <c r="AH188" s="2445"/>
      <c r="AI188" s="2445"/>
      <c r="AJ188" s="2445"/>
      <c r="AK188" s="2445"/>
      <c r="AL188" s="2445"/>
      <c r="AN188" s="597"/>
      <c r="AP188" s="550" t="s">
        <v>1043</v>
      </c>
      <c r="AQ188" s="550">
        <v>10</v>
      </c>
    </row>
    <row r="189" spans="1:73" s="550" customFormat="1" ht="12.75" customHeight="1">
      <c r="A189" s="536"/>
      <c r="B189" s="2471" t="s">
        <v>1726</v>
      </c>
      <c r="C189" s="2471"/>
      <c r="D189" s="2471"/>
      <c r="E189" s="2471"/>
      <c r="F189" s="2471"/>
      <c r="G189" s="2471"/>
      <c r="H189" s="2471"/>
      <c r="I189" s="2471"/>
      <c r="J189" s="2471"/>
      <c r="K189" s="2471"/>
      <c r="L189" s="2471"/>
      <c r="M189" s="2471"/>
      <c r="N189" s="2471"/>
      <c r="O189" s="2471"/>
      <c r="P189" s="2471"/>
      <c r="Q189" s="2471"/>
      <c r="R189" s="2471"/>
      <c r="S189" s="2471"/>
      <c r="T189" s="2446" t="s">
        <v>591</v>
      </c>
      <c r="U189" s="2446"/>
      <c r="V189" s="2446"/>
      <c r="W189" s="2446"/>
      <c r="X189" s="2446"/>
      <c r="Y189" s="2446"/>
      <c r="Z189" s="2446"/>
      <c r="AA189" s="2446"/>
      <c r="AB189" s="2446"/>
      <c r="AC189" s="2446"/>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80">
        <f>IF(AK84&gt;0,VLOOKUP($B$188,AP185:AQ191,2,FALSE),0)</f>
        <v>10</v>
      </c>
      <c r="AL191" s="2481"/>
      <c r="AM191" s="2482"/>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0" t="s">
        <v>1372</v>
      </c>
      <c r="AF194" s="2410"/>
      <c r="AG194" s="2410"/>
      <c r="AH194" s="2410"/>
      <c r="AI194" s="2410"/>
      <c r="AJ194" s="2410"/>
      <c r="AK194" s="2410"/>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7" t="s">
        <v>2787</v>
      </c>
      <c r="C199" s="2457"/>
      <c r="D199" s="2457"/>
      <c r="E199" s="2457"/>
      <c r="F199" s="2457"/>
      <c r="G199" s="2457"/>
      <c r="H199" s="2457"/>
      <c r="I199" s="2457"/>
      <c r="J199" s="2457"/>
      <c r="K199" s="2457"/>
      <c r="L199" s="2457"/>
      <c r="M199" s="2457"/>
      <c r="N199" s="2457"/>
      <c r="O199" s="2457"/>
      <c r="P199" s="2457"/>
      <c r="Q199" s="2457"/>
      <c r="R199" s="2457"/>
      <c r="S199" s="2457"/>
      <c r="T199" s="2457"/>
      <c r="U199" s="2457"/>
      <c r="V199" s="2457"/>
      <c r="W199" s="2457"/>
      <c r="X199" s="2457"/>
      <c r="Y199" s="2457"/>
      <c r="Z199" s="2457"/>
      <c r="AA199" s="2457"/>
      <c r="AB199" s="2457"/>
      <c r="AC199" s="846"/>
      <c r="AD199" s="2458">
        <v>6250000</v>
      </c>
      <c r="AE199" s="2458"/>
      <c r="AF199" s="2458"/>
      <c r="AG199" s="2458"/>
      <c r="AH199" s="2458"/>
      <c r="AI199" s="2458"/>
      <c r="AJ199" s="2458"/>
      <c r="AK199" s="610"/>
    </row>
    <row r="200" spans="1:40">
      <c r="A200" s="605"/>
      <c r="B200" s="2457" t="s">
        <v>2518</v>
      </c>
      <c r="C200" s="2457"/>
      <c r="D200" s="2457"/>
      <c r="E200" s="2457"/>
      <c r="F200" s="2457"/>
      <c r="G200" s="2457"/>
      <c r="H200" s="2457"/>
      <c r="I200" s="2457"/>
      <c r="J200" s="2457"/>
      <c r="K200" s="2457"/>
      <c r="L200" s="2457"/>
      <c r="M200" s="2457"/>
      <c r="N200" s="2457"/>
      <c r="O200" s="2457"/>
      <c r="P200" s="2457"/>
      <c r="Q200" s="2457"/>
      <c r="R200" s="2457"/>
      <c r="S200" s="2457"/>
      <c r="T200" s="2457"/>
      <c r="U200" s="2457"/>
      <c r="V200" s="2457"/>
      <c r="W200" s="2457"/>
      <c r="X200" s="2457"/>
      <c r="Y200" s="2457"/>
      <c r="Z200" s="2457"/>
      <c r="AA200" s="2457"/>
      <c r="AB200" s="2457"/>
      <c r="AC200" s="846"/>
      <c r="AD200" s="2458">
        <v>4000000</v>
      </c>
      <c r="AE200" s="2458"/>
      <c r="AF200" s="2458"/>
      <c r="AG200" s="2458"/>
      <c r="AH200" s="2458"/>
      <c r="AI200" s="2458"/>
      <c r="AJ200" s="2458"/>
      <c r="AK200" s="610"/>
    </row>
    <row r="201" spans="1:40">
      <c r="A201" s="605"/>
      <c r="B201" s="2457"/>
      <c r="C201" s="2457"/>
      <c r="D201" s="2457"/>
      <c r="E201" s="2457"/>
      <c r="F201" s="2457"/>
      <c r="G201" s="2457"/>
      <c r="H201" s="2457"/>
      <c r="I201" s="2457"/>
      <c r="J201" s="2457"/>
      <c r="K201" s="2457"/>
      <c r="L201" s="2457"/>
      <c r="M201" s="2457"/>
      <c r="N201" s="2457"/>
      <c r="O201" s="2457"/>
      <c r="P201" s="2457"/>
      <c r="Q201" s="2457"/>
      <c r="R201" s="2457"/>
      <c r="S201" s="2457"/>
      <c r="T201" s="2457"/>
      <c r="U201" s="2457"/>
      <c r="V201" s="2457"/>
      <c r="W201" s="2457"/>
      <c r="X201" s="2457"/>
      <c r="Y201" s="2457"/>
      <c r="Z201" s="2457"/>
      <c r="AA201" s="2457"/>
      <c r="AB201" s="2457"/>
      <c r="AC201" s="846"/>
      <c r="AD201" s="2458"/>
      <c r="AE201" s="2458"/>
      <c r="AF201" s="2458"/>
      <c r="AG201" s="2458"/>
      <c r="AH201" s="2458"/>
      <c r="AI201" s="2458"/>
      <c r="AJ201" s="2458"/>
      <c r="AK201" s="610"/>
    </row>
    <row r="202" spans="1:40">
      <c r="A202" s="605"/>
      <c r="B202" s="2457"/>
      <c r="C202" s="2457"/>
      <c r="D202" s="2457"/>
      <c r="E202" s="2457"/>
      <c r="F202" s="2457"/>
      <c r="G202" s="2457"/>
      <c r="H202" s="2457"/>
      <c r="I202" s="2457"/>
      <c r="J202" s="2457"/>
      <c r="K202" s="2457"/>
      <c r="L202" s="2457"/>
      <c r="M202" s="2457"/>
      <c r="N202" s="2457"/>
      <c r="O202" s="2457"/>
      <c r="P202" s="2457"/>
      <c r="Q202" s="2457"/>
      <c r="R202" s="2457"/>
      <c r="S202" s="2457"/>
      <c r="T202" s="2457"/>
      <c r="U202" s="2457"/>
      <c r="V202" s="2457"/>
      <c r="W202" s="2457"/>
      <c r="X202" s="2457"/>
      <c r="Y202" s="2457"/>
      <c r="Z202" s="2457"/>
      <c r="AA202" s="2457"/>
      <c r="AB202" s="2457"/>
      <c r="AC202" s="846"/>
      <c r="AD202" s="2458"/>
      <c r="AE202" s="2458"/>
      <c r="AF202" s="2458"/>
      <c r="AG202" s="2458"/>
      <c r="AH202" s="2458"/>
      <c r="AI202" s="2458"/>
      <c r="AJ202" s="2458"/>
      <c r="AK202" s="610"/>
    </row>
    <row r="203" spans="1:40">
      <c r="A203" s="605"/>
      <c r="B203" s="2457"/>
      <c r="C203" s="2457"/>
      <c r="D203" s="2457"/>
      <c r="E203" s="2457"/>
      <c r="F203" s="2457"/>
      <c r="G203" s="2457"/>
      <c r="H203" s="2457"/>
      <c r="I203" s="2457"/>
      <c r="J203" s="2457"/>
      <c r="K203" s="2457"/>
      <c r="L203" s="2457"/>
      <c r="M203" s="2457"/>
      <c r="N203" s="2457"/>
      <c r="O203" s="2457"/>
      <c r="P203" s="2457"/>
      <c r="Q203" s="2457"/>
      <c r="R203" s="2457"/>
      <c r="S203" s="2457"/>
      <c r="T203" s="2457"/>
      <c r="U203" s="2457"/>
      <c r="V203" s="2457"/>
      <c r="W203" s="2457"/>
      <c r="X203" s="2457"/>
      <c r="Y203" s="2457"/>
      <c r="Z203" s="2457"/>
      <c r="AA203" s="2457"/>
      <c r="AB203" s="2457"/>
      <c r="AC203" s="846"/>
      <c r="AD203" s="2458"/>
      <c r="AE203" s="2458"/>
      <c r="AF203" s="2458"/>
      <c r="AG203" s="2458"/>
      <c r="AH203" s="2458"/>
      <c r="AI203" s="2458"/>
      <c r="AJ203" s="2458"/>
      <c r="AK203" s="610"/>
    </row>
    <row r="204" spans="1:40">
      <c r="A204" s="605"/>
      <c r="B204" s="2457"/>
      <c r="C204" s="2457"/>
      <c r="D204" s="2457"/>
      <c r="E204" s="2457"/>
      <c r="F204" s="2457"/>
      <c r="G204" s="2457"/>
      <c r="H204" s="2457"/>
      <c r="I204" s="2457"/>
      <c r="J204" s="2457"/>
      <c r="K204" s="2457"/>
      <c r="L204" s="2457"/>
      <c r="M204" s="2457"/>
      <c r="N204" s="2457"/>
      <c r="O204" s="2457"/>
      <c r="P204" s="2457"/>
      <c r="Q204" s="2457"/>
      <c r="R204" s="2457"/>
      <c r="S204" s="2457"/>
      <c r="T204" s="2457"/>
      <c r="U204" s="2457"/>
      <c r="V204" s="2457"/>
      <c r="W204" s="2457"/>
      <c r="X204" s="2457"/>
      <c r="Y204" s="2457"/>
      <c r="Z204" s="2457"/>
      <c r="AA204" s="2457"/>
      <c r="AB204" s="2457"/>
      <c r="AC204" s="846"/>
      <c r="AD204" s="2458"/>
      <c r="AE204" s="2458"/>
      <c r="AF204" s="2458"/>
      <c r="AG204" s="2458"/>
      <c r="AH204" s="2458"/>
      <c r="AI204" s="2458"/>
      <c r="AJ204" s="2458"/>
      <c r="AK204" s="610"/>
    </row>
    <row r="205" spans="1:40">
      <c r="A205" s="605"/>
      <c r="B205" s="2457"/>
      <c r="C205" s="2457"/>
      <c r="D205" s="2457"/>
      <c r="E205" s="2457"/>
      <c r="F205" s="2457"/>
      <c r="G205" s="2457"/>
      <c r="H205" s="2457"/>
      <c r="I205" s="2457"/>
      <c r="J205" s="2457"/>
      <c r="K205" s="2457"/>
      <c r="L205" s="2457"/>
      <c r="M205" s="2457"/>
      <c r="N205" s="2457"/>
      <c r="O205" s="2457"/>
      <c r="P205" s="2457"/>
      <c r="Q205" s="2457"/>
      <c r="R205" s="2457"/>
      <c r="S205" s="2457"/>
      <c r="T205" s="2457"/>
      <c r="U205" s="2457"/>
      <c r="V205" s="2457"/>
      <c r="W205" s="2457"/>
      <c r="X205" s="2457"/>
      <c r="Y205" s="2457"/>
      <c r="Z205" s="2457"/>
      <c r="AA205" s="2457"/>
      <c r="AB205" s="2457"/>
      <c r="AC205" s="846"/>
      <c r="AD205" s="2458"/>
      <c r="AE205" s="2458"/>
      <c r="AF205" s="2458"/>
      <c r="AG205" s="2458"/>
      <c r="AH205" s="2458"/>
      <c r="AI205" s="2458"/>
      <c r="AJ205" s="2458"/>
      <c r="AK205" s="610"/>
    </row>
    <row r="206" spans="1:40">
      <c r="A206" s="605"/>
      <c r="B206" s="2457"/>
      <c r="C206" s="2457"/>
      <c r="D206" s="2457"/>
      <c r="E206" s="2457"/>
      <c r="F206" s="2457"/>
      <c r="G206" s="2457"/>
      <c r="H206" s="2457"/>
      <c r="I206" s="2457"/>
      <c r="J206" s="2457"/>
      <c r="K206" s="2457"/>
      <c r="L206" s="2457"/>
      <c r="M206" s="2457"/>
      <c r="N206" s="2457"/>
      <c r="O206" s="2457"/>
      <c r="P206" s="2457"/>
      <c r="Q206" s="2457"/>
      <c r="R206" s="2457"/>
      <c r="S206" s="2457"/>
      <c r="T206" s="2457"/>
      <c r="U206" s="2457"/>
      <c r="V206" s="2457"/>
      <c r="W206" s="2457"/>
      <c r="X206" s="2457"/>
      <c r="Y206" s="2457"/>
      <c r="Z206" s="2457"/>
      <c r="AA206" s="2457"/>
      <c r="AB206" s="2457"/>
      <c r="AC206" s="846"/>
      <c r="AD206" s="2458"/>
      <c r="AE206" s="2458"/>
      <c r="AF206" s="2458"/>
      <c r="AG206" s="2458"/>
      <c r="AH206" s="2458"/>
      <c r="AI206" s="2458"/>
      <c r="AJ206" s="2458"/>
      <c r="AK206" s="610"/>
    </row>
    <row r="207" spans="1:40">
      <c r="A207" s="605"/>
      <c r="B207" s="2457"/>
      <c r="C207" s="2457"/>
      <c r="D207" s="2457"/>
      <c r="E207" s="2457"/>
      <c r="F207" s="2457"/>
      <c r="G207" s="2457"/>
      <c r="H207" s="2457"/>
      <c r="I207" s="2457"/>
      <c r="J207" s="2457"/>
      <c r="K207" s="2457"/>
      <c r="L207" s="2457"/>
      <c r="M207" s="2457"/>
      <c r="N207" s="2457"/>
      <c r="O207" s="2457"/>
      <c r="P207" s="2457"/>
      <c r="Q207" s="2457"/>
      <c r="R207" s="2457"/>
      <c r="S207" s="2457"/>
      <c r="T207" s="2457"/>
      <c r="U207" s="2457"/>
      <c r="V207" s="2457"/>
      <c r="W207" s="2457"/>
      <c r="X207" s="2457"/>
      <c r="Y207" s="2457"/>
      <c r="Z207" s="2457"/>
      <c r="AA207" s="2457"/>
      <c r="AB207" s="2457"/>
      <c r="AC207" s="846"/>
      <c r="AD207" s="2458"/>
      <c r="AE207" s="2458"/>
      <c r="AF207" s="2458"/>
      <c r="AG207" s="2458"/>
      <c r="AH207" s="2458"/>
      <c r="AI207" s="2458"/>
      <c r="AJ207" s="2458"/>
      <c r="AK207" s="610"/>
    </row>
    <row r="208" spans="1:40">
      <c r="A208" s="605"/>
      <c r="B208" s="2457"/>
      <c r="C208" s="2457"/>
      <c r="D208" s="2457"/>
      <c r="E208" s="2457"/>
      <c r="F208" s="2457"/>
      <c r="G208" s="2457"/>
      <c r="H208" s="2457"/>
      <c r="I208" s="2457"/>
      <c r="J208" s="2457"/>
      <c r="K208" s="2457"/>
      <c r="L208" s="2457"/>
      <c r="M208" s="2457"/>
      <c r="N208" s="2457"/>
      <c r="O208" s="2457"/>
      <c r="P208" s="2457"/>
      <c r="Q208" s="2457"/>
      <c r="R208" s="2457"/>
      <c r="S208" s="2457"/>
      <c r="T208" s="2457"/>
      <c r="U208" s="2457"/>
      <c r="V208" s="2457"/>
      <c r="W208" s="2457"/>
      <c r="X208" s="2457"/>
      <c r="Y208" s="2457"/>
      <c r="Z208" s="2457"/>
      <c r="AA208" s="2457"/>
      <c r="AB208" s="2457"/>
      <c r="AC208" s="846"/>
      <c r="AD208" s="2458"/>
      <c r="AE208" s="2458"/>
      <c r="AF208" s="2458"/>
      <c r="AG208" s="2458"/>
      <c r="AH208" s="2458"/>
      <c r="AI208" s="2458"/>
      <c r="AJ208" s="2458"/>
      <c r="AK208" s="610"/>
    </row>
    <row r="209" spans="1:37">
      <c r="A209" s="605"/>
      <c r="B209" s="2468" t="s">
        <v>1627</v>
      </c>
      <c r="C209" s="2468"/>
      <c r="D209" s="2468"/>
      <c r="E209" s="2468"/>
      <c r="F209" s="2468"/>
      <c r="G209" s="2468"/>
      <c r="H209" s="2468"/>
      <c r="I209" s="2468"/>
      <c r="J209" s="2468"/>
      <c r="K209" s="2468"/>
      <c r="L209" s="2468"/>
      <c r="M209" s="2468"/>
      <c r="N209" s="2468"/>
      <c r="O209" s="2468"/>
      <c r="P209" s="2468"/>
      <c r="Q209" s="2468"/>
      <c r="R209" s="2468"/>
      <c r="S209" s="2468"/>
      <c r="T209" s="2468"/>
      <c r="U209" s="2468"/>
      <c r="V209" s="2468"/>
      <c r="W209" s="2468"/>
      <c r="X209" s="2468"/>
      <c r="Y209" s="2468"/>
      <c r="Z209" s="2468"/>
      <c r="AA209" s="2468"/>
      <c r="AB209" s="2468"/>
      <c r="AC209" s="536"/>
      <c r="AD209" s="2487">
        <f>AB260</f>
        <v>0</v>
      </c>
      <c r="AE209" s="2487"/>
      <c r="AF209" s="2487"/>
      <c r="AG209" s="2487"/>
      <c r="AH209" s="2487"/>
      <c r="AI209" s="2487"/>
      <c r="AJ209" s="2487"/>
      <c r="AK209" s="610"/>
    </row>
    <row r="210" spans="1:37">
      <c r="A210" s="605"/>
      <c r="B210" s="2614" t="s">
        <v>1590</v>
      </c>
      <c r="C210" s="2614"/>
      <c r="D210" s="2614"/>
      <c r="E210" s="2614"/>
      <c r="F210" s="2614"/>
      <c r="G210" s="2614"/>
      <c r="H210" s="2614"/>
      <c r="I210" s="2614"/>
      <c r="J210" s="2614"/>
      <c r="K210" s="2614"/>
      <c r="L210" s="2614"/>
      <c r="M210" s="2614"/>
      <c r="N210" s="2614"/>
      <c r="O210" s="2614"/>
      <c r="P210" s="2614"/>
      <c r="Q210" s="2614"/>
      <c r="R210" s="2614"/>
      <c r="S210" s="2614"/>
      <c r="T210" s="2614"/>
      <c r="U210" s="2614"/>
      <c r="V210" s="2614"/>
      <c r="W210" s="2614"/>
      <c r="X210" s="2614"/>
      <c r="Y210" s="2614"/>
      <c r="Z210" s="2614"/>
      <c r="AA210" s="2614"/>
      <c r="AB210" s="2614"/>
      <c r="AC210" s="846"/>
      <c r="AD210" s="2488">
        <f>'Sources and Uses Budget'!B15</f>
        <v>0</v>
      </c>
      <c r="AE210" s="2488"/>
      <c r="AF210" s="2488"/>
      <c r="AG210" s="2488"/>
      <c r="AH210" s="2488"/>
      <c r="AI210" s="2488"/>
      <c r="AJ210" s="2488"/>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2">
        <f>SUM(AD199:AJ209)-AD210</f>
        <v>10250000</v>
      </c>
      <c r="AE211" s="2492"/>
      <c r="AF211" s="2492"/>
      <c r="AG211" s="2492"/>
      <c r="AH211" s="2492"/>
      <c r="AI211" s="2492"/>
      <c r="AJ211" s="2492"/>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1" t="s">
        <v>1607</v>
      </c>
      <c r="J222" s="2461"/>
      <c r="K222" s="2461"/>
      <c r="L222" s="536"/>
      <c r="M222" s="536"/>
      <c r="N222" s="536"/>
      <c r="O222" s="536"/>
      <c r="P222" s="536"/>
      <c r="Q222" s="536"/>
      <c r="R222" s="536"/>
      <c r="S222" s="536"/>
      <c r="T222" s="2649" t="s">
        <v>1601</v>
      </c>
      <c r="U222" s="2649"/>
      <c r="V222" s="2649"/>
      <c r="W222" s="2649"/>
      <c r="X222" s="2649"/>
      <c r="Y222" s="2649"/>
      <c r="Z222" s="849"/>
      <c r="AA222" s="489"/>
      <c r="AB222" s="2456" t="s">
        <v>1602</v>
      </c>
      <c r="AC222" s="2456"/>
      <c r="AD222" s="2456"/>
      <c r="AE222" s="2456"/>
      <c r="AF222" s="2456"/>
      <c r="AG222" s="2456"/>
      <c r="AH222" s="827"/>
      <c r="AI222" s="827"/>
      <c r="AJ222" s="827"/>
      <c r="AK222" s="610"/>
    </row>
    <row r="223" spans="1:37">
      <c r="A223" s="605"/>
      <c r="B223" s="2459" t="s">
        <v>1587</v>
      </c>
      <c r="C223" s="2459"/>
      <c r="D223" s="2459"/>
      <c r="E223" s="2459"/>
      <c r="F223" s="2459"/>
      <c r="G223" s="2459"/>
      <c r="I223" s="2460" t="s">
        <v>1608</v>
      </c>
      <c r="J223" s="2460"/>
      <c r="K223" s="2460"/>
      <c r="L223" s="1008"/>
      <c r="N223" s="2466" t="s">
        <v>1603</v>
      </c>
      <c r="O223" s="2466"/>
      <c r="P223" s="2466"/>
      <c r="Q223" s="2466"/>
      <c r="R223" s="2466"/>
      <c r="T223" s="2466" t="s">
        <v>1604</v>
      </c>
      <c r="U223" s="2466"/>
      <c r="V223" s="2466"/>
      <c r="W223" s="2466"/>
      <c r="X223" s="2466"/>
      <c r="Y223" s="2466"/>
      <c r="Z223" s="850"/>
      <c r="AA223" s="489"/>
      <c r="AB223" s="2603" t="s">
        <v>1605</v>
      </c>
      <c r="AC223" s="2603"/>
      <c r="AD223" s="2603"/>
      <c r="AE223" s="2603"/>
      <c r="AF223" s="2603"/>
      <c r="AG223" s="2603"/>
      <c r="AH223" s="827"/>
      <c r="AI223" s="827"/>
      <c r="AJ223" s="827"/>
      <c r="AK223" s="610"/>
    </row>
    <row r="224" spans="1:37">
      <c r="A224" s="605"/>
      <c r="B224" s="2463" t="s">
        <v>1184</v>
      </c>
      <c r="C224" s="2463"/>
      <c r="D224" s="2463"/>
      <c r="E224" s="2463"/>
      <c r="F224" s="2463"/>
      <c r="G224" s="2463"/>
      <c r="H224" s="852"/>
      <c r="I224" s="2462"/>
      <c r="J224" s="2462"/>
      <c r="K224" s="2462"/>
      <c r="L224" s="1008"/>
      <c r="N224" s="2467"/>
      <c r="O224" s="2467"/>
      <c r="P224" s="2467"/>
      <c r="Q224" s="2467"/>
      <c r="R224" s="2467"/>
      <c r="T224" s="2615"/>
      <c r="U224" s="2615"/>
      <c r="V224" s="2615"/>
      <c r="W224" s="2615"/>
      <c r="X224" s="2615"/>
      <c r="Y224" s="2615"/>
      <c r="Z224" s="851"/>
      <c r="AA224" s="851"/>
      <c r="AB224" s="2464">
        <f t="shared" ref="AB224:AB233" si="0">MAX(($T224-$N224)*$I224*12,0)</f>
        <v>0</v>
      </c>
      <c r="AC224" s="2464"/>
      <c r="AD224" s="2464"/>
      <c r="AE224" s="2464"/>
      <c r="AF224" s="2464"/>
      <c r="AG224" s="2464"/>
      <c r="AH224" s="827"/>
      <c r="AI224" s="827"/>
      <c r="AJ224" s="827"/>
      <c r="AK224" s="610"/>
    </row>
    <row r="225" spans="1:37">
      <c r="A225" s="605"/>
      <c r="B225" s="2463" t="s">
        <v>1184</v>
      </c>
      <c r="C225" s="2463"/>
      <c r="D225" s="2463"/>
      <c r="E225" s="2463"/>
      <c r="F225" s="2463"/>
      <c r="G225" s="2463"/>
      <c r="I225" s="2462"/>
      <c r="J225" s="2462"/>
      <c r="K225" s="2462"/>
      <c r="L225" s="1008"/>
      <c r="N225" s="2467"/>
      <c r="O225" s="2467"/>
      <c r="P225" s="2467"/>
      <c r="Q225" s="2467"/>
      <c r="R225" s="2467"/>
      <c r="T225" s="2615"/>
      <c r="U225" s="2615"/>
      <c r="V225" s="2615"/>
      <c r="W225" s="2615"/>
      <c r="X225" s="2615"/>
      <c r="Y225" s="2615"/>
      <c r="Z225" s="851"/>
      <c r="AA225" s="851"/>
      <c r="AB225" s="2464">
        <f t="shared" si="0"/>
        <v>0</v>
      </c>
      <c r="AC225" s="2464"/>
      <c r="AD225" s="2464"/>
      <c r="AE225" s="2464"/>
      <c r="AF225" s="2464"/>
      <c r="AG225" s="2464"/>
      <c r="AH225" s="827"/>
      <c r="AI225" s="827"/>
      <c r="AJ225" s="827"/>
      <c r="AK225" s="610"/>
    </row>
    <row r="226" spans="1:37">
      <c r="A226" s="605"/>
      <c r="B226" s="2463" t="s">
        <v>1184</v>
      </c>
      <c r="C226" s="2463"/>
      <c r="D226" s="2463"/>
      <c r="E226" s="2463"/>
      <c r="F226" s="2463"/>
      <c r="G226" s="2463"/>
      <c r="I226" s="2462"/>
      <c r="J226" s="2462"/>
      <c r="K226" s="2462"/>
      <c r="L226" s="1008"/>
      <c r="N226" s="2467"/>
      <c r="O226" s="2467"/>
      <c r="P226" s="2467"/>
      <c r="Q226" s="2467"/>
      <c r="R226" s="2467"/>
      <c r="T226" s="2615"/>
      <c r="U226" s="2615"/>
      <c r="V226" s="2615"/>
      <c r="W226" s="2615"/>
      <c r="X226" s="2615"/>
      <c r="Y226" s="2615"/>
      <c r="Z226" s="851"/>
      <c r="AA226" s="851"/>
      <c r="AB226" s="2464">
        <f t="shared" si="0"/>
        <v>0</v>
      </c>
      <c r="AC226" s="2464"/>
      <c r="AD226" s="2464"/>
      <c r="AE226" s="2464"/>
      <c r="AF226" s="2464"/>
      <c r="AG226" s="2464"/>
      <c r="AH226" s="827"/>
      <c r="AI226" s="827"/>
      <c r="AJ226" s="827"/>
      <c r="AK226" s="610"/>
    </row>
    <row r="227" spans="1:37">
      <c r="A227" s="605"/>
      <c r="B227" s="2463" t="s">
        <v>1184</v>
      </c>
      <c r="C227" s="2463"/>
      <c r="D227" s="2463"/>
      <c r="E227" s="2463"/>
      <c r="F227" s="2463"/>
      <c r="G227" s="2463"/>
      <c r="I227" s="2462"/>
      <c r="J227" s="2462"/>
      <c r="K227" s="2462"/>
      <c r="L227" s="1008"/>
      <c r="N227" s="2467"/>
      <c r="O227" s="2467"/>
      <c r="P227" s="2467"/>
      <c r="Q227" s="2467"/>
      <c r="R227" s="2467"/>
      <c r="T227" s="2615"/>
      <c r="U227" s="2615"/>
      <c r="V227" s="2615"/>
      <c r="W227" s="2615"/>
      <c r="X227" s="2615"/>
      <c r="Y227" s="2615"/>
      <c r="Z227" s="851"/>
      <c r="AA227" s="851"/>
      <c r="AB227" s="2464">
        <f t="shared" si="0"/>
        <v>0</v>
      </c>
      <c r="AC227" s="2464"/>
      <c r="AD227" s="2464"/>
      <c r="AE227" s="2464"/>
      <c r="AF227" s="2464"/>
      <c r="AG227" s="2464"/>
      <c r="AH227" s="827"/>
      <c r="AI227" s="827"/>
      <c r="AJ227" s="827"/>
      <c r="AK227" s="610"/>
    </row>
    <row r="228" spans="1:37">
      <c r="A228" s="605"/>
      <c r="B228" s="2463" t="s">
        <v>1184</v>
      </c>
      <c r="C228" s="2463"/>
      <c r="D228" s="2463"/>
      <c r="E228" s="2463"/>
      <c r="F228" s="2463"/>
      <c r="G228" s="2463"/>
      <c r="I228" s="2462"/>
      <c r="J228" s="2462"/>
      <c r="K228" s="2462"/>
      <c r="L228" s="1015"/>
      <c r="N228" s="2467"/>
      <c r="O228" s="2467"/>
      <c r="P228" s="2467"/>
      <c r="Q228" s="2467"/>
      <c r="R228" s="2467"/>
      <c r="T228" s="2615"/>
      <c r="U228" s="2615"/>
      <c r="V228" s="2615"/>
      <c r="W228" s="2615"/>
      <c r="X228" s="2615"/>
      <c r="Y228" s="2615"/>
      <c r="Z228" s="851"/>
      <c r="AA228" s="851"/>
      <c r="AB228" s="2464">
        <f t="shared" si="0"/>
        <v>0</v>
      </c>
      <c r="AC228" s="2464"/>
      <c r="AD228" s="2464"/>
      <c r="AE228" s="2464"/>
      <c r="AF228" s="2464"/>
      <c r="AG228" s="2464"/>
      <c r="AH228" s="827"/>
      <c r="AI228" s="827"/>
      <c r="AJ228" s="827"/>
      <c r="AK228" s="610"/>
    </row>
    <row r="229" spans="1:37">
      <c r="A229" s="605"/>
      <c r="B229" s="2463" t="s">
        <v>1184</v>
      </c>
      <c r="C229" s="2463"/>
      <c r="D229" s="2463"/>
      <c r="E229" s="2463"/>
      <c r="F229" s="2463"/>
      <c r="G229" s="2463"/>
      <c r="I229" s="2462"/>
      <c r="J229" s="2462"/>
      <c r="K229" s="2462"/>
      <c r="L229" s="1015"/>
      <c r="N229" s="2467"/>
      <c r="O229" s="2467"/>
      <c r="P229" s="2467"/>
      <c r="Q229" s="2467"/>
      <c r="R229" s="2467"/>
      <c r="T229" s="2615"/>
      <c r="U229" s="2615"/>
      <c r="V229" s="2615"/>
      <c r="W229" s="2615"/>
      <c r="X229" s="2615"/>
      <c r="Y229" s="2615"/>
      <c r="Z229" s="851"/>
      <c r="AA229" s="851"/>
      <c r="AB229" s="2464">
        <f t="shared" si="0"/>
        <v>0</v>
      </c>
      <c r="AC229" s="2464"/>
      <c r="AD229" s="2464"/>
      <c r="AE229" s="2464"/>
      <c r="AF229" s="2464"/>
      <c r="AG229" s="2464"/>
      <c r="AH229" s="827"/>
      <c r="AI229" s="827"/>
      <c r="AJ229" s="827"/>
      <c r="AK229" s="610"/>
    </row>
    <row r="230" spans="1:37">
      <c r="A230" s="605"/>
      <c r="B230" s="2463" t="s">
        <v>1184</v>
      </c>
      <c r="C230" s="2463"/>
      <c r="D230" s="2463"/>
      <c r="E230" s="2463"/>
      <c r="F230" s="2463"/>
      <c r="G230" s="2463"/>
      <c r="I230" s="2462"/>
      <c r="J230" s="2462"/>
      <c r="K230" s="2462"/>
      <c r="L230" s="1015"/>
      <c r="N230" s="2467"/>
      <c r="O230" s="2467"/>
      <c r="P230" s="2467"/>
      <c r="Q230" s="2467"/>
      <c r="R230" s="2467"/>
      <c r="T230" s="2615"/>
      <c r="U230" s="2615"/>
      <c r="V230" s="2615"/>
      <c r="W230" s="2615"/>
      <c r="X230" s="2615"/>
      <c r="Y230" s="2615"/>
      <c r="Z230" s="851"/>
      <c r="AA230" s="851"/>
      <c r="AB230" s="2464">
        <f t="shared" si="0"/>
        <v>0</v>
      </c>
      <c r="AC230" s="2464"/>
      <c r="AD230" s="2464"/>
      <c r="AE230" s="2464"/>
      <c r="AF230" s="2464"/>
      <c r="AG230" s="2464"/>
      <c r="AH230" s="827"/>
      <c r="AI230" s="827"/>
      <c r="AJ230" s="827"/>
      <c r="AK230" s="610"/>
    </row>
    <row r="231" spans="1:37">
      <c r="A231" s="605"/>
      <c r="B231" s="2463" t="s">
        <v>1184</v>
      </c>
      <c r="C231" s="2463"/>
      <c r="D231" s="2463"/>
      <c r="E231" s="2463"/>
      <c r="F231" s="2463"/>
      <c r="G231" s="2463"/>
      <c r="I231" s="2462"/>
      <c r="J231" s="2462"/>
      <c r="K231" s="2462"/>
      <c r="L231" s="1015"/>
      <c r="N231" s="2467"/>
      <c r="O231" s="2467"/>
      <c r="P231" s="2467"/>
      <c r="Q231" s="2467"/>
      <c r="R231" s="2467"/>
      <c r="T231" s="2615"/>
      <c r="U231" s="2615"/>
      <c r="V231" s="2615"/>
      <c r="W231" s="2615"/>
      <c r="X231" s="2615"/>
      <c r="Y231" s="2615"/>
      <c r="Z231" s="851"/>
      <c r="AA231" s="851"/>
      <c r="AB231" s="2464">
        <f t="shared" si="0"/>
        <v>0</v>
      </c>
      <c r="AC231" s="2464"/>
      <c r="AD231" s="2464"/>
      <c r="AE231" s="2464"/>
      <c r="AF231" s="2464"/>
      <c r="AG231" s="2464"/>
      <c r="AH231" s="827"/>
      <c r="AI231" s="827"/>
      <c r="AJ231" s="827"/>
      <c r="AK231" s="610"/>
    </row>
    <row r="232" spans="1:37">
      <c r="A232" s="605"/>
      <c r="B232" s="2463" t="s">
        <v>1184</v>
      </c>
      <c r="C232" s="2463"/>
      <c r="D232" s="2463"/>
      <c r="E232" s="2463"/>
      <c r="F232" s="2463"/>
      <c r="G232" s="2463"/>
      <c r="I232" s="2462"/>
      <c r="J232" s="2462"/>
      <c r="K232" s="2462"/>
      <c r="L232" s="1015"/>
      <c r="N232" s="2467"/>
      <c r="O232" s="2467"/>
      <c r="P232" s="2467"/>
      <c r="Q232" s="2467"/>
      <c r="R232" s="2467"/>
      <c r="T232" s="2615"/>
      <c r="U232" s="2615"/>
      <c r="V232" s="2615"/>
      <c r="W232" s="2615"/>
      <c r="X232" s="2615"/>
      <c r="Y232" s="2615"/>
      <c r="Z232" s="851"/>
      <c r="AA232" s="851"/>
      <c r="AB232" s="2464">
        <f t="shared" si="0"/>
        <v>0</v>
      </c>
      <c r="AC232" s="2464"/>
      <c r="AD232" s="2464"/>
      <c r="AE232" s="2464"/>
      <c r="AF232" s="2464"/>
      <c r="AG232" s="2464"/>
      <c r="AH232" s="827"/>
      <c r="AI232" s="827"/>
      <c r="AJ232" s="827"/>
      <c r="AK232" s="610"/>
    </row>
    <row r="233" spans="1:37">
      <c r="A233" s="605"/>
      <c r="B233" s="2463" t="s">
        <v>1184</v>
      </c>
      <c r="C233" s="2463"/>
      <c r="D233" s="2463"/>
      <c r="E233" s="2463"/>
      <c r="F233" s="2463"/>
      <c r="G233" s="2463"/>
      <c r="I233" s="2465"/>
      <c r="J233" s="2465"/>
      <c r="K233" s="2465"/>
      <c r="L233" s="1015"/>
      <c r="N233" s="2467"/>
      <c r="O233" s="2467"/>
      <c r="P233" s="2467"/>
      <c r="Q233" s="2467"/>
      <c r="R233" s="2467"/>
      <c r="T233" s="2615"/>
      <c r="U233" s="2615"/>
      <c r="V233" s="2615"/>
      <c r="W233" s="2615"/>
      <c r="X233" s="2615"/>
      <c r="Y233" s="2615"/>
      <c r="Z233" s="851"/>
      <c r="AA233" s="851"/>
      <c r="AB233" s="2613">
        <f t="shared" si="0"/>
        <v>0</v>
      </c>
      <c r="AC233" s="2613"/>
      <c r="AD233" s="2613"/>
      <c r="AE233" s="2613"/>
      <c r="AF233" s="2613"/>
      <c r="AG233" s="2613"/>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4">
        <f>SUM(AB224:AB233)</f>
        <v>0</v>
      </c>
      <c r="AC234" s="2464"/>
      <c r="AD234" s="2464"/>
      <c r="AE234" s="2464"/>
      <c r="AF234" s="2464"/>
      <c r="AG234" s="2464"/>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6"/>
      <c r="AC240" s="2616"/>
      <c r="AD240" s="2616"/>
      <c r="AE240" s="2616"/>
      <c r="AF240" s="2616"/>
      <c r="AG240" s="2616"/>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6"/>
      <c r="AC243" s="2616"/>
      <c r="AD243" s="2616"/>
      <c r="AE243" s="2616"/>
      <c r="AF243" s="2616"/>
      <c r="AG243" s="2616"/>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8"/>
      <c r="AC244" s="2648"/>
      <c r="AD244" s="2648"/>
      <c r="AE244" s="2648"/>
      <c r="AF244" s="2648"/>
      <c r="AG244" s="2648"/>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0">
        <f>IFERROR(AB243/AB244,0)</f>
        <v>0</v>
      </c>
      <c r="AC245" s="2630"/>
      <c r="AD245" s="2630"/>
      <c r="AE245" s="2630"/>
      <c r="AF245" s="2630"/>
      <c r="AG245" s="2630"/>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3">
        <f>MAX(AB240,AB245)</f>
        <v>0</v>
      </c>
      <c r="AC247" s="2613"/>
      <c r="AD247" s="2613"/>
      <c r="AE247" s="2613"/>
      <c r="AF247" s="2613"/>
      <c r="AG247" s="2613"/>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4">
        <f>AB234+AB247</f>
        <v>0</v>
      </c>
      <c r="AC250" s="2464"/>
      <c r="AD250" s="2464"/>
      <c r="AE250" s="2464"/>
      <c r="AF250" s="2464"/>
      <c r="AG250" s="2464"/>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6">
        <v>0.05</v>
      </c>
      <c r="AC251" s="2496"/>
      <c r="AD251" s="2496"/>
      <c r="AE251" s="2496"/>
      <c r="AF251" s="2496"/>
      <c r="AG251" s="2496"/>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7">
        <f>AB250-(AB250*AB251)</f>
        <v>0</v>
      </c>
      <c r="AC252" s="2497"/>
      <c r="AD252" s="2497"/>
      <c r="AE252" s="2497"/>
      <c r="AF252" s="2497"/>
      <c r="AG252" s="2497"/>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4">
        <f>AB252/AB258</f>
        <v>0</v>
      </c>
      <c r="AC254" s="2464"/>
      <c r="AD254" s="2464"/>
      <c r="AE254" s="2464"/>
      <c r="AF254" s="2464"/>
      <c r="AG254" s="2464"/>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6">
        <v>15</v>
      </c>
      <c r="AC256" s="2456"/>
      <c r="AD256" s="2456"/>
      <c r="AE256" s="2456"/>
      <c r="AF256" s="2456"/>
      <c r="AG256" s="2456"/>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8">
        <v>0.04</v>
      </c>
      <c r="AC257" s="2498"/>
      <c r="AD257" s="2498"/>
      <c r="AE257" s="2498"/>
      <c r="AF257" s="2498"/>
      <c r="AG257" s="2498"/>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9">
        <v>1.1499999999999999</v>
      </c>
      <c r="AC258" s="2469"/>
      <c r="AD258" s="2469"/>
      <c r="AE258" s="2469"/>
      <c r="AF258" s="2469"/>
      <c r="AG258" s="2469"/>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9">
        <f>PV(AB257/12,AB256*12,-AB254/12, ,0)</f>
        <v>0</v>
      </c>
      <c r="AC260" s="2490"/>
      <c r="AD260" s="2490"/>
      <c r="AE260" s="2490"/>
      <c r="AF260" s="2490"/>
      <c r="AG260" s="2491"/>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3">
        <f>IFERROR(('Sources and Uses Budget'!D105/'Sources and Uses Budget'!B105),0)</f>
        <v>2.0288863642929852E-3</v>
      </c>
      <c r="AC266" s="2494"/>
      <c r="AD266" s="2494"/>
      <c r="AE266" s="2494"/>
      <c r="AF266" s="2494"/>
      <c r="AG266" s="2495"/>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3">
        <f>AD211*(1-AB266)</f>
        <v>10229203.914765997</v>
      </c>
      <c r="AH268" s="2483"/>
      <c r="AI268" s="2483"/>
      <c r="AJ268" s="2483"/>
      <c r="AK268" s="2483"/>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3">
        <f>'Sources and Uses Budget'!C105</f>
        <v>73782184</v>
      </c>
      <c r="AH269" s="2483"/>
      <c r="AI269" s="2483"/>
      <c r="AJ269" s="2483"/>
      <c r="AK269" s="248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4">
        <f>ROUNDDOWN(IF(AND(C292="Yes",AK84=10),((AG268*2)/AG269),AG268/AG269),2)</f>
        <v>0.27</v>
      </c>
      <c r="AH270" s="2484"/>
      <c r="AI270" s="2484"/>
      <c r="AJ270" s="2484"/>
      <c r="AK270" s="2484"/>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5">
        <f>IFERROR(IF(AG270=0,0,IF((AG270*100)&gt;8,8,(AG270*100))),0)</f>
        <v>8</v>
      </c>
      <c r="AL273" s="2485"/>
      <c r="AM273" s="2486"/>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7" t="s">
        <v>545</v>
      </c>
      <c r="D278" s="2477"/>
      <c r="E278" s="547"/>
      <c r="F278" s="2634" t="s">
        <v>2025</v>
      </c>
      <c r="G278" s="2635"/>
      <c r="H278" s="2635"/>
      <c r="I278" s="2635"/>
      <c r="J278" s="2635"/>
      <c r="K278" s="2635"/>
      <c r="L278" s="2635"/>
      <c r="M278" s="2635"/>
      <c r="N278" s="2635"/>
      <c r="O278" s="2635"/>
      <c r="P278" s="2635"/>
      <c r="Q278" s="2635"/>
      <c r="R278" s="2635"/>
      <c r="S278" s="2635"/>
      <c r="T278" s="2635"/>
      <c r="U278" s="2635"/>
      <c r="V278" s="2635"/>
      <c r="W278" s="2635"/>
      <c r="X278" s="2635"/>
      <c r="Y278" s="2635"/>
      <c r="Z278" s="2635"/>
      <c r="AA278" s="2635"/>
      <c r="AB278" s="2635"/>
      <c r="AC278" s="2635"/>
      <c r="AD278" s="2636"/>
      <c r="AE278" s="550"/>
      <c r="AF278" s="635"/>
      <c r="AG278" s="2478" t="s">
        <v>1363</v>
      </c>
      <c r="AH278" s="2478"/>
      <c r="AI278" s="2478"/>
      <c r="AJ278" s="2478"/>
      <c r="AK278" s="550"/>
      <c r="AL278" s="550"/>
      <c r="AM278" s="550"/>
      <c r="AO278" s="550"/>
    </row>
    <row r="279" spans="1:52" ht="13.7" customHeight="1">
      <c r="A279" s="550"/>
      <c r="B279" s="596"/>
      <c r="C279" s="636"/>
      <c r="D279" s="550"/>
      <c r="E279" s="547"/>
      <c r="F279" s="2637"/>
      <c r="G279" s="2638"/>
      <c r="H279" s="2638"/>
      <c r="I279" s="2638"/>
      <c r="J279" s="2638"/>
      <c r="K279" s="2638"/>
      <c r="L279" s="2638"/>
      <c r="M279" s="2638"/>
      <c r="N279" s="2638"/>
      <c r="O279" s="2638"/>
      <c r="P279" s="2638"/>
      <c r="Q279" s="2638"/>
      <c r="R279" s="2638"/>
      <c r="S279" s="2638"/>
      <c r="T279" s="2638"/>
      <c r="U279" s="2638"/>
      <c r="V279" s="2638"/>
      <c r="W279" s="2638"/>
      <c r="X279" s="2638"/>
      <c r="Y279" s="2638"/>
      <c r="Z279" s="2638"/>
      <c r="AA279" s="2638"/>
      <c r="AB279" s="2638"/>
      <c r="AC279" s="2638"/>
      <c r="AD279" s="2639"/>
      <c r="AE279" s="550"/>
      <c r="AF279" s="635"/>
      <c r="AG279" s="635"/>
      <c r="AH279" s="635"/>
      <c r="AI279" s="635"/>
      <c r="AJ279" s="550"/>
      <c r="AK279" s="550"/>
      <c r="AL279" s="550"/>
      <c r="AM279" s="550"/>
      <c r="AO279" s="550"/>
    </row>
    <row r="280" spans="1:52">
      <c r="A280" s="550"/>
      <c r="B280" s="596"/>
      <c r="C280" s="636"/>
      <c r="D280" s="550"/>
      <c r="E280" s="547"/>
      <c r="F280" s="2637"/>
      <c r="G280" s="2638"/>
      <c r="H280" s="2638"/>
      <c r="I280" s="2638"/>
      <c r="J280" s="2638"/>
      <c r="K280" s="2638"/>
      <c r="L280" s="2638"/>
      <c r="M280" s="2638"/>
      <c r="N280" s="2638"/>
      <c r="O280" s="2638"/>
      <c r="P280" s="2638"/>
      <c r="Q280" s="2638"/>
      <c r="R280" s="2638"/>
      <c r="S280" s="2638"/>
      <c r="T280" s="2638"/>
      <c r="U280" s="2638"/>
      <c r="V280" s="2638"/>
      <c r="W280" s="2638"/>
      <c r="X280" s="2638"/>
      <c r="Y280" s="2638"/>
      <c r="Z280" s="2638"/>
      <c r="AA280" s="2638"/>
      <c r="AB280" s="2638"/>
      <c r="AC280" s="2638"/>
      <c r="AD280" s="2639"/>
      <c r="AE280" s="550"/>
      <c r="AF280" s="635"/>
      <c r="AG280" s="635"/>
      <c r="AH280" s="635"/>
      <c r="AI280" s="635"/>
      <c r="AJ280" s="550"/>
      <c r="AK280" s="550"/>
      <c r="AL280" s="550"/>
      <c r="AM280" s="550"/>
      <c r="AO280" s="550"/>
      <c r="AP280" s="637"/>
    </row>
    <row r="281" spans="1:52">
      <c r="A281" s="550"/>
      <c r="B281" s="596"/>
      <c r="C281" s="636"/>
      <c r="D281" s="550"/>
      <c r="E281" s="547"/>
      <c r="F281" s="2637"/>
      <c r="G281" s="2638"/>
      <c r="H281" s="2638"/>
      <c r="I281" s="2638"/>
      <c r="J281" s="2638"/>
      <c r="K281" s="2638"/>
      <c r="L281" s="2638"/>
      <c r="M281" s="2638"/>
      <c r="N281" s="2638"/>
      <c r="O281" s="2638"/>
      <c r="P281" s="2638"/>
      <c r="Q281" s="2638"/>
      <c r="R281" s="2638"/>
      <c r="S281" s="2638"/>
      <c r="T281" s="2638"/>
      <c r="U281" s="2638"/>
      <c r="V281" s="2638"/>
      <c r="W281" s="2638"/>
      <c r="X281" s="2638"/>
      <c r="Y281" s="2638"/>
      <c r="Z281" s="2638"/>
      <c r="AA281" s="2638"/>
      <c r="AB281" s="2638"/>
      <c r="AC281" s="2638"/>
      <c r="AD281" s="2639"/>
      <c r="AE281" s="550"/>
      <c r="AF281" s="635"/>
      <c r="AG281" s="635"/>
      <c r="AH281" s="635"/>
      <c r="AI281" s="635"/>
      <c r="AJ281" s="550"/>
      <c r="AK281" s="550"/>
      <c r="AL281" s="550"/>
      <c r="AM281" s="550"/>
      <c r="AO281" s="550"/>
      <c r="AP281" s="637"/>
    </row>
    <row r="282" spans="1:52" ht="13.7" customHeight="1">
      <c r="A282" s="550"/>
      <c r="B282" s="596"/>
      <c r="C282" s="2479"/>
      <c r="D282" s="2479"/>
      <c r="E282" s="547"/>
      <c r="F282" s="2640"/>
      <c r="G282" s="2641"/>
      <c r="H282" s="2641"/>
      <c r="I282" s="2641"/>
      <c r="J282" s="2641"/>
      <c r="K282" s="2641"/>
      <c r="L282" s="2641"/>
      <c r="M282" s="2641"/>
      <c r="N282" s="2641"/>
      <c r="O282" s="2641"/>
      <c r="P282" s="2641"/>
      <c r="Q282" s="2641"/>
      <c r="R282" s="2641"/>
      <c r="S282" s="2641"/>
      <c r="T282" s="2641"/>
      <c r="U282" s="2641"/>
      <c r="V282" s="2641"/>
      <c r="W282" s="2641"/>
      <c r="X282" s="2641"/>
      <c r="Y282" s="2641"/>
      <c r="Z282" s="2641"/>
      <c r="AA282" s="2641"/>
      <c r="AB282" s="2641"/>
      <c r="AC282" s="2641"/>
      <c r="AD282" s="2642"/>
      <c r="AE282" s="550"/>
      <c r="AF282" s="635"/>
      <c r="AG282" s="2478"/>
      <c r="AH282" s="2478"/>
      <c r="AI282" s="2478"/>
      <c r="AJ282" s="2478"/>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5">
        <f>IF($C$278="yes",10,0)</f>
        <v>10</v>
      </c>
      <c r="AL285" s="2485"/>
      <c r="AM285" s="2486"/>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6" t="s">
        <v>1382</v>
      </c>
      <c r="B292" s="1636"/>
      <c r="C292" s="2473" t="s">
        <v>545</v>
      </c>
      <c r="D292" s="2477"/>
      <c r="E292" s="547"/>
      <c r="F292" s="2505" t="s">
        <v>1383</v>
      </c>
      <c r="G292" s="2506"/>
      <c r="H292" s="2506"/>
      <c r="I292" s="2506"/>
      <c r="J292" s="2506"/>
      <c r="K292" s="2506"/>
      <c r="L292" s="2506"/>
      <c r="M292" s="2506"/>
      <c r="N292" s="2506"/>
      <c r="O292" s="2506"/>
      <c r="P292" s="2506"/>
      <c r="Q292" s="2506"/>
      <c r="R292" s="2506"/>
      <c r="S292" s="2506"/>
      <c r="T292" s="2506"/>
      <c r="U292" s="2506"/>
      <c r="V292" s="2506"/>
      <c r="W292" s="2506"/>
      <c r="X292" s="2506"/>
      <c r="Y292" s="2506"/>
      <c r="Z292" s="2506"/>
      <c r="AA292" s="2506"/>
      <c r="AB292" s="2506"/>
      <c r="AC292" s="2506"/>
      <c r="AD292" s="2507"/>
      <c r="AE292" s="642"/>
      <c r="AF292" s="550"/>
      <c r="AG292" s="2508" t="s">
        <v>2018</v>
      </c>
      <c r="AH292" s="2508"/>
      <c r="AI292" s="2508"/>
      <c r="AJ292" s="2508"/>
      <c r="AK292" s="2508"/>
      <c r="AL292" s="550"/>
      <c r="AM292" s="550"/>
      <c r="AN292" s="73"/>
      <c r="AO292" s="14"/>
      <c r="AP292" s="30"/>
      <c r="AS292" s="570"/>
      <c r="AT292" s="570"/>
      <c r="AU292" s="570"/>
      <c r="AV292" s="32"/>
      <c r="AW292" s="32"/>
    </row>
    <row r="293" spans="1:49">
      <c r="A293" s="640"/>
      <c r="B293" s="596"/>
      <c r="F293" s="2499"/>
      <c r="G293" s="2500"/>
      <c r="H293" s="2500"/>
      <c r="I293" s="2500"/>
      <c r="J293" s="2500"/>
      <c r="K293" s="2500"/>
      <c r="L293" s="2500"/>
      <c r="M293" s="2500"/>
      <c r="N293" s="2500"/>
      <c r="O293" s="2500"/>
      <c r="P293" s="2500"/>
      <c r="Q293" s="2500"/>
      <c r="R293" s="2500"/>
      <c r="S293" s="2500"/>
      <c r="T293" s="2500"/>
      <c r="U293" s="2500"/>
      <c r="V293" s="2500"/>
      <c r="W293" s="2500"/>
      <c r="X293" s="2500"/>
      <c r="Y293" s="2500"/>
      <c r="Z293" s="2500"/>
      <c r="AA293" s="2500"/>
      <c r="AB293" s="2500"/>
      <c r="AC293" s="2500"/>
      <c r="AD293" s="2501"/>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9"/>
      <c r="G294" s="2500"/>
      <c r="H294" s="2500"/>
      <c r="I294" s="2500"/>
      <c r="J294" s="2500"/>
      <c r="K294" s="2500"/>
      <c r="L294" s="2500"/>
      <c r="M294" s="2500"/>
      <c r="N294" s="2500"/>
      <c r="O294" s="2500"/>
      <c r="P294" s="2500"/>
      <c r="Q294" s="2500"/>
      <c r="R294" s="2500"/>
      <c r="S294" s="2500"/>
      <c r="T294" s="2500"/>
      <c r="U294" s="2500"/>
      <c r="V294" s="2500"/>
      <c r="W294" s="2500"/>
      <c r="X294" s="2500"/>
      <c r="Y294" s="2500"/>
      <c r="Z294" s="2500"/>
      <c r="AA294" s="2500"/>
      <c r="AB294" s="2500"/>
      <c r="AC294" s="2500"/>
      <c r="AD294" s="2501"/>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9" t="s">
        <v>2026</v>
      </c>
      <c r="G295" s="2500"/>
      <c r="H295" s="2500"/>
      <c r="I295" s="2500"/>
      <c r="J295" s="2500"/>
      <c r="K295" s="2500"/>
      <c r="L295" s="2500"/>
      <c r="M295" s="2500"/>
      <c r="N295" s="2500"/>
      <c r="O295" s="2500"/>
      <c r="P295" s="2500"/>
      <c r="Q295" s="2500"/>
      <c r="R295" s="2500"/>
      <c r="S295" s="2500"/>
      <c r="T295" s="2500"/>
      <c r="U295" s="2500"/>
      <c r="V295" s="2500"/>
      <c r="W295" s="2500"/>
      <c r="X295" s="2500"/>
      <c r="Y295" s="2500"/>
      <c r="Z295" s="2500"/>
      <c r="AA295" s="2500"/>
      <c r="AB295" s="2500"/>
      <c r="AC295" s="2500"/>
      <c r="AD295" s="2501"/>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c r="A296" s="640"/>
      <c r="B296" s="596"/>
      <c r="F296" s="2499"/>
      <c r="G296" s="2500"/>
      <c r="H296" s="2500"/>
      <c r="I296" s="2500"/>
      <c r="J296" s="2500"/>
      <c r="K296" s="2500"/>
      <c r="L296" s="2500"/>
      <c r="M296" s="2500"/>
      <c r="N296" s="2500"/>
      <c r="O296" s="2500"/>
      <c r="P296" s="2500"/>
      <c r="Q296" s="2500"/>
      <c r="R296" s="2500"/>
      <c r="S296" s="2500"/>
      <c r="T296" s="2500"/>
      <c r="U296" s="2500"/>
      <c r="V296" s="2500"/>
      <c r="W296" s="2500"/>
      <c r="X296" s="2500"/>
      <c r="Y296" s="2500"/>
      <c r="Z296" s="2500"/>
      <c r="AA296" s="2500"/>
      <c r="AB296" s="2500"/>
      <c r="AC296" s="2500"/>
      <c r="AD296" s="2501"/>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9" t="s">
        <v>1384</v>
      </c>
      <c r="G297" s="2500"/>
      <c r="H297" s="2500"/>
      <c r="I297" s="2500"/>
      <c r="J297" s="2500"/>
      <c r="K297" s="2500"/>
      <c r="L297" s="2500"/>
      <c r="M297" s="2500"/>
      <c r="N297" s="2500"/>
      <c r="O297" s="2500"/>
      <c r="P297" s="2500"/>
      <c r="Q297" s="2500"/>
      <c r="R297" s="2500"/>
      <c r="S297" s="2500"/>
      <c r="T297" s="2500"/>
      <c r="U297" s="2500"/>
      <c r="V297" s="2500"/>
      <c r="W297" s="2500"/>
      <c r="X297" s="2500"/>
      <c r="Y297" s="2500"/>
      <c r="Z297" s="2500"/>
      <c r="AA297" s="2500"/>
      <c r="AB297" s="2500"/>
      <c r="AC297" s="2500"/>
      <c r="AD297" s="2501"/>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9"/>
      <c r="G298" s="2500"/>
      <c r="H298" s="2500"/>
      <c r="I298" s="2500"/>
      <c r="J298" s="2500"/>
      <c r="K298" s="2500"/>
      <c r="L298" s="2500"/>
      <c r="M298" s="2500"/>
      <c r="N298" s="2500"/>
      <c r="O298" s="2500"/>
      <c r="P298" s="2500"/>
      <c r="Q298" s="2500"/>
      <c r="R298" s="2500"/>
      <c r="S298" s="2500"/>
      <c r="T298" s="2500"/>
      <c r="U298" s="2500"/>
      <c r="V298" s="2500"/>
      <c r="W298" s="2500"/>
      <c r="X298" s="2500"/>
      <c r="Y298" s="2500"/>
      <c r="Z298" s="2500"/>
      <c r="AA298" s="2500"/>
      <c r="AB298" s="2500"/>
      <c r="AC298" s="2500"/>
      <c r="AD298" s="2501"/>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9" t="s">
        <v>1385</v>
      </c>
      <c r="G299" s="2500"/>
      <c r="H299" s="2500"/>
      <c r="I299" s="2500"/>
      <c r="J299" s="2500"/>
      <c r="K299" s="2500"/>
      <c r="L299" s="2500"/>
      <c r="M299" s="2500"/>
      <c r="N299" s="2500"/>
      <c r="O299" s="2500"/>
      <c r="P299" s="2500"/>
      <c r="Q299" s="2500"/>
      <c r="R299" s="2500"/>
      <c r="S299" s="2500"/>
      <c r="T299" s="2500"/>
      <c r="U299" s="2500"/>
      <c r="V299" s="2500"/>
      <c r="W299" s="2500"/>
      <c r="X299" s="2500"/>
      <c r="Y299" s="2500"/>
      <c r="Z299" s="2500"/>
      <c r="AA299" s="2500"/>
      <c r="AB299" s="2500"/>
      <c r="AC299" s="2500"/>
      <c r="AD299" s="2501"/>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2"/>
      <c r="G300" s="2503"/>
      <c r="H300" s="2503"/>
      <c r="I300" s="2503"/>
      <c r="J300" s="2503"/>
      <c r="K300" s="2503"/>
      <c r="L300" s="2503"/>
      <c r="M300" s="2503"/>
      <c r="N300" s="2503"/>
      <c r="O300" s="2503"/>
      <c r="P300" s="2503"/>
      <c r="Q300" s="2503"/>
      <c r="R300" s="2503"/>
      <c r="S300" s="2503"/>
      <c r="T300" s="2503"/>
      <c r="U300" s="2503"/>
      <c r="V300" s="2503"/>
      <c r="W300" s="2503"/>
      <c r="X300" s="2503"/>
      <c r="Y300" s="2503"/>
      <c r="Z300" s="2503"/>
      <c r="AA300" s="2503"/>
      <c r="AB300" s="2503"/>
      <c r="AC300" s="2503"/>
      <c r="AD300" s="2504"/>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6" t="s">
        <v>1386</v>
      </c>
      <c r="B302" s="1636"/>
      <c r="C302" s="2477" t="s">
        <v>591</v>
      </c>
      <c r="D302" s="2477"/>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7" t="s">
        <v>2020</v>
      </c>
      <c r="G303" s="2408"/>
      <c r="H303" s="2408"/>
      <c r="I303" s="2408"/>
      <c r="J303" s="2408"/>
      <c r="K303" s="2408"/>
      <c r="L303" s="2408"/>
      <c r="M303" s="2408"/>
      <c r="N303" s="2408"/>
      <c r="O303" s="2408"/>
      <c r="P303" s="2408"/>
      <c r="Q303" s="2408"/>
      <c r="R303" s="2408"/>
      <c r="S303" s="2408"/>
      <c r="T303" s="2408"/>
      <c r="U303" s="2408"/>
      <c r="V303" s="2408"/>
      <c r="W303" s="2408"/>
      <c r="X303" s="2408"/>
      <c r="Y303" s="2408"/>
      <c r="Z303" s="2408"/>
      <c r="AA303" s="2408"/>
      <c r="AB303" s="2408"/>
      <c r="AC303" s="2408"/>
      <c r="AD303" s="2409"/>
      <c r="AE303" s="551"/>
      <c r="AF303" s="551"/>
      <c r="AG303" s="551"/>
      <c r="AH303" s="551"/>
      <c r="AI303" s="551"/>
      <c r="AJ303" s="550"/>
      <c r="AK303" s="550"/>
      <c r="AL303" s="550"/>
      <c r="AM303" s="550"/>
      <c r="AR303" s="648"/>
    </row>
    <row r="304" spans="1:49" ht="15" customHeight="1">
      <c r="A304" s="550"/>
      <c r="B304" s="551"/>
      <c r="C304" s="550"/>
      <c r="D304" s="551"/>
      <c r="E304" s="550"/>
      <c r="F304" s="2407"/>
      <c r="G304" s="2408"/>
      <c r="H304" s="2408"/>
      <c r="I304" s="2408"/>
      <c r="J304" s="2408"/>
      <c r="K304" s="2408"/>
      <c r="L304" s="2408"/>
      <c r="M304" s="2408"/>
      <c r="N304" s="2408"/>
      <c r="O304" s="2408"/>
      <c r="P304" s="2408"/>
      <c r="Q304" s="2408"/>
      <c r="R304" s="2408"/>
      <c r="S304" s="2408"/>
      <c r="T304" s="2408"/>
      <c r="U304" s="2408"/>
      <c r="V304" s="2408"/>
      <c r="W304" s="2408"/>
      <c r="X304" s="2408"/>
      <c r="Y304" s="2408"/>
      <c r="Z304" s="2408"/>
      <c r="AA304" s="2408"/>
      <c r="AB304" s="2408"/>
      <c r="AC304" s="2408"/>
      <c r="AD304" s="2409"/>
      <c r="AE304" s="551"/>
      <c r="AF304" s="551"/>
      <c r="AG304" s="551"/>
      <c r="AH304" s="551"/>
      <c r="AI304" s="551"/>
      <c r="AJ304" s="550"/>
      <c r="AK304" s="550"/>
      <c r="AL304" s="550"/>
      <c r="AM304" s="550"/>
      <c r="AR304" s="648"/>
    </row>
    <row r="305" spans="1:44">
      <c r="A305" s="550"/>
      <c r="B305" s="551"/>
      <c r="C305" s="550"/>
      <c r="D305" s="551"/>
      <c r="E305" s="550"/>
      <c r="F305" s="2407"/>
      <c r="G305" s="2408"/>
      <c r="H305" s="2408"/>
      <c r="I305" s="2408"/>
      <c r="J305" s="2408"/>
      <c r="K305" s="2408"/>
      <c r="L305" s="2408"/>
      <c r="M305" s="2408"/>
      <c r="N305" s="2408"/>
      <c r="O305" s="2408"/>
      <c r="P305" s="2408"/>
      <c r="Q305" s="2408"/>
      <c r="R305" s="2408"/>
      <c r="S305" s="2408"/>
      <c r="T305" s="2408"/>
      <c r="U305" s="2408"/>
      <c r="V305" s="2408"/>
      <c r="W305" s="2408"/>
      <c r="X305" s="2408"/>
      <c r="Y305" s="2408"/>
      <c r="Z305" s="2408"/>
      <c r="AA305" s="2408"/>
      <c r="AB305" s="2408"/>
      <c r="AC305" s="2408"/>
      <c r="AD305" s="2409"/>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4"/>
      <c r="G306" s="2405"/>
      <c r="H306" s="2405"/>
      <c r="I306" s="2405"/>
      <c r="J306" s="2405"/>
      <c r="K306" s="2405"/>
      <c r="L306" s="2405"/>
      <c r="M306" s="2405"/>
      <c r="N306" s="2405"/>
      <c r="O306" s="2405"/>
      <c r="P306" s="2405"/>
      <c r="Q306" s="2405"/>
      <c r="R306" s="2405"/>
      <c r="S306" s="2405"/>
      <c r="T306" s="2405"/>
      <c r="U306" s="2405"/>
      <c r="V306" s="2405"/>
      <c r="W306" s="2405"/>
      <c r="X306" s="2405"/>
      <c r="Y306" s="2405"/>
      <c r="Z306" s="2405"/>
      <c r="AA306" s="2405"/>
      <c r="AB306" s="2405"/>
      <c r="AC306" s="2405"/>
      <c r="AD306" s="240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6" t="s">
        <v>1389</v>
      </c>
      <c r="B310" s="1636"/>
      <c r="C310" s="2477" t="s">
        <v>591</v>
      </c>
      <c r="D310" s="2477"/>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9" t="s">
        <v>2027</v>
      </c>
      <c r="G311" s="2500"/>
      <c r="H311" s="2500"/>
      <c r="I311" s="2500"/>
      <c r="J311" s="2500"/>
      <c r="K311" s="2500"/>
      <c r="L311" s="2500"/>
      <c r="M311" s="2500"/>
      <c r="N311" s="2500"/>
      <c r="O311" s="2500"/>
      <c r="P311" s="2500"/>
      <c r="Q311" s="2500"/>
      <c r="R311" s="2500"/>
      <c r="S311" s="2500"/>
      <c r="T311" s="2500"/>
      <c r="U311" s="2500"/>
      <c r="V311" s="2500"/>
      <c r="W311" s="2500"/>
      <c r="X311" s="2500"/>
      <c r="Y311" s="2500"/>
      <c r="Z311" s="2500"/>
      <c r="AA311" s="2500"/>
      <c r="AB311" s="2500"/>
      <c r="AC311" s="2500"/>
      <c r="AD311" s="2501"/>
      <c r="AE311" s="551"/>
      <c r="AF311" s="551"/>
      <c r="AG311" s="539"/>
      <c r="AH311" s="551"/>
      <c r="AI311" s="551"/>
      <c r="AJ311" s="550"/>
      <c r="AK311" s="550"/>
      <c r="AL311" s="550"/>
      <c r="AM311" s="550"/>
      <c r="AN311" s="73"/>
      <c r="AO311" s="14"/>
      <c r="AP311" s="557" t="s">
        <v>1184</v>
      </c>
    </row>
    <row r="312" spans="1:44" hidden="1">
      <c r="F312" s="2499"/>
      <c r="G312" s="2500"/>
      <c r="H312" s="2500"/>
      <c r="I312" s="2500"/>
      <c r="J312" s="2500"/>
      <c r="K312" s="2500"/>
      <c r="L312" s="2500"/>
      <c r="M312" s="2500"/>
      <c r="N312" s="2500"/>
      <c r="O312" s="2500"/>
      <c r="P312" s="2500"/>
      <c r="Q312" s="2500"/>
      <c r="R312" s="2500"/>
      <c r="S312" s="2500"/>
      <c r="T312" s="2500"/>
      <c r="U312" s="2500"/>
      <c r="V312" s="2500"/>
      <c r="W312" s="2500"/>
      <c r="X312" s="2500"/>
      <c r="Y312" s="2500"/>
      <c r="Z312" s="2500"/>
      <c r="AA312" s="2500"/>
      <c r="AB312" s="2500"/>
      <c r="AC312" s="2500"/>
      <c r="AD312" s="2501"/>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9" t="s">
        <v>1184</v>
      </c>
      <c r="G316" s="2510"/>
      <c r="H316" s="2510"/>
      <c r="I316" s="2510"/>
      <c r="J316" s="2510"/>
      <c r="K316" s="2510"/>
      <c r="L316" s="2510"/>
      <c r="M316" s="2510"/>
      <c r="N316" s="2510"/>
      <c r="O316" s="2510"/>
      <c r="P316" s="2510"/>
      <c r="Q316" s="2510"/>
      <c r="R316" s="2510"/>
      <c r="S316" s="2510"/>
      <c r="T316" s="2510"/>
      <c r="U316" s="2510"/>
      <c r="V316" s="2510"/>
      <c r="W316" s="2510"/>
      <c r="X316" s="2510"/>
      <c r="Y316" s="2510"/>
      <c r="Z316" s="2510"/>
      <c r="AA316" s="2510"/>
      <c r="AB316" s="2510"/>
      <c r="AC316" s="2510"/>
      <c r="AD316" s="2511"/>
      <c r="AE316" s="642"/>
      <c r="AF316" s="642"/>
      <c r="AG316" s="642"/>
      <c r="AH316" s="642"/>
      <c r="AI316" s="642"/>
      <c r="AJ316" s="642"/>
      <c r="AK316" s="642"/>
      <c r="AL316" s="550"/>
      <c r="AM316" s="550"/>
      <c r="AN316" s="73"/>
      <c r="AO316" s="14"/>
      <c r="AP316" s="30"/>
    </row>
    <row r="317" spans="1:44" hidden="1">
      <c r="A317" s="550"/>
      <c r="B317" s="551"/>
      <c r="C317" s="730"/>
      <c r="D317" s="730"/>
      <c r="E317" s="547"/>
      <c r="F317" s="2509"/>
      <c r="G317" s="2510"/>
      <c r="H317" s="2510"/>
      <c r="I317" s="2510"/>
      <c r="J317" s="2510"/>
      <c r="K317" s="2510"/>
      <c r="L317" s="2510"/>
      <c r="M317" s="2510"/>
      <c r="N317" s="2510"/>
      <c r="O317" s="2510"/>
      <c r="P317" s="2510"/>
      <c r="Q317" s="2510"/>
      <c r="R317" s="2510"/>
      <c r="S317" s="2510"/>
      <c r="T317" s="2510"/>
      <c r="U317" s="2510"/>
      <c r="V317" s="2510"/>
      <c r="W317" s="2510"/>
      <c r="X317" s="2510"/>
      <c r="Y317" s="2510"/>
      <c r="Z317" s="2510"/>
      <c r="AA317" s="2510"/>
      <c r="AB317" s="2510"/>
      <c r="AC317" s="2510"/>
      <c r="AD317" s="2511"/>
      <c r="AE317" s="551"/>
      <c r="AF317" s="551"/>
      <c r="AG317" s="539"/>
      <c r="AH317" s="551"/>
      <c r="AI317" s="551"/>
      <c r="AJ317" s="550"/>
      <c r="AK317" s="550"/>
      <c r="AL317" s="550"/>
      <c r="AM317" s="550"/>
      <c r="AN317" s="73"/>
      <c r="AO317" s="14"/>
      <c r="AP317" s="30"/>
    </row>
    <row r="318" spans="1:44" hidden="1">
      <c r="A318" s="550"/>
      <c r="B318" s="551"/>
      <c r="C318" s="730"/>
      <c r="D318" s="730"/>
      <c r="E318" s="547"/>
      <c r="F318" s="2509"/>
      <c r="G318" s="2510"/>
      <c r="H318" s="2510"/>
      <c r="I318" s="2510"/>
      <c r="J318" s="2510"/>
      <c r="K318" s="2510"/>
      <c r="L318" s="2510"/>
      <c r="M318" s="2510"/>
      <c r="N318" s="2510"/>
      <c r="O318" s="2510"/>
      <c r="P318" s="2510"/>
      <c r="Q318" s="2510"/>
      <c r="R318" s="2510"/>
      <c r="S318" s="2510"/>
      <c r="T318" s="2510"/>
      <c r="U318" s="2510"/>
      <c r="V318" s="2510"/>
      <c r="W318" s="2510"/>
      <c r="X318" s="2510"/>
      <c r="Y318" s="2510"/>
      <c r="Z318" s="2510"/>
      <c r="AA318" s="2510"/>
      <c r="AB318" s="2510"/>
      <c r="AC318" s="2510"/>
      <c r="AD318" s="2511"/>
      <c r="AE318" s="551"/>
      <c r="AF318" s="551"/>
      <c r="AG318" s="539"/>
      <c r="AH318" s="551"/>
      <c r="AI318" s="551"/>
      <c r="AJ318" s="550"/>
      <c r="AK318" s="550"/>
      <c r="AL318" s="550"/>
      <c r="AM318" s="550"/>
      <c r="AN318" s="73"/>
      <c r="AO318" s="14"/>
      <c r="AP318" s="30"/>
    </row>
    <row r="319" spans="1:44" hidden="1">
      <c r="A319" s="550"/>
      <c r="B319" s="551"/>
      <c r="C319" s="730"/>
      <c r="D319" s="730"/>
      <c r="E319" s="547"/>
      <c r="F319" s="2509"/>
      <c r="G319" s="2510"/>
      <c r="H319" s="2510"/>
      <c r="I319" s="2510"/>
      <c r="J319" s="2510"/>
      <c r="K319" s="2510"/>
      <c r="L319" s="2510"/>
      <c r="M319" s="2510"/>
      <c r="N319" s="2510"/>
      <c r="O319" s="2510"/>
      <c r="P319" s="2510"/>
      <c r="Q319" s="2510"/>
      <c r="R319" s="2510"/>
      <c r="S319" s="2510"/>
      <c r="T319" s="2510"/>
      <c r="U319" s="2510"/>
      <c r="V319" s="2510"/>
      <c r="W319" s="2510"/>
      <c r="X319" s="2510"/>
      <c r="Y319" s="2510"/>
      <c r="Z319" s="2510"/>
      <c r="AA319" s="2510"/>
      <c r="AB319" s="2510"/>
      <c r="AC319" s="2510"/>
      <c r="AD319" s="2511"/>
      <c r="AE319" s="551"/>
      <c r="AF319" s="551"/>
      <c r="AG319" s="539"/>
      <c r="AH319" s="551"/>
      <c r="AI319" s="551"/>
      <c r="AJ319" s="550"/>
      <c r="AK319" s="550"/>
      <c r="AL319" s="550"/>
      <c r="AM319" s="550"/>
      <c r="AN319" s="73"/>
      <c r="AO319" s="14"/>
      <c r="AP319" s="30"/>
    </row>
    <row r="320" spans="1:44" hidden="1">
      <c r="A320" s="550"/>
      <c r="B320" s="551"/>
      <c r="C320" s="730"/>
      <c r="D320" s="730"/>
      <c r="E320" s="547"/>
      <c r="F320" s="2512"/>
      <c r="G320" s="2513"/>
      <c r="H320" s="2513"/>
      <c r="I320" s="2513"/>
      <c r="J320" s="2513"/>
      <c r="K320" s="2513"/>
      <c r="L320" s="2513"/>
      <c r="M320" s="2513"/>
      <c r="N320" s="2513"/>
      <c r="O320" s="2513"/>
      <c r="P320" s="2513"/>
      <c r="Q320" s="2513"/>
      <c r="R320" s="2513"/>
      <c r="S320" s="2513"/>
      <c r="T320" s="2513"/>
      <c r="U320" s="2513"/>
      <c r="V320" s="2513"/>
      <c r="W320" s="2513"/>
      <c r="X320" s="2513"/>
      <c r="Y320" s="2513"/>
      <c r="Z320" s="2513"/>
      <c r="AA320" s="2513"/>
      <c r="AB320" s="2513"/>
      <c r="AC320" s="2513"/>
      <c r="AD320" s="2514"/>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5" t="s">
        <v>1184</v>
      </c>
      <c r="J324" s="2515"/>
      <c r="K324" s="2515"/>
      <c r="L324" s="2515"/>
      <c r="M324" s="2515"/>
      <c r="N324" s="2515"/>
      <c r="O324" s="2515"/>
      <c r="P324" s="2515"/>
      <c r="Q324" s="2515"/>
      <c r="R324" s="2515"/>
      <c r="S324" s="2515"/>
      <c r="T324" s="2515"/>
      <c r="U324" s="2515"/>
      <c r="V324" s="2515"/>
      <c r="W324" s="2515"/>
      <c r="X324" s="2515"/>
      <c r="Y324" s="2515"/>
      <c r="Z324" s="2515"/>
      <c r="AA324" s="2515"/>
      <c r="AB324" s="2515"/>
      <c r="AC324" s="2515"/>
      <c r="AD324" s="2516"/>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5"/>
      <c r="J325" s="2515"/>
      <c r="K325" s="2515"/>
      <c r="L325" s="2515"/>
      <c r="M325" s="2515"/>
      <c r="N325" s="2515"/>
      <c r="O325" s="2515"/>
      <c r="P325" s="2515"/>
      <c r="Q325" s="2515"/>
      <c r="R325" s="2515"/>
      <c r="S325" s="2515"/>
      <c r="T325" s="2515"/>
      <c r="U325" s="2515"/>
      <c r="V325" s="2515"/>
      <c r="W325" s="2515"/>
      <c r="X325" s="2515"/>
      <c r="Y325" s="2515"/>
      <c r="Z325" s="2515"/>
      <c r="AA325" s="2515"/>
      <c r="AB325" s="2515"/>
      <c r="AC325" s="2515"/>
      <c r="AD325" s="2516"/>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5"/>
      <c r="J326" s="2515"/>
      <c r="K326" s="2515"/>
      <c r="L326" s="2515"/>
      <c r="M326" s="2515"/>
      <c r="N326" s="2515"/>
      <c r="O326" s="2515"/>
      <c r="P326" s="2515"/>
      <c r="Q326" s="2515"/>
      <c r="R326" s="2515"/>
      <c r="S326" s="2515"/>
      <c r="T326" s="2515"/>
      <c r="U326" s="2515"/>
      <c r="V326" s="2515"/>
      <c r="W326" s="2515"/>
      <c r="X326" s="2515"/>
      <c r="Y326" s="2515"/>
      <c r="Z326" s="2515"/>
      <c r="AA326" s="2515"/>
      <c r="AB326" s="2515"/>
      <c r="AC326" s="2515"/>
      <c r="AD326" s="2516"/>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7"/>
      <c r="J327" s="2517"/>
      <c r="K327" s="2517"/>
      <c r="L327" s="2517"/>
      <c r="M327" s="2517"/>
      <c r="N327" s="2517"/>
      <c r="O327" s="2517"/>
      <c r="P327" s="2517"/>
      <c r="Q327" s="2517"/>
      <c r="R327" s="2517"/>
      <c r="S327" s="2517"/>
      <c r="T327" s="2517"/>
      <c r="U327" s="2517"/>
      <c r="V327" s="2517"/>
      <c r="W327" s="2517"/>
      <c r="X327" s="2517"/>
      <c r="Y327" s="2517"/>
      <c r="Z327" s="2517"/>
      <c r="AA327" s="2517"/>
      <c r="AB327" s="2517"/>
      <c r="AC327" s="2517"/>
      <c r="AD327" s="2518"/>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5" t="s">
        <v>1184</v>
      </c>
      <c r="J329" s="2515"/>
      <c r="K329" s="2515"/>
      <c r="L329" s="2515"/>
      <c r="M329" s="2515"/>
      <c r="N329" s="2515"/>
      <c r="O329" s="2515"/>
      <c r="P329" s="2515"/>
      <c r="Q329" s="2515"/>
      <c r="R329" s="2515"/>
      <c r="S329" s="2515"/>
      <c r="T329" s="2515"/>
      <c r="U329" s="2515"/>
      <c r="V329" s="2515"/>
      <c r="W329" s="2515"/>
      <c r="X329" s="2515"/>
      <c r="Y329" s="2515"/>
      <c r="Z329" s="2515"/>
      <c r="AA329" s="2515"/>
      <c r="AB329" s="2515"/>
      <c r="AC329" s="2515"/>
      <c r="AD329" s="2516"/>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5"/>
      <c r="J330" s="2515"/>
      <c r="K330" s="2515"/>
      <c r="L330" s="2515"/>
      <c r="M330" s="2515"/>
      <c r="N330" s="2515"/>
      <c r="O330" s="2515"/>
      <c r="P330" s="2515"/>
      <c r="Q330" s="2515"/>
      <c r="R330" s="2515"/>
      <c r="S330" s="2515"/>
      <c r="T330" s="2515"/>
      <c r="U330" s="2515"/>
      <c r="V330" s="2515"/>
      <c r="W330" s="2515"/>
      <c r="X330" s="2515"/>
      <c r="Y330" s="2515"/>
      <c r="Z330" s="2515"/>
      <c r="AA330" s="2515"/>
      <c r="AB330" s="2515"/>
      <c r="AC330" s="2515"/>
      <c r="AD330" s="2516"/>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7"/>
      <c r="J331" s="2517"/>
      <c r="K331" s="2517"/>
      <c r="L331" s="2517"/>
      <c r="M331" s="2517"/>
      <c r="N331" s="2517"/>
      <c r="O331" s="2517"/>
      <c r="P331" s="2517"/>
      <c r="Q331" s="2517"/>
      <c r="R331" s="2517"/>
      <c r="S331" s="2517"/>
      <c r="T331" s="2517"/>
      <c r="U331" s="2517"/>
      <c r="V331" s="2517"/>
      <c r="W331" s="2517"/>
      <c r="X331" s="2517"/>
      <c r="Y331" s="2517"/>
      <c r="Z331" s="2517"/>
      <c r="AA331" s="2517"/>
      <c r="AB331" s="2517"/>
      <c r="AC331" s="2517"/>
      <c r="AD331" s="2518"/>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6" t="s">
        <v>1392</v>
      </c>
      <c r="B333" s="1636"/>
      <c r="C333" s="2477" t="s">
        <v>591</v>
      </c>
      <c r="D333" s="2477"/>
      <c r="E333" s="547"/>
      <c r="F333" s="2401" t="s">
        <v>2028</v>
      </c>
      <c r="G333" s="2402"/>
      <c r="H333" s="2402"/>
      <c r="I333" s="2402"/>
      <c r="J333" s="2402"/>
      <c r="K333" s="2402"/>
      <c r="L333" s="2402"/>
      <c r="M333" s="2402"/>
      <c r="N333" s="2402"/>
      <c r="O333" s="2402"/>
      <c r="P333" s="2402"/>
      <c r="Q333" s="2402"/>
      <c r="R333" s="2402"/>
      <c r="S333" s="2402"/>
      <c r="T333" s="2402"/>
      <c r="U333" s="2402"/>
      <c r="V333" s="2402"/>
      <c r="W333" s="2402"/>
      <c r="X333" s="2402"/>
      <c r="Y333" s="2402"/>
      <c r="Z333" s="2402"/>
      <c r="AA333" s="2402"/>
      <c r="AB333" s="2402"/>
      <c r="AC333" s="2402"/>
      <c r="AD333" s="2403"/>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7"/>
      <c r="G334" s="2408"/>
      <c r="H334" s="2408"/>
      <c r="I334" s="2408"/>
      <c r="J334" s="2408"/>
      <c r="K334" s="2408"/>
      <c r="L334" s="2408"/>
      <c r="M334" s="2408"/>
      <c r="N334" s="2408"/>
      <c r="O334" s="2408"/>
      <c r="P334" s="2408"/>
      <c r="Q334" s="2408"/>
      <c r="R334" s="2408"/>
      <c r="S334" s="2408"/>
      <c r="T334" s="2408"/>
      <c r="U334" s="2408"/>
      <c r="V334" s="2408"/>
      <c r="W334" s="2408"/>
      <c r="X334" s="2408"/>
      <c r="Y334" s="2408"/>
      <c r="Z334" s="2408"/>
      <c r="AA334" s="2408"/>
      <c r="AB334" s="2408"/>
      <c r="AC334" s="2408"/>
      <c r="AD334" s="2409"/>
      <c r="AE334" s="551"/>
      <c r="AF334" s="551"/>
      <c r="AG334" s="551"/>
      <c r="AH334" s="551"/>
      <c r="AI334" s="551"/>
      <c r="AJ334" s="550"/>
      <c r="AK334" s="550"/>
      <c r="AL334" s="550"/>
      <c r="AM334" s="550"/>
      <c r="AN334" s="73"/>
      <c r="AO334" s="14"/>
    </row>
    <row r="335" spans="1:42" ht="15" hidden="1" customHeight="1">
      <c r="A335" s="550"/>
      <c r="B335" s="551"/>
      <c r="C335" s="551"/>
      <c r="D335" s="551"/>
      <c r="E335" s="551"/>
      <c r="F335" s="2407"/>
      <c r="G335" s="2408"/>
      <c r="H335" s="2408"/>
      <c r="I335" s="2408"/>
      <c r="J335" s="2408"/>
      <c r="K335" s="2408"/>
      <c r="L335" s="2408"/>
      <c r="M335" s="2408"/>
      <c r="N335" s="2408"/>
      <c r="O335" s="2408"/>
      <c r="P335" s="2408"/>
      <c r="Q335" s="2408"/>
      <c r="R335" s="2408"/>
      <c r="S335" s="2408"/>
      <c r="T335" s="2408"/>
      <c r="U335" s="2408"/>
      <c r="V335" s="2408"/>
      <c r="W335" s="2408"/>
      <c r="X335" s="2408"/>
      <c r="Y335" s="2408"/>
      <c r="Z335" s="2408"/>
      <c r="AA335" s="2408"/>
      <c r="AB335" s="2408"/>
      <c r="AC335" s="2408"/>
      <c r="AD335" s="2409"/>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80">
        <f>IF(NOT(OR(Application!M355="Yes",Application!M356="Yes")),0,AP295)</f>
        <v>10</v>
      </c>
      <c r="AL338" s="2481"/>
      <c r="AM338" s="2482"/>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10" t="s">
        <v>1314</v>
      </c>
      <c r="AF341" s="2410"/>
      <c r="AG341" s="2410"/>
      <c r="AH341" s="2410"/>
      <c r="AI341" s="2410"/>
      <c r="AJ341" s="2410"/>
      <c r="AK341" s="2410"/>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9" t="s">
        <v>1454</v>
      </c>
      <c r="D343" s="2519"/>
      <c r="E343" s="2519"/>
      <c r="F343" s="2519"/>
      <c r="G343" s="2519"/>
      <c r="H343" s="2519"/>
      <c r="I343" s="2519"/>
      <c r="J343" s="2519"/>
      <c r="K343" s="2519"/>
      <c r="L343" s="2519"/>
      <c r="M343" s="2519"/>
      <c r="N343" s="2519"/>
      <c r="O343" s="2519"/>
      <c r="P343" s="2519"/>
      <c r="Q343" s="2519"/>
      <c r="R343" s="2519"/>
      <c r="S343" s="2519"/>
      <c r="T343" s="2519"/>
      <c r="U343" s="2519"/>
      <c r="V343" s="2519"/>
      <c r="W343" s="2519"/>
      <c r="X343" s="2519"/>
      <c r="Y343" s="2519"/>
      <c r="Z343" s="2519"/>
      <c r="AA343" s="2519"/>
      <c r="AB343" s="2519"/>
      <c r="AC343" s="2519"/>
      <c r="AD343" s="2519"/>
      <c r="AE343" s="2519"/>
      <c r="AF343" s="2519"/>
      <c r="AG343" s="2519"/>
      <c r="AH343" s="2519"/>
      <c r="AI343" s="2519"/>
      <c r="AJ343" s="2519"/>
      <c r="AK343" s="603"/>
      <c r="AL343" s="603"/>
      <c r="AM343" s="603"/>
      <c r="AN343" s="597"/>
    </row>
    <row r="344" spans="1:44" s="550" customFormat="1" ht="12.75" customHeight="1">
      <c r="A344" s="603"/>
      <c r="B344" s="611"/>
      <c r="C344" s="2519"/>
      <c r="D344" s="2519"/>
      <c r="E344" s="2519"/>
      <c r="F344" s="2519"/>
      <c r="G344" s="2519"/>
      <c r="H344" s="2519"/>
      <c r="I344" s="2519"/>
      <c r="J344" s="2519"/>
      <c r="K344" s="2519"/>
      <c r="L344" s="2519"/>
      <c r="M344" s="2519"/>
      <c r="N344" s="2519"/>
      <c r="O344" s="2519"/>
      <c r="P344" s="2519"/>
      <c r="Q344" s="2519"/>
      <c r="R344" s="2519"/>
      <c r="S344" s="2519"/>
      <c r="T344" s="2519"/>
      <c r="U344" s="2519"/>
      <c r="V344" s="2519"/>
      <c r="W344" s="2519"/>
      <c r="X344" s="2519"/>
      <c r="Y344" s="2519"/>
      <c r="Z344" s="2519"/>
      <c r="AA344" s="2519"/>
      <c r="AB344" s="2519"/>
      <c r="AC344" s="2519"/>
      <c r="AD344" s="2519"/>
      <c r="AE344" s="2519"/>
      <c r="AF344" s="2519"/>
      <c r="AG344" s="2519"/>
      <c r="AH344" s="2519"/>
      <c r="AI344" s="2519"/>
      <c r="AJ344" s="2519"/>
      <c r="AK344" s="603"/>
      <c r="AL344" s="603"/>
      <c r="AM344" s="603"/>
      <c r="AN344" s="597"/>
    </row>
    <row r="345" spans="1:44" s="550" customFormat="1" ht="12.75" customHeight="1">
      <c r="A345" s="603"/>
      <c r="B345" s="611"/>
      <c r="C345" s="2519"/>
      <c r="D345" s="2519"/>
      <c r="E345" s="2519"/>
      <c r="F345" s="2519"/>
      <c r="G345" s="2519"/>
      <c r="H345" s="2519"/>
      <c r="I345" s="2519"/>
      <c r="J345" s="2519"/>
      <c r="K345" s="2519"/>
      <c r="L345" s="2519"/>
      <c r="M345" s="2519"/>
      <c r="N345" s="2519"/>
      <c r="O345" s="2519"/>
      <c r="P345" s="2519"/>
      <c r="Q345" s="2519"/>
      <c r="R345" s="2519"/>
      <c r="S345" s="2519"/>
      <c r="T345" s="2519"/>
      <c r="U345" s="2519"/>
      <c r="V345" s="2519"/>
      <c r="W345" s="2519"/>
      <c r="X345" s="2519"/>
      <c r="Y345" s="2519"/>
      <c r="Z345" s="2519"/>
      <c r="AA345" s="2519"/>
      <c r="AB345" s="2519"/>
      <c r="AC345" s="2519"/>
      <c r="AD345" s="2519"/>
      <c r="AE345" s="2519"/>
      <c r="AF345" s="2519"/>
      <c r="AG345" s="2519"/>
      <c r="AH345" s="2519"/>
      <c r="AI345" s="2519"/>
      <c r="AJ345" s="2519"/>
      <c r="AK345" s="603"/>
      <c r="AL345" s="603"/>
      <c r="AM345" s="603"/>
      <c r="AN345" s="597"/>
      <c r="AQ345" s="570"/>
    </row>
    <row r="346" spans="1:44" s="550" customFormat="1" ht="12.75" customHeight="1">
      <c r="A346" s="603"/>
      <c r="B346" s="611"/>
      <c r="C346" s="2519"/>
      <c r="D346" s="2519"/>
      <c r="E346" s="2519"/>
      <c r="F346" s="2519"/>
      <c r="G346" s="2519"/>
      <c r="H346" s="2519"/>
      <c r="I346" s="2519"/>
      <c r="J346" s="2519"/>
      <c r="K346" s="2519"/>
      <c r="L346" s="2519"/>
      <c r="M346" s="2519"/>
      <c r="N346" s="2519"/>
      <c r="O346" s="2519"/>
      <c r="P346" s="2519"/>
      <c r="Q346" s="2519"/>
      <c r="R346" s="2519"/>
      <c r="S346" s="2519"/>
      <c r="T346" s="2519"/>
      <c r="U346" s="2519"/>
      <c r="V346" s="2519"/>
      <c r="W346" s="2519"/>
      <c r="X346" s="2519"/>
      <c r="Y346" s="2519"/>
      <c r="Z346" s="2519"/>
      <c r="AA346" s="2519"/>
      <c r="AB346" s="2519"/>
      <c r="AC346" s="2519"/>
      <c r="AD346" s="2519"/>
      <c r="AE346" s="2519"/>
      <c r="AF346" s="2519"/>
      <c r="AG346" s="2519"/>
      <c r="AH346" s="2519"/>
      <c r="AI346" s="2519"/>
      <c r="AJ346" s="2519"/>
      <c r="AK346" s="603"/>
      <c r="AL346" s="603"/>
      <c r="AM346" s="603"/>
      <c r="AN346" s="597"/>
      <c r="AQ346" s="570"/>
    </row>
    <row r="347" spans="1:44" s="550" customFormat="1" ht="12.4" customHeight="1">
      <c r="A347" s="603"/>
      <c r="B347" s="611"/>
      <c r="C347" s="2519"/>
      <c r="D347" s="2519"/>
      <c r="E347" s="2519"/>
      <c r="F347" s="2519"/>
      <c r="G347" s="2519"/>
      <c r="H347" s="2519"/>
      <c r="I347" s="2519"/>
      <c r="J347" s="2519"/>
      <c r="K347" s="2519"/>
      <c r="L347" s="2519"/>
      <c r="M347" s="2519"/>
      <c r="N347" s="2519"/>
      <c r="O347" s="2519"/>
      <c r="P347" s="2519"/>
      <c r="Q347" s="2519"/>
      <c r="R347" s="2519"/>
      <c r="S347" s="2519"/>
      <c r="T347" s="2519"/>
      <c r="U347" s="2519"/>
      <c r="V347" s="2519"/>
      <c r="W347" s="2519"/>
      <c r="X347" s="2519"/>
      <c r="Y347" s="2519"/>
      <c r="Z347" s="2519"/>
      <c r="AA347" s="2519"/>
      <c r="AB347" s="2519"/>
      <c r="AC347" s="2519"/>
      <c r="AD347" s="2519"/>
      <c r="AE347" s="2519"/>
      <c r="AF347" s="2519"/>
      <c r="AG347" s="2519"/>
      <c r="AH347" s="2519"/>
      <c r="AI347" s="2519"/>
      <c r="AJ347" s="2519"/>
      <c r="AK347" s="603"/>
      <c r="AL347" s="603"/>
      <c r="AM347" s="603"/>
      <c r="AN347" s="597"/>
      <c r="AQ347" s="570"/>
      <c r="AR347" s="570"/>
    </row>
    <row r="348" spans="1:44" s="550" customFormat="1" ht="45.75" customHeight="1">
      <c r="A348" s="603"/>
      <c r="B348" s="611"/>
      <c r="C348" s="2519" t="s">
        <v>2093</v>
      </c>
      <c r="D348" s="2519"/>
      <c r="E348" s="2519"/>
      <c r="F348" s="2519"/>
      <c r="G348" s="2519"/>
      <c r="H348" s="2519"/>
      <c r="I348" s="2519"/>
      <c r="J348" s="2519"/>
      <c r="K348" s="2519"/>
      <c r="L348" s="2519"/>
      <c r="M348" s="2519"/>
      <c r="N348" s="2519"/>
      <c r="O348" s="2519"/>
      <c r="P348" s="2519"/>
      <c r="Q348" s="2519"/>
      <c r="R348" s="2519"/>
      <c r="S348" s="2519"/>
      <c r="T348" s="2519"/>
      <c r="U348" s="2519"/>
      <c r="V348" s="2519"/>
      <c r="W348" s="2519"/>
      <c r="X348" s="2519"/>
      <c r="Y348" s="2519"/>
      <c r="Z348" s="2519"/>
      <c r="AA348" s="2519"/>
      <c r="AB348" s="2519"/>
      <c r="AC348" s="2519"/>
      <c r="AD348" s="2519"/>
      <c r="AE348" s="2519"/>
      <c r="AF348" s="2519"/>
      <c r="AG348" s="2519"/>
      <c r="AH348" s="2519"/>
      <c r="AI348" s="2519"/>
      <c r="AJ348" s="2519"/>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9" t="s">
        <v>2208</v>
      </c>
      <c r="D350" s="2519"/>
      <c r="E350" s="2519"/>
      <c r="F350" s="2519"/>
      <c r="G350" s="2519"/>
      <c r="H350" s="2519"/>
      <c r="I350" s="2519"/>
      <c r="J350" s="2519"/>
      <c r="K350" s="2519"/>
      <c r="L350" s="2519"/>
      <c r="M350" s="2519"/>
      <c r="N350" s="2519"/>
      <c r="O350" s="2519"/>
      <c r="P350" s="2519"/>
      <c r="Q350" s="2519"/>
      <c r="R350" s="2519"/>
      <c r="S350" s="2519"/>
      <c r="T350" s="2519"/>
      <c r="U350" s="2519"/>
      <c r="V350" s="2519"/>
      <c r="W350" s="2519"/>
      <c r="X350" s="2519"/>
      <c r="Y350" s="2519"/>
      <c r="Z350" s="2519"/>
      <c r="AA350" s="2519"/>
      <c r="AB350" s="2519"/>
      <c r="AC350" s="2519"/>
      <c r="AD350" s="2519"/>
      <c r="AE350" s="2519"/>
      <c r="AF350" s="2519"/>
      <c r="AG350" s="2519"/>
      <c r="AH350" s="2519"/>
      <c r="AI350" s="2519"/>
      <c r="AJ350" s="2519"/>
      <c r="AK350" s="603"/>
      <c r="AL350" s="603"/>
      <c r="AM350" s="603"/>
      <c r="AN350" s="597"/>
      <c r="AQ350" s="570"/>
      <c r="AR350" s="570"/>
    </row>
    <row r="351" spans="1:44" s="550" customFormat="1" ht="30" customHeight="1">
      <c r="A351" s="603"/>
      <c r="B351" s="611"/>
      <c r="C351" s="2519"/>
      <c r="D351" s="2519"/>
      <c r="E351" s="2519"/>
      <c r="F351" s="2519"/>
      <c r="G351" s="2519"/>
      <c r="H351" s="2519"/>
      <c r="I351" s="2519"/>
      <c r="J351" s="2519"/>
      <c r="K351" s="2519"/>
      <c r="L351" s="2519"/>
      <c r="M351" s="2519"/>
      <c r="N351" s="2519"/>
      <c r="O351" s="2519"/>
      <c r="P351" s="2519"/>
      <c r="Q351" s="2519"/>
      <c r="R351" s="2519"/>
      <c r="S351" s="2519"/>
      <c r="T351" s="2519"/>
      <c r="U351" s="2519"/>
      <c r="V351" s="2519"/>
      <c r="W351" s="2519"/>
      <c r="X351" s="2519"/>
      <c r="Y351" s="2519"/>
      <c r="Z351" s="2519"/>
      <c r="AA351" s="2519"/>
      <c r="AB351" s="2519"/>
      <c r="AC351" s="2519"/>
      <c r="AD351" s="2519"/>
      <c r="AE351" s="2519"/>
      <c r="AF351" s="2519"/>
      <c r="AG351" s="2519"/>
      <c r="AH351" s="2519"/>
      <c r="AI351" s="2519"/>
      <c r="AJ351" s="2519"/>
      <c r="AK351" s="603"/>
      <c r="AL351" s="603"/>
      <c r="AM351" s="603"/>
      <c r="AN351" s="597"/>
      <c r="AR351" s="570"/>
    </row>
    <row r="352" spans="1:44" s="550" customFormat="1" ht="12.75" customHeight="1">
      <c r="A352" s="603"/>
      <c r="B352" s="611"/>
      <c r="C352" s="2519"/>
      <c r="D352" s="2519"/>
      <c r="E352" s="2519"/>
      <c r="F352" s="2519"/>
      <c r="G352" s="2519"/>
      <c r="H352" s="2519"/>
      <c r="I352" s="2519"/>
      <c r="J352" s="2519"/>
      <c r="K352" s="2519"/>
      <c r="L352" s="2519"/>
      <c r="M352" s="2519"/>
      <c r="N352" s="2519"/>
      <c r="O352" s="2519"/>
      <c r="P352" s="2519"/>
      <c r="Q352" s="2519"/>
      <c r="R352" s="2519"/>
      <c r="S352" s="2519"/>
      <c r="T352" s="2519"/>
      <c r="U352" s="2519"/>
      <c r="V352" s="2519"/>
      <c r="W352" s="2519"/>
      <c r="X352" s="2519"/>
      <c r="Y352" s="2519"/>
      <c r="Z352" s="2519"/>
      <c r="AA352" s="2519"/>
      <c r="AB352" s="2519"/>
      <c r="AC352" s="2519"/>
      <c r="AD352" s="2519"/>
      <c r="AE352" s="2519"/>
      <c r="AF352" s="2519"/>
      <c r="AG352" s="2519"/>
      <c r="AH352" s="2519"/>
      <c r="AI352" s="2519"/>
      <c r="AJ352" s="2519"/>
      <c r="AK352" s="603"/>
      <c r="AL352" s="603"/>
      <c r="AM352" s="603"/>
      <c r="AN352" s="597"/>
      <c r="AR352" s="570"/>
    </row>
    <row r="353" spans="1:46" s="550" customFormat="1" ht="12.75" customHeight="1">
      <c r="A353" s="603"/>
      <c r="B353" s="611"/>
      <c r="C353" s="2519" t="s">
        <v>1455</v>
      </c>
      <c r="D353" s="2519"/>
      <c r="E353" s="2519"/>
      <c r="F353" s="2519"/>
      <c r="G353" s="2519"/>
      <c r="H353" s="2519"/>
      <c r="I353" s="2519"/>
      <c r="J353" s="2519"/>
      <c r="K353" s="2519"/>
      <c r="L353" s="2519"/>
      <c r="M353" s="2519"/>
      <c r="N353" s="2519"/>
      <c r="O353" s="2519"/>
      <c r="P353" s="2519"/>
      <c r="Q353" s="2519"/>
      <c r="R353" s="2519"/>
      <c r="S353" s="2519"/>
      <c r="T353" s="2519"/>
      <c r="U353" s="2519"/>
      <c r="V353" s="2519"/>
      <c r="W353" s="2519"/>
      <c r="X353" s="2519"/>
      <c r="Y353" s="2519"/>
      <c r="Z353" s="2519"/>
      <c r="AA353" s="2519"/>
      <c r="AB353" s="2519"/>
      <c r="AC353" s="2519"/>
      <c r="AD353" s="2519"/>
      <c r="AE353" s="2519"/>
      <c r="AF353" s="2519"/>
      <c r="AG353" s="2519"/>
      <c r="AH353" s="2519"/>
      <c r="AI353" s="2519"/>
      <c r="AJ353" s="2519"/>
      <c r="AK353" s="603"/>
      <c r="AL353" s="603"/>
      <c r="AM353" s="603"/>
      <c r="AN353" s="597"/>
      <c r="AQ353" s="570"/>
      <c r="AR353" s="570"/>
    </row>
    <row r="354" spans="1:46" s="550" customFormat="1" ht="12.75" customHeight="1">
      <c r="A354" s="603"/>
      <c r="B354" s="611"/>
      <c r="C354" s="2519"/>
      <c r="D354" s="2519"/>
      <c r="E354" s="2519"/>
      <c r="F354" s="2519"/>
      <c r="G354" s="2519"/>
      <c r="H354" s="2519"/>
      <c r="I354" s="2519"/>
      <c r="J354" s="2519"/>
      <c r="K354" s="2519"/>
      <c r="L354" s="2519"/>
      <c r="M354" s="2519"/>
      <c r="N354" s="2519"/>
      <c r="O354" s="2519"/>
      <c r="P354" s="2519"/>
      <c r="Q354" s="2519"/>
      <c r="R354" s="2519"/>
      <c r="S354" s="2519"/>
      <c r="T354" s="2519"/>
      <c r="U354" s="2519"/>
      <c r="V354" s="2519"/>
      <c r="W354" s="2519"/>
      <c r="X354" s="2519"/>
      <c r="Y354" s="2519"/>
      <c r="Z354" s="2519"/>
      <c r="AA354" s="2519"/>
      <c r="AB354" s="2519"/>
      <c r="AC354" s="2519"/>
      <c r="AD354" s="2519"/>
      <c r="AE354" s="2519"/>
      <c r="AF354" s="2519"/>
      <c r="AG354" s="2519"/>
      <c r="AH354" s="2519"/>
      <c r="AI354" s="2519"/>
      <c r="AJ354" s="2519"/>
      <c r="AK354" s="603"/>
      <c r="AL354" s="603"/>
      <c r="AM354" s="603"/>
      <c r="AN354" s="597"/>
      <c r="AQ354" s="570"/>
      <c r="AR354" s="570"/>
    </row>
    <row r="355" spans="1:46" s="550" customFormat="1" ht="13.15" customHeight="1">
      <c r="A355" s="603"/>
      <c r="B355" s="611"/>
      <c r="C355" s="2519"/>
      <c r="D355" s="2519"/>
      <c r="E355" s="2519"/>
      <c r="F355" s="2519"/>
      <c r="G355" s="2519"/>
      <c r="H355" s="2519"/>
      <c r="I355" s="2519"/>
      <c r="J355" s="2519"/>
      <c r="K355" s="2519"/>
      <c r="L355" s="2519"/>
      <c r="M355" s="2519"/>
      <c r="N355" s="2519"/>
      <c r="O355" s="2519"/>
      <c r="P355" s="2519"/>
      <c r="Q355" s="2519"/>
      <c r="R355" s="2519"/>
      <c r="S355" s="2519"/>
      <c r="T355" s="2519"/>
      <c r="U355" s="2519"/>
      <c r="V355" s="2519"/>
      <c r="W355" s="2519"/>
      <c r="X355" s="2519"/>
      <c r="Y355" s="2519"/>
      <c r="Z355" s="2519"/>
      <c r="AA355" s="2519"/>
      <c r="AB355" s="2519"/>
      <c r="AC355" s="2519"/>
      <c r="AD355" s="2519"/>
      <c r="AE355" s="2519"/>
      <c r="AF355" s="2519"/>
      <c r="AG355" s="2519"/>
      <c r="AH355" s="2519"/>
      <c r="AI355" s="2519"/>
      <c r="AJ355" s="2519"/>
      <c r="AK355" s="603"/>
      <c r="AL355" s="603"/>
      <c r="AM355" s="603"/>
      <c r="AN355" s="597"/>
      <c r="AQ355" s="570"/>
      <c r="AR355" s="570"/>
    </row>
    <row r="356" spans="1:46" s="550" customFormat="1" ht="12.75" customHeight="1">
      <c r="A356" s="603"/>
      <c r="B356" s="611"/>
      <c r="C356" s="2519"/>
      <c r="D356" s="2519"/>
      <c r="E356" s="2519"/>
      <c r="F356" s="2519"/>
      <c r="G356" s="2519"/>
      <c r="H356" s="2519"/>
      <c r="I356" s="2519"/>
      <c r="J356" s="2519"/>
      <c r="K356" s="2519"/>
      <c r="L356" s="2519"/>
      <c r="M356" s="2519"/>
      <c r="N356" s="2519"/>
      <c r="O356" s="2519"/>
      <c r="P356" s="2519"/>
      <c r="Q356" s="2519"/>
      <c r="R356" s="2519"/>
      <c r="S356" s="2519"/>
      <c r="T356" s="2519"/>
      <c r="U356" s="2519"/>
      <c r="V356" s="2519"/>
      <c r="W356" s="2519"/>
      <c r="X356" s="2519"/>
      <c r="Y356" s="2519"/>
      <c r="Z356" s="2519"/>
      <c r="AA356" s="2519"/>
      <c r="AB356" s="2519"/>
      <c r="AC356" s="2519"/>
      <c r="AD356" s="2519"/>
      <c r="AE356" s="2519"/>
      <c r="AF356" s="2519"/>
      <c r="AG356" s="2519"/>
      <c r="AH356" s="2519"/>
      <c r="AI356" s="2519"/>
      <c r="AJ356" s="2519"/>
      <c r="AK356" s="603"/>
      <c r="AL356" s="603"/>
      <c r="AM356" s="603"/>
      <c r="AN356" s="597"/>
      <c r="AO356" s="694"/>
      <c r="AP356" s="694"/>
      <c r="AQ356" s="570"/>
    </row>
    <row r="357" spans="1:46" s="550" customFormat="1" ht="11.85" customHeight="1">
      <c r="A357" s="603"/>
      <c r="B357" s="611"/>
      <c r="C357" s="2519"/>
      <c r="D357" s="2519"/>
      <c r="E357" s="2519"/>
      <c r="F357" s="2519"/>
      <c r="G357" s="2519"/>
      <c r="H357" s="2519"/>
      <c r="I357" s="2519"/>
      <c r="J357" s="2519"/>
      <c r="K357" s="2519"/>
      <c r="L357" s="2519"/>
      <c r="M357" s="2519"/>
      <c r="N357" s="2519"/>
      <c r="O357" s="2519"/>
      <c r="P357" s="2519"/>
      <c r="Q357" s="2519"/>
      <c r="R357" s="2519"/>
      <c r="S357" s="2519"/>
      <c r="T357" s="2519"/>
      <c r="U357" s="2519"/>
      <c r="V357" s="2519"/>
      <c r="W357" s="2519"/>
      <c r="X357" s="2519"/>
      <c r="Y357" s="2519"/>
      <c r="Z357" s="2519"/>
      <c r="AA357" s="2519"/>
      <c r="AB357" s="2519"/>
      <c r="AC357" s="2519"/>
      <c r="AD357" s="2519"/>
      <c r="AE357" s="2519"/>
      <c r="AF357" s="2519"/>
      <c r="AG357" s="2519"/>
      <c r="AH357" s="2519"/>
      <c r="AI357" s="2519"/>
      <c r="AJ357" s="2519"/>
      <c r="AK357" s="603"/>
      <c r="AL357" s="603"/>
      <c r="AM357" s="603"/>
      <c r="AN357" s="597"/>
      <c r="AO357" s="695" t="s">
        <v>112</v>
      </c>
      <c r="AP357" s="696">
        <f>IF(C381="Yes",5,0)</f>
        <v>0</v>
      </c>
      <c r="AS357" s="539" t="s">
        <v>1456</v>
      </c>
    </row>
    <row r="358" spans="1:46" s="550" customFormat="1" ht="12.75" customHeight="1">
      <c r="A358" s="603"/>
      <c r="B358" s="611"/>
      <c r="C358" s="2519"/>
      <c r="D358" s="2519"/>
      <c r="E358" s="2519"/>
      <c r="F358" s="2519"/>
      <c r="G358" s="2519"/>
      <c r="H358" s="2519"/>
      <c r="I358" s="2519"/>
      <c r="J358" s="2519"/>
      <c r="K358" s="2519"/>
      <c r="L358" s="2519"/>
      <c r="M358" s="2519"/>
      <c r="N358" s="2519"/>
      <c r="O358" s="2519"/>
      <c r="P358" s="2519"/>
      <c r="Q358" s="2519"/>
      <c r="R358" s="2519"/>
      <c r="S358" s="2519"/>
      <c r="T358" s="2519"/>
      <c r="U358" s="2519"/>
      <c r="V358" s="2519"/>
      <c r="W358" s="2519"/>
      <c r="X358" s="2519"/>
      <c r="Y358" s="2519"/>
      <c r="Z358" s="2519"/>
      <c r="AA358" s="2519"/>
      <c r="AB358" s="2519"/>
      <c r="AC358" s="2519"/>
      <c r="AD358" s="2519"/>
      <c r="AE358" s="2519"/>
      <c r="AF358" s="2519"/>
      <c r="AG358" s="2519"/>
      <c r="AH358" s="2519"/>
      <c r="AI358" s="2519"/>
      <c r="AJ358" s="2519"/>
      <c r="AK358" s="603"/>
      <c r="AL358" s="603"/>
      <c r="AM358" s="603"/>
      <c r="AN358" s="597"/>
      <c r="AO358" s="695" t="s">
        <v>113</v>
      </c>
      <c r="AP358" s="696">
        <f>IF(C389="Yes",5,0)</f>
        <v>0</v>
      </c>
      <c r="AS358" s="2540">
        <f>IF(Application!D211="Non-Targeted",(SUM(AQ366+AQ375)),AS362)</f>
        <v>12</v>
      </c>
      <c r="AT358" s="2540"/>
    </row>
    <row r="359" spans="1:46" s="550" customFormat="1" ht="12.75" customHeight="1">
      <c r="A359" s="603"/>
      <c r="B359" s="611"/>
      <c r="C359" s="2519"/>
      <c r="D359" s="2519"/>
      <c r="E359" s="2519"/>
      <c r="F359" s="2519"/>
      <c r="G359" s="2519"/>
      <c r="H359" s="2519"/>
      <c r="I359" s="2519"/>
      <c r="J359" s="2519"/>
      <c r="K359" s="2519"/>
      <c r="L359" s="2519"/>
      <c r="M359" s="2519"/>
      <c r="N359" s="2519"/>
      <c r="O359" s="2519"/>
      <c r="P359" s="2519"/>
      <c r="Q359" s="2519"/>
      <c r="R359" s="2519"/>
      <c r="S359" s="2519"/>
      <c r="T359" s="2519"/>
      <c r="U359" s="2519"/>
      <c r="V359" s="2519"/>
      <c r="W359" s="2519"/>
      <c r="X359" s="2519"/>
      <c r="Y359" s="2519"/>
      <c r="Z359" s="2519"/>
      <c r="AA359" s="2519"/>
      <c r="AB359" s="2519"/>
      <c r="AC359" s="2519"/>
      <c r="AD359" s="2519"/>
      <c r="AE359" s="2519"/>
      <c r="AF359" s="2519"/>
      <c r="AG359" s="2519"/>
      <c r="AH359" s="2519"/>
      <c r="AI359" s="2519"/>
      <c r="AJ359" s="2519"/>
      <c r="AK359" s="603"/>
      <c r="AL359" s="603"/>
      <c r="AM359" s="603"/>
      <c r="AN359" s="597"/>
      <c r="AO359" s="695" t="s">
        <v>119</v>
      </c>
      <c r="AP359" s="696">
        <f>IF(C397="Yes",7,0)</f>
        <v>7</v>
      </c>
      <c r="AS359" s="539" t="s">
        <v>1457</v>
      </c>
    </row>
    <row r="360" spans="1:46" s="550" customFormat="1" ht="12.75" customHeight="1">
      <c r="A360" s="603"/>
      <c r="B360" s="611"/>
      <c r="C360" s="2519"/>
      <c r="D360" s="2519"/>
      <c r="E360" s="2519"/>
      <c r="F360" s="2519"/>
      <c r="G360" s="2519"/>
      <c r="H360" s="2519"/>
      <c r="I360" s="2519"/>
      <c r="J360" s="2519"/>
      <c r="K360" s="2519"/>
      <c r="L360" s="2519"/>
      <c r="M360" s="2519"/>
      <c r="N360" s="2519"/>
      <c r="O360" s="2519"/>
      <c r="P360" s="2519"/>
      <c r="Q360" s="2519"/>
      <c r="R360" s="2519"/>
      <c r="S360" s="2519"/>
      <c r="T360" s="2519"/>
      <c r="U360" s="2519"/>
      <c r="V360" s="2519"/>
      <c r="W360" s="2519"/>
      <c r="X360" s="2519"/>
      <c r="Y360" s="2519"/>
      <c r="Z360" s="2519"/>
      <c r="AA360" s="2519"/>
      <c r="AB360" s="2519"/>
      <c r="AC360" s="2519"/>
      <c r="AD360" s="2519"/>
      <c r="AE360" s="2519"/>
      <c r="AF360" s="2519"/>
      <c r="AG360" s="2519"/>
      <c r="AH360" s="2519"/>
      <c r="AI360" s="2519"/>
      <c r="AJ360" s="2519"/>
      <c r="AK360" s="603"/>
      <c r="AL360" s="603"/>
      <c r="AM360" s="603"/>
      <c r="AN360" s="597"/>
      <c r="AO360" s="597"/>
      <c r="AP360" s="696">
        <f>IF(C399="Yes",5,0)</f>
        <v>0</v>
      </c>
      <c r="AS360" s="2540">
        <f>IF(AND(AQ366&gt;0,AQ375&gt;0),(AQ366+AQ375)/2,0)</f>
        <v>0</v>
      </c>
      <c r="AT360" s="2540"/>
    </row>
    <row r="361" spans="1:46" s="550" customFormat="1" ht="12.75" customHeight="1">
      <c r="A361" s="603"/>
      <c r="B361" s="611"/>
      <c r="C361" s="2519"/>
      <c r="D361" s="2519"/>
      <c r="E361" s="2519"/>
      <c r="F361" s="2519"/>
      <c r="G361" s="2519"/>
      <c r="H361" s="2519"/>
      <c r="I361" s="2519"/>
      <c r="J361" s="2519"/>
      <c r="K361" s="2519"/>
      <c r="L361" s="2519"/>
      <c r="M361" s="2519"/>
      <c r="N361" s="2519"/>
      <c r="O361" s="2519"/>
      <c r="P361" s="2519"/>
      <c r="Q361" s="2519"/>
      <c r="R361" s="2519"/>
      <c r="S361" s="2519"/>
      <c r="T361" s="2519"/>
      <c r="U361" s="2519"/>
      <c r="V361" s="2519"/>
      <c r="W361" s="2519"/>
      <c r="X361" s="2519"/>
      <c r="Y361" s="2519"/>
      <c r="Z361" s="2519"/>
      <c r="AA361" s="2519"/>
      <c r="AB361" s="2519"/>
      <c r="AC361" s="2519"/>
      <c r="AD361" s="2519"/>
      <c r="AE361" s="2519"/>
      <c r="AF361" s="2519"/>
      <c r="AG361" s="2519"/>
      <c r="AH361" s="2519"/>
      <c r="AI361" s="2519"/>
      <c r="AJ361" s="2519"/>
      <c r="AK361" s="603"/>
      <c r="AL361" s="603"/>
      <c r="AM361" s="603"/>
      <c r="AN361" s="597"/>
      <c r="AO361" s="695" t="s">
        <v>581</v>
      </c>
      <c r="AP361" s="696">
        <f>IF(C407="Yes",5,0)</f>
        <v>0</v>
      </c>
      <c r="AS361" s="539" t="s">
        <v>1879</v>
      </c>
    </row>
    <row r="362" spans="1:46" s="550" customFormat="1" ht="12.75" customHeight="1">
      <c r="A362" s="603"/>
      <c r="B362" s="611"/>
      <c r="C362" s="2541" t="s">
        <v>2233</v>
      </c>
      <c r="D362" s="2541"/>
      <c r="E362" s="2541"/>
      <c r="F362" s="2541"/>
      <c r="G362" s="2541"/>
      <c r="H362" s="2541"/>
      <c r="I362" s="2541"/>
      <c r="J362" s="2541"/>
      <c r="K362" s="2541"/>
      <c r="L362" s="2541"/>
      <c r="M362" s="2541"/>
      <c r="N362" s="2541"/>
      <c r="O362" s="2541"/>
      <c r="P362" s="2541"/>
      <c r="Q362" s="2541"/>
      <c r="R362" s="2541"/>
      <c r="S362" s="2541"/>
      <c r="T362" s="2541"/>
      <c r="U362" s="2541"/>
      <c r="V362" s="2541"/>
      <c r="W362" s="2541"/>
      <c r="X362" s="2541"/>
      <c r="Y362" s="2541"/>
      <c r="Z362" s="2541"/>
      <c r="AA362" s="2541"/>
      <c r="AB362" s="2541"/>
      <c r="AC362" s="2541"/>
      <c r="AD362" s="2541"/>
      <c r="AE362" s="2541"/>
      <c r="AF362" s="2541"/>
      <c r="AG362" s="2541"/>
      <c r="AH362" s="2541"/>
      <c r="AI362" s="2541"/>
      <c r="AJ362" s="2541"/>
      <c r="AK362" s="603"/>
      <c r="AL362" s="603"/>
      <c r="AM362" s="603"/>
      <c r="AN362" s="597"/>
      <c r="AO362" s="597"/>
      <c r="AP362" s="696">
        <f>IF(C409="Yes",3,0)</f>
        <v>0</v>
      </c>
      <c r="AS362" s="2540">
        <f>IF(AQ366=0,AQ375,AQ366)</f>
        <v>12</v>
      </c>
      <c r="AT362" s="2540"/>
    </row>
    <row r="363" spans="1:46" s="550" customFormat="1" ht="12.75" customHeight="1">
      <c r="A363" s="603"/>
      <c r="B363" s="611"/>
      <c r="C363" s="2541"/>
      <c r="D363" s="2541"/>
      <c r="E363" s="2541"/>
      <c r="F363" s="2541"/>
      <c r="G363" s="2541"/>
      <c r="H363" s="2541"/>
      <c r="I363" s="2541"/>
      <c r="J363" s="2541"/>
      <c r="K363" s="2541"/>
      <c r="L363" s="2541"/>
      <c r="M363" s="2541"/>
      <c r="N363" s="2541"/>
      <c r="O363" s="2541"/>
      <c r="P363" s="2541"/>
      <c r="Q363" s="2541"/>
      <c r="R363" s="2541"/>
      <c r="S363" s="2541"/>
      <c r="T363" s="2541"/>
      <c r="U363" s="2541"/>
      <c r="V363" s="2541"/>
      <c r="W363" s="2541"/>
      <c r="X363" s="2541"/>
      <c r="Y363" s="2541"/>
      <c r="Z363" s="2541"/>
      <c r="AA363" s="2541"/>
      <c r="AB363" s="2541"/>
      <c r="AC363" s="2541"/>
      <c r="AD363" s="2541"/>
      <c r="AE363" s="2541"/>
      <c r="AF363" s="2541"/>
      <c r="AG363" s="2541"/>
      <c r="AH363" s="2541"/>
      <c r="AI363" s="2541"/>
      <c r="AJ363" s="2541"/>
      <c r="AK363" s="603"/>
      <c r="AL363" s="603"/>
      <c r="AM363" s="603"/>
      <c r="AN363" s="597"/>
      <c r="AO363" s="695" t="s">
        <v>763</v>
      </c>
      <c r="AP363" s="696">
        <f>IF(C412="Yes",5,0)</f>
        <v>0</v>
      </c>
    </row>
    <row r="364" spans="1:46" s="550" customFormat="1" ht="12.75" customHeight="1">
      <c r="A364" s="603"/>
      <c r="B364" s="611"/>
      <c r="C364" s="2541"/>
      <c r="D364" s="2541"/>
      <c r="E364" s="2541"/>
      <c r="F364" s="2541"/>
      <c r="G364" s="2541"/>
      <c r="H364" s="2541"/>
      <c r="I364" s="2541"/>
      <c r="J364" s="2541"/>
      <c r="K364" s="2541"/>
      <c r="L364" s="2541"/>
      <c r="M364" s="2541"/>
      <c r="N364" s="2541"/>
      <c r="O364" s="2541"/>
      <c r="P364" s="2541"/>
      <c r="Q364" s="2541"/>
      <c r="R364" s="2541"/>
      <c r="S364" s="2541"/>
      <c r="T364" s="2541"/>
      <c r="U364" s="2541"/>
      <c r="V364" s="2541"/>
      <c r="W364" s="2541"/>
      <c r="X364" s="2541"/>
      <c r="Y364" s="2541"/>
      <c r="Z364" s="2541"/>
      <c r="AA364" s="2541"/>
      <c r="AB364" s="2541"/>
      <c r="AC364" s="2541"/>
      <c r="AD364" s="2541"/>
      <c r="AE364" s="2541"/>
      <c r="AF364" s="2541"/>
      <c r="AG364" s="2541"/>
      <c r="AH364" s="2541"/>
      <c r="AI364" s="2541"/>
      <c r="AJ364" s="2541"/>
      <c r="AK364" s="603"/>
      <c r="AL364" s="603"/>
      <c r="AM364" s="603"/>
      <c r="AN364" s="597"/>
      <c r="AO364" s="695" t="s">
        <v>584</v>
      </c>
      <c r="AP364" s="696">
        <f>IF(C421="Yes",5,0)</f>
        <v>5</v>
      </c>
    </row>
    <row r="365" spans="1:46" s="550" customFormat="1" ht="11.85" customHeight="1">
      <c r="A365" s="603"/>
      <c r="B365" s="611"/>
      <c r="C365" s="2541"/>
      <c r="D365" s="2541"/>
      <c r="E365" s="2541"/>
      <c r="F365" s="2541"/>
      <c r="G365" s="2541"/>
      <c r="H365" s="2541"/>
      <c r="I365" s="2541"/>
      <c r="J365" s="2541"/>
      <c r="K365" s="2541"/>
      <c r="L365" s="2541"/>
      <c r="M365" s="2541"/>
      <c r="N365" s="2541"/>
      <c r="O365" s="2541"/>
      <c r="P365" s="2541"/>
      <c r="Q365" s="2541"/>
      <c r="R365" s="2541"/>
      <c r="S365" s="2541"/>
      <c r="T365" s="2541"/>
      <c r="U365" s="2541"/>
      <c r="V365" s="2541"/>
      <c r="W365" s="2541"/>
      <c r="X365" s="2541"/>
      <c r="Y365" s="2541"/>
      <c r="Z365" s="2541"/>
      <c r="AA365" s="2541"/>
      <c r="AB365" s="2541"/>
      <c r="AC365" s="2541"/>
      <c r="AD365" s="2541"/>
      <c r="AE365" s="2541"/>
      <c r="AF365" s="2541"/>
      <c r="AG365" s="2541"/>
      <c r="AH365" s="2541"/>
      <c r="AI365" s="2541"/>
      <c r="AJ365" s="2541"/>
      <c r="AK365" s="603"/>
      <c r="AL365" s="603"/>
      <c r="AM365" s="603"/>
      <c r="AN365" s="597"/>
      <c r="AO365" s="697"/>
      <c r="AP365" s="698">
        <f>IF(C423="Yes",3,0)</f>
        <v>0</v>
      </c>
    </row>
    <row r="366" spans="1:46" s="550" customFormat="1" ht="12.4" customHeight="1">
      <c r="A366" s="603"/>
      <c r="B366" s="611"/>
      <c r="C366" s="2541"/>
      <c r="D366" s="2541"/>
      <c r="E366" s="2541"/>
      <c r="F366" s="2541"/>
      <c r="G366" s="2541"/>
      <c r="H366" s="2541"/>
      <c r="I366" s="2541"/>
      <c r="J366" s="2541"/>
      <c r="K366" s="2541"/>
      <c r="L366" s="2541"/>
      <c r="M366" s="2541"/>
      <c r="N366" s="2541"/>
      <c r="O366" s="2541"/>
      <c r="P366" s="2541"/>
      <c r="Q366" s="2541"/>
      <c r="R366" s="2541"/>
      <c r="S366" s="2541"/>
      <c r="T366" s="2541"/>
      <c r="U366" s="2541"/>
      <c r="V366" s="2541"/>
      <c r="W366" s="2541"/>
      <c r="X366" s="2541"/>
      <c r="Y366" s="2541"/>
      <c r="Z366" s="2541"/>
      <c r="AA366" s="2541"/>
      <c r="AB366" s="2541"/>
      <c r="AC366" s="2541"/>
      <c r="AD366" s="2541"/>
      <c r="AE366" s="2541"/>
      <c r="AF366" s="2541"/>
      <c r="AG366" s="2541"/>
      <c r="AH366" s="2541"/>
      <c r="AI366" s="2541"/>
      <c r="AJ366" s="2541"/>
      <c r="AK366" s="603"/>
      <c r="AL366" s="603"/>
      <c r="AM366" s="603"/>
      <c r="AN366" s="597"/>
      <c r="AO366" s="699" t="s">
        <v>226</v>
      </c>
      <c r="AP366" s="700">
        <f>SUM(AP357:AP365)</f>
        <v>12</v>
      </c>
      <c r="AQ366" s="2542">
        <f>IF(AP366&gt;0,AP366,0)</f>
        <v>12</v>
      </c>
      <c r="AR366" s="2542"/>
    </row>
    <row r="367" spans="1:46" s="550" customFormat="1" ht="12.75" customHeight="1">
      <c r="A367" s="603"/>
      <c r="B367" s="611"/>
      <c r="C367" s="2541"/>
      <c r="D367" s="2541"/>
      <c r="E367" s="2541"/>
      <c r="F367" s="2541"/>
      <c r="G367" s="2541"/>
      <c r="H367" s="2541"/>
      <c r="I367" s="2541"/>
      <c r="J367" s="2541"/>
      <c r="K367" s="2541"/>
      <c r="L367" s="2541"/>
      <c r="M367" s="2541"/>
      <c r="N367" s="2541"/>
      <c r="O367" s="2541"/>
      <c r="P367" s="2541"/>
      <c r="Q367" s="2541"/>
      <c r="R367" s="2541"/>
      <c r="S367" s="2541"/>
      <c r="T367" s="2541"/>
      <c r="U367" s="2541"/>
      <c r="V367" s="2541"/>
      <c r="W367" s="2541"/>
      <c r="X367" s="2541"/>
      <c r="Y367" s="2541"/>
      <c r="Z367" s="2541"/>
      <c r="AA367" s="2541"/>
      <c r="AB367" s="2541"/>
      <c r="AC367" s="2541"/>
      <c r="AD367" s="2541"/>
      <c r="AE367" s="2541"/>
      <c r="AF367" s="2541"/>
      <c r="AG367" s="2541"/>
      <c r="AH367" s="2541"/>
      <c r="AI367" s="2541"/>
      <c r="AJ367" s="2541"/>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9" t="s">
        <v>1458</v>
      </c>
      <c r="D369" s="2519"/>
      <c r="E369" s="2519"/>
      <c r="F369" s="2519"/>
      <c r="G369" s="2519"/>
      <c r="H369" s="2519"/>
      <c r="I369" s="2519"/>
      <c r="J369" s="2519"/>
      <c r="K369" s="2519"/>
      <c r="L369" s="2519"/>
      <c r="M369" s="2519"/>
      <c r="N369" s="2519"/>
      <c r="O369" s="2519"/>
      <c r="P369" s="2519"/>
      <c r="Q369" s="2519"/>
      <c r="R369" s="2519"/>
      <c r="S369" s="2519"/>
      <c r="T369" s="2519"/>
      <c r="U369" s="2519"/>
      <c r="V369" s="2519"/>
      <c r="W369" s="2519"/>
      <c r="X369" s="2519"/>
      <c r="Y369" s="2519"/>
      <c r="Z369" s="2519"/>
      <c r="AA369" s="2519"/>
      <c r="AB369" s="2519"/>
      <c r="AC369" s="2519"/>
      <c r="AD369" s="2519"/>
      <c r="AE369" s="2519"/>
      <c r="AF369" s="2519"/>
      <c r="AG369" s="2519"/>
      <c r="AH369" s="2519"/>
      <c r="AI369" s="2519"/>
      <c r="AJ369" s="2519"/>
      <c r="AK369" s="603"/>
      <c r="AL369" s="603"/>
      <c r="AM369" s="603"/>
      <c r="AN369" s="597"/>
      <c r="AO369" s="695" t="s">
        <v>456</v>
      </c>
      <c r="AP369" s="696">
        <f>IF(C442="Yes",5,0)</f>
        <v>0</v>
      </c>
    </row>
    <row r="370" spans="1:81" s="550" customFormat="1" ht="12.75" customHeight="1">
      <c r="A370" s="603"/>
      <c r="B370" s="611"/>
      <c r="C370" s="2519"/>
      <c r="D370" s="2519"/>
      <c r="E370" s="2519"/>
      <c r="F370" s="2519"/>
      <c r="G370" s="2519"/>
      <c r="H370" s="2519"/>
      <c r="I370" s="2519"/>
      <c r="J370" s="2519"/>
      <c r="K370" s="2519"/>
      <c r="L370" s="2519"/>
      <c r="M370" s="2519"/>
      <c r="N370" s="2519"/>
      <c r="O370" s="2519"/>
      <c r="P370" s="2519"/>
      <c r="Q370" s="2519"/>
      <c r="R370" s="2519"/>
      <c r="S370" s="2519"/>
      <c r="T370" s="2519"/>
      <c r="U370" s="2519"/>
      <c r="V370" s="2519"/>
      <c r="W370" s="2519"/>
      <c r="X370" s="2519"/>
      <c r="Y370" s="2519"/>
      <c r="Z370" s="2519"/>
      <c r="AA370" s="2519"/>
      <c r="AB370" s="2519"/>
      <c r="AC370" s="2519"/>
      <c r="AD370" s="2519"/>
      <c r="AE370" s="2519"/>
      <c r="AF370" s="2519"/>
      <c r="AG370" s="2519"/>
      <c r="AH370" s="2519"/>
      <c r="AI370" s="2519"/>
      <c r="AJ370" s="2519"/>
      <c r="AK370" s="603"/>
      <c r="AL370" s="603"/>
      <c r="AM370" s="603"/>
      <c r="AN370" s="597"/>
      <c r="AO370" s="695" t="s">
        <v>461</v>
      </c>
      <c r="AP370" s="696">
        <f>IF(C449="Yes",5,0)</f>
        <v>0</v>
      </c>
    </row>
    <row r="371" spans="1:81" s="550" customFormat="1" ht="68.099999999999994" customHeight="1">
      <c r="A371" s="603"/>
      <c r="B371" s="611"/>
      <c r="C371" s="2519"/>
      <c r="D371" s="2519"/>
      <c r="E371" s="2519"/>
      <c r="F371" s="2519"/>
      <c r="G371" s="2519"/>
      <c r="H371" s="2519"/>
      <c r="I371" s="2519"/>
      <c r="J371" s="2519"/>
      <c r="K371" s="2519"/>
      <c r="L371" s="2519"/>
      <c r="M371" s="2519"/>
      <c r="N371" s="2519"/>
      <c r="O371" s="2519"/>
      <c r="P371" s="2519"/>
      <c r="Q371" s="2519"/>
      <c r="R371" s="2519"/>
      <c r="S371" s="2519"/>
      <c r="T371" s="2519"/>
      <c r="U371" s="2519"/>
      <c r="V371" s="2519"/>
      <c r="W371" s="2519"/>
      <c r="X371" s="2519"/>
      <c r="Y371" s="2519"/>
      <c r="Z371" s="2519"/>
      <c r="AA371" s="2519"/>
      <c r="AB371" s="2519"/>
      <c r="AC371" s="2519"/>
      <c r="AD371" s="2519"/>
      <c r="AE371" s="2519"/>
      <c r="AF371" s="2519"/>
      <c r="AG371" s="2519"/>
      <c r="AH371" s="2519"/>
      <c r="AI371" s="2519"/>
      <c r="AJ371" s="2519"/>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7">
        <f>Application!DU802-U374</f>
        <v>235</v>
      </c>
      <c r="V373" s="2627"/>
      <c r="W373" s="2627"/>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8">
        <f>IF(Application!D211="SRO",Application!DU755,Application!AG756)</f>
        <v>0</v>
      </c>
      <c r="V374" s="2628"/>
      <c r="W374" s="2628"/>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2">
        <f>IF(AP375&gt;0,AP375,0)</f>
        <v>0</v>
      </c>
      <c r="AR375" s="2542"/>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3" t="s">
        <v>1460</v>
      </c>
      <c r="G377" s="2523"/>
      <c r="H377" s="2523"/>
      <c r="I377" s="2523"/>
      <c r="J377" s="2523"/>
      <c r="K377" s="2523"/>
      <c r="L377" s="2523"/>
      <c r="M377" s="2523"/>
      <c r="N377" s="2523"/>
      <c r="O377" s="2523"/>
      <c r="P377" s="2523"/>
      <c r="Q377" s="2523"/>
      <c r="R377" s="2523"/>
      <c r="S377" s="2523"/>
      <c r="T377" s="2523"/>
      <c r="U377" s="2523"/>
      <c r="V377" s="2523"/>
      <c r="W377" s="2523"/>
      <c r="X377" s="2523"/>
      <c r="Y377" s="2523"/>
      <c r="Z377" s="2523"/>
      <c r="AA377" s="2523"/>
      <c r="AB377" s="2523"/>
      <c r="AC377" s="2523"/>
      <c r="AD377" s="2523"/>
      <c r="AE377" s="2523"/>
      <c r="AF377" s="2523"/>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4"/>
      <c r="G378" s="2524"/>
      <c r="H378" s="2524"/>
      <c r="I378" s="2524"/>
      <c r="J378" s="2524"/>
      <c r="K378" s="2524"/>
      <c r="L378" s="2524"/>
      <c r="M378" s="2524"/>
      <c r="N378" s="2524"/>
      <c r="O378" s="2524"/>
      <c r="P378" s="2524"/>
      <c r="Q378" s="2524"/>
      <c r="R378" s="2524"/>
      <c r="S378" s="2524"/>
      <c r="T378" s="2524"/>
      <c r="U378" s="2524"/>
      <c r="V378" s="2524"/>
      <c r="W378" s="2524"/>
      <c r="X378" s="2524"/>
      <c r="Y378" s="2524"/>
      <c r="Z378" s="2524"/>
      <c r="AA378" s="2524"/>
      <c r="AB378" s="2524"/>
      <c r="AC378" s="2524"/>
      <c r="AD378" s="2524"/>
      <c r="AE378" s="2524"/>
      <c r="AF378" s="2524"/>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4"/>
      <c r="G379" s="2524"/>
      <c r="H379" s="2524"/>
      <c r="I379" s="2524"/>
      <c r="J379" s="2524"/>
      <c r="K379" s="2524"/>
      <c r="L379" s="2524"/>
      <c r="M379" s="2524"/>
      <c r="N379" s="2524"/>
      <c r="O379" s="2524"/>
      <c r="P379" s="2524"/>
      <c r="Q379" s="2524"/>
      <c r="R379" s="2524"/>
      <c r="S379" s="2524"/>
      <c r="T379" s="2524"/>
      <c r="U379" s="2524"/>
      <c r="V379" s="2524"/>
      <c r="W379" s="2524"/>
      <c r="X379" s="2524"/>
      <c r="Y379" s="2524"/>
      <c r="Z379" s="2524"/>
      <c r="AA379" s="2524"/>
      <c r="AB379" s="2524"/>
      <c r="AC379" s="2524"/>
      <c r="AD379" s="2524"/>
      <c r="AE379" s="2524"/>
      <c r="AF379" s="2524"/>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4"/>
      <c r="G380" s="2524"/>
      <c r="H380" s="2524"/>
      <c r="I380" s="2524"/>
      <c r="J380" s="2524"/>
      <c r="K380" s="2524"/>
      <c r="L380" s="2524"/>
      <c r="M380" s="2524"/>
      <c r="N380" s="2524"/>
      <c r="O380" s="2524"/>
      <c r="P380" s="2524"/>
      <c r="Q380" s="2524"/>
      <c r="R380" s="2524"/>
      <c r="S380" s="2524"/>
      <c r="T380" s="2524"/>
      <c r="U380" s="2524"/>
      <c r="V380" s="2524"/>
      <c r="W380" s="2524"/>
      <c r="X380" s="2524"/>
      <c r="Y380" s="2524"/>
      <c r="Z380" s="2524"/>
      <c r="AA380" s="2524"/>
      <c r="AB380" s="2524"/>
      <c r="AC380" s="2524"/>
      <c r="AD380" s="2524"/>
      <c r="AE380" s="2524"/>
      <c r="AF380" s="2524"/>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0" t="s">
        <v>591</v>
      </c>
      <c r="D381" s="2477"/>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1" t="s">
        <v>1462</v>
      </c>
      <c r="AG381" s="2521"/>
      <c r="AH381" s="2521"/>
      <c r="AI381" s="2521"/>
      <c r="AJ381" s="2521"/>
      <c r="AK381" s="2521"/>
      <c r="AL381" s="252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3" t="s">
        <v>1463</v>
      </c>
      <c r="G384" s="2523"/>
      <c r="H384" s="2523"/>
      <c r="I384" s="2523"/>
      <c r="J384" s="2523"/>
      <c r="K384" s="2523"/>
      <c r="L384" s="2523"/>
      <c r="M384" s="2523"/>
      <c r="N384" s="2523"/>
      <c r="O384" s="2523"/>
      <c r="P384" s="2523"/>
      <c r="Q384" s="2523"/>
      <c r="R384" s="2523"/>
      <c r="S384" s="2523"/>
      <c r="T384" s="2523"/>
      <c r="U384" s="2523"/>
      <c r="V384" s="2523"/>
      <c r="W384" s="2523"/>
      <c r="X384" s="2523"/>
      <c r="Y384" s="2523"/>
      <c r="Z384" s="2523"/>
      <c r="AA384" s="2523"/>
      <c r="AB384" s="2523"/>
      <c r="AC384" s="2523"/>
      <c r="AD384" s="2523"/>
      <c r="AE384" s="2523"/>
      <c r="AF384" s="2523"/>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4"/>
      <c r="G385" s="2524"/>
      <c r="H385" s="2524"/>
      <c r="I385" s="2524"/>
      <c r="J385" s="2524"/>
      <c r="K385" s="2524"/>
      <c r="L385" s="2524"/>
      <c r="M385" s="2524"/>
      <c r="N385" s="2524"/>
      <c r="O385" s="2524"/>
      <c r="P385" s="2524"/>
      <c r="Q385" s="2524"/>
      <c r="R385" s="2524"/>
      <c r="S385" s="2524"/>
      <c r="T385" s="2524"/>
      <c r="U385" s="2524"/>
      <c r="V385" s="2524"/>
      <c r="W385" s="2524"/>
      <c r="X385" s="2524"/>
      <c r="Y385" s="2524"/>
      <c r="Z385" s="2524"/>
      <c r="AA385" s="2524"/>
      <c r="AB385" s="2524"/>
      <c r="AC385" s="2524"/>
      <c r="AD385" s="2524"/>
      <c r="AE385" s="2524"/>
      <c r="AF385" s="2524"/>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4"/>
      <c r="G386" s="2524"/>
      <c r="H386" s="2524"/>
      <c r="I386" s="2524"/>
      <c r="J386" s="2524"/>
      <c r="K386" s="2524"/>
      <c r="L386" s="2524"/>
      <c r="M386" s="2524"/>
      <c r="N386" s="2524"/>
      <c r="O386" s="2524"/>
      <c r="P386" s="2524"/>
      <c r="Q386" s="2524"/>
      <c r="R386" s="2524"/>
      <c r="S386" s="2524"/>
      <c r="T386" s="2524"/>
      <c r="U386" s="2524"/>
      <c r="V386" s="2524"/>
      <c r="W386" s="2524"/>
      <c r="X386" s="2524"/>
      <c r="Y386" s="2524"/>
      <c r="Z386" s="2524"/>
      <c r="AA386" s="2524"/>
      <c r="AB386" s="2524"/>
      <c r="AC386" s="2524"/>
      <c r="AD386" s="2524"/>
      <c r="AE386" s="2524"/>
      <c r="AF386" s="2524"/>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4"/>
      <c r="G387" s="2524"/>
      <c r="H387" s="2524"/>
      <c r="I387" s="2524"/>
      <c r="J387" s="2524"/>
      <c r="K387" s="2524"/>
      <c r="L387" s="2524"/>
      <c r="M387" s="2524"/>
      <c r="N387" s="2524"/>
      <c r="O387" s="2524"/>
      <c r="P387" s="2524"/>
      <c r="Q387" s="2524"/>
      <c r="R387" s="2524"/>
      <c r="S387" s="2524"/>
      <c r="T387" s="2524"/>
      <c r="U387" s="2524"/>
      <c r="V387" s="2524"/>
      <c r="W387" s="2524"/>
      <c r="X387" s="2524"/>
      <c r="Y387" s="2524"/>
      <c r="Z387" s="2524"/>
      <c r="AA387" s="2524"/>
      <c r="AB387" s="2524"/>
      <c r="AC387" s="2524"/>
      <c r="AD387" s="2524"/>
      <c r="AE387" s="2524"/>
      <c r="AF387" s="2524"/>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4"/>
      <c r="G388" s="2524"/>
      <c r="H388" s="2524"/>
      <c r="I388" s="2524"/>
      <c r="J388" s="2524"/>
      <c r="K388" s="2524"/>
      <c r="L388" s="2524"/>
      <c r="M388" s="2524"/>
      <c r="N388" s="2524"/>
      <c r="O388" s="2524"/>
      <c r="P388" s="2524"/>
      <c r="Q388" s="2524"/>
      <c r="R388" s="2524"/>
      <c r="S388" s="2524"/>
      <c r="T388" s="2524"/>
      <c r="U388" s="2524"/>
      <c r="V388" s="2524"/>
      <c r="W388" s="2524"/>
      <c r="X388" s="2524"/>
      <c r="Y388" s="2524"/>
      <c r="Z388" s="2524"/>
      <c r="AA388" s="2524"/>
      <c r="AB388" s="2524"/>
      <c r="AC388" s="2524"/>
      <c r="AD388" s="2524"/>
      <c r="AE388" s="2524"/>
      <c r="AF388" s="2524"/>
      <c r="AL388" s="732"/>
      <c r="AN388" s="597"/>
      <c r="BS388" s="30"/>
      <c r="BT388" s="30"/>
      <c r="BU388" s="14"/>
      <c r="BV388" s="14"/>
      <c r="BW388" s="14"/>
      <c r="BX388" s="14"/>
      <c r="BY388" s="14"/>
      <c r="BZ388" s="14"/>
      <c r="CA388" s="14"/>
      <c r="CB388" s="14"/>
      <c r="CC388" s="14"/>
    </row>
    <row r="389" spans="1:81" s="550" customFormat="1" ht="12.75" customHeight="1">
      <c r="A389" s="536"/>
      <c r="B389" s="14"/>
      <c r="C389" s="2520" t="s">
        <v>591</v>
      </c>
      <c r="D389" s="2477"/>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1" t="s">
        <v>1462</v>
      </c>
      <c r="AG389" s="2521"/>
      <c r="AH389" s="2521"/>
      <c r="AI389" s="2521"/>
      <c r="AJ389" s="2521"/>
      <c r="AK389" s="2521"/>
      <c r="AL389" s="252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3" t="s">
        <v>1465</v>
      </c>
      <c r="G392" s="2523"/>
      <c r="H392" s="2523"/>
      <c r="I392" s="2523"/>
      <c r="J392" s="2523"/>
      <c r="K392" s="2523"/>
      <c r="L392" s="2523"/>
      <c r="M392" s="2523"/>
      <c r="N392" s="2523"/>
      <c r="O392" s="2523"/>
      <c r="P392" s="2523"/>
      <c r="Q392" s="2523"/>
      <c r="R392" s="2523"/>
      <c r="S392" s="2523"/>
      <c r="T392" s="2523"/>
      <c r="U392" s="2523"/>
      <c r="V392" s="2523"/>
      <c r="W392" s="2523"/>
      <c r="X392" s="2523"/>
      <c r="Y392" s="2523"/>
      <c r="Z392" s="2523"/>
      <c r="AA392" s="2523"/>
      <c r="AB392" s="2523"/>
      <c r="AC392" s="2523"/>
      <c r="AD392" s="2523"/>
      <c r="AE392" s="2523"/>
      <c r="AF392" s="2523"/>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4"/>
      <c r="G393" s="2524"/>
      <c r="H393" s="2524"/>
      <c r="I393" s="2524"/>
      <c r="J393" s="2524"/>
      <c r="K393" s="2524"/>
      <c r="L393" s="2524"/>
      <c r="M393" s="2524"/>
      <c r="N393" s="2524"/>
      <c r="O393" s="2524"/>
      <c r="P393" s="2524"/>
      <c r="Q393" s="2524"/>
      <c r="R393" s="2524"/>
      <c r="S393" s="2524"/>
      <c r="T393" s="2524"/>
      <c r="U393" s="2524"/>
      <c r="V393" s="2524"/>
      <c r="W393" s="2524"/>
      <c r="X393" s="2524"/>
      <c r="Y393" s="2524"/>
      <c r="Z393" s="2524"/>
      <c r="AA393" s="2524"/>
      <c r="AB393" s="2524"/>
      <c r="AC393" s="2524"/>
      <c r="AD393" s="2524"/>
      <c r="AE393" s="2524"/>
      <c r="AF393" s="2524"/>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4"/>
      <c r="G394" s="2524"/>
      <c r="H394" s="2524"/>
      <c r="I394" s="2524"/>
      <c r="J394" s="2524"/>
      <c r="K394" s="2524"/>
      <c r="L394" s="2524"/>
      <c r="M394" s="2524"/>
      <c r="N394" s="2524"/>
      <c r="O394" s="2524"/>
      <c r="P394" s="2524"/>
      <c r="Q394" s="2524"/>
      <c r="R394" s="2524"/>
      <c r="S394" s="2524"/>
      <c r="T394" s="2524"/>
      <c r="U394" s="2524"/>
      <c r="V394" s="2524"/>
      <c r="W394" s="2524"/>
      <c r="X394" s="2524"/>
      <c r="Y394" s="2524"/>
      <c r="Z394" s="2524"/>
      <c r="AA394" s="2524"/>
      <c r="AB394" s="2524"/>
      <c r="AC394" s="2524"/>
      <c r="AD394" s="2524"/>
      <c r="AE394" s="2524"/>
      <c r="AF394" s="2524"/>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4"/>
      <c r="G395" s="2524"/>
      <c r="H395" s="2524"/>
      <c r="I395" s="2524"/>
      <c r="J395" s="2524"/>
      <c r="K395" s="2524"/>
      <c r="L395" s="2524"/>
      <c r="M395" s="2524"/>
      <c r="N395" s="2524"/>
      <c r="O395" s="2524"/>
      <c r="P395" s="2524"/>
      <c r="Q395" s="2524"/>
      <c r="R395" s="2524"/>
      <c r="S395" s="2524"/>
      <c r="T395" s="2524"/>
      <c r="U395" s="2524"/>
      <c r="V395" s="2524"/>
      <c r="W395" s="2524"/>
      <c r="X395" s="2524"/>
      <c r="Y395" s="2524"/>
      <c r="Z395" s="2524"/>
      <c r="AA395" s="2524"/>
      <c r="AB395" s="2524"/>
      <c r="AC395" s="2524"/>
      <c r="AD395" s="2524"/>
      <c r="AE395" s="2524"/>
      <c r="AF395" s="2524"/>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4"/>
      <c r="G396" s="2524"/>
      <c r="H396" s="2524"/>
      <c r="I396" s="2524"/>
      <c r="J396" s="2524"/>
      <c r="K396" s="2524"/>
      <c r="L396" s="2524"/>
      <c r="M396" s="2524"/>
      <c r="N396" s="2524"/>
      <c r="O396" s="2524"/>
      <c r="P396" s="2524"/>
      <c r="Q396" s="2524"/>
      <c r="R396" s="2524"/>
      <c r="S396" s="2524"/>
      <c r="T396" s="2524"/>
      <c r="U396" s="2524"/>
      <c r="V396" s="2524"/>
      <c r="W396" s="2524"/>
      <c r="X396" s="2524"/>
      <c r="Y396" s="2524"/>
      <c r="Z396" s="2524"/>
      <c r="AA396" s="2524"/>
      <c r="AB396" s="2524"/>
      <c r="AC396" s="2524"/>
      <c r="AD396" s="2524"/>
      <c r="AE396" s="2524"/>
      <c r="AF396" s="2524"/>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0" t="s">
        <v>545</v>
      </c>
      <c r="D397" s="2477"/>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1" t="s">
        <v>1467</v>
      </c>
      <c r="AG397" s="2521"/>
      <c r="AH397" s="2521"/>
      <c r="AI397" s="2521"/>
      <c r="AJ397" s="2521"/>
      <c r="AK397" s="2521"/>
      <c r="AL397" s="252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0" t="s">
        <v>591</v>
      </c>
      <c r="D399" s="2477"/>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1" t="s">
        <v>1462</v>
      </c>
      <c r="AG399" s="2521"/>
      <c r="AH399" s="2521"/>
      <c r="AI399" s="2521"/>
      <c r="AJ399" s="2521"/>
      <c r="AK399" s="2521"/>
      <c r="AL399" s="252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3" t="s">
        <v>1471</v>
      </c>
      <c r="G403" s="2523"/>
      <c r="H403" s="2523"/>
      <c r="I403" s="2523"/>
      <c r="J403" s="2523"/>
      <c r="K403" s="2523"/>
      <c r="L403" s="2523"/>
      <c r="M403" s="2523"/>
      <c r="N403" s="2523"/>
      <c r="O403" s="2523"/>
      <c r="P403" s="2523"/>
      <c r="Q403" s="2523"/>
      <c r="R403" s="2523"/>
      <c r="S403" s="2523"/>
      <c r="T403" s="2523"/>
      <c r="U403" s="2523"/>
      <c r="V403" s="2523"/>
      <c r="W403" s="2523"/>
      <c r="X403" s="2523"/>
      <c r="Y403" s="2523"/>
      <c r="Z403" s="2523"/>
      <c r="AA403" s="2523"/>
      <c r="AB403" s="2523"/>
      <c r="AC403" s="2523"/>
      <c r="AD403" s="2523"/>
      <c r="AE403" s="2523"/>
      <c r="AF403" s="2523"/>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4"/>
      <c r="G404" s="2524"/>
      <c r="H404" s="2524"/>
      <c r="I404" s="2524"/>
      <c r="J404" s="2524"/>
      <c r="K404" s="2524"/>
      <c r="L404" s="2524"/>
      <c r="M404" s="2524"/>
      <c r="N404" s="2524"/>
      <c r="O404" s="2524"/>
      <c r="P404" s="2524"/>
      <c r="Q404" s="2524"/>
      <c r="R404" s="2524"/>
      <c r="S404" s="2524"/>
      <c r="T404" s="2524"/>
      <c r="U404" s="2524"/>
      <c r="V404" s="2524"/>
      <c r="W404" s="2524"/>
      <c r="X404" s="2524"/>
      <c r="Y404" s="2524"/>
      <c r="Z404" s="2524"/>
      <c r="AA404" s="2524"/>
      <c r="AB404" s="2524"/>
      <c r="AC404" s="2524"/>
      <c r="AD404" s="2524"/>
      <c r="AE404" s="2524"/>
      <c r="AF404" s="2524"/>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4"/>
      <c r="G405" s="2524"/>
      <c r="H405" s="2524"/>
      <c r="I405" s="2524"/>
      <c r="J405" s="2524"/>
      <c r="K405" s="2524"/>
      <c r="L405" s="2524"/>
      <c r="M405" s="2524"/>
      <c r="N405" s="2524"/>
      <c r="O405" s="2524"/>
      <c r="P405" s="2524"/>
      <c r="Q405" s="2524"/>
      <c r="R405" s="2524"/>
      <c r="S405" s="2524"/>
      <c r="T405" s="2524"/>
      <c r="U405" s="2524"/>
      <c r="V405" s="2524"/>
      <c r="W405" s="2524"/>
      <c r="X405" s="2524"/>
      <c r="Y405" s="2524"/>
      <c r="Z405" s="2524"/>
      <c r="AA405" s="2524"/>
      <c r="AB405" s="2524"/>
      <c r="AC405" s="2524"/>
      <c r="AD405" s="2524"/>
      <c r="AE405" s="2524"/>
      <c r="AF405" s="2524"/>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4"/>
      <c r="G406" s="2524"/>
      <c r="H406" s="2524"/>
      <c r="I406" s="2524"/>
      <c r="J406" s="2524"/>
      <c r="K406" s="2524"/>
      <c r="L406" s="2524"/>
      <c r="M406" s="2524"/>
      <c r="N406" s="2524"/>
      <c r="O406" s="2524"/>
      <c r="P406" s="2524"/>
      <c r="Q406" s="2524"/>
      <c r="R406" s="2524"/>
      <c r="S406" s="2524"/>
      <c r="T406" s="2524"/>
      <c r="U406" s="2524"/>
      <c r="V406" s="2524"/>
      <c r="W406" s="2524"/>
      <c r="X406" s="2524"/>
      <c r="Y406" s="2524"/>
      <c r="Z406" s="2524"/>
      <c r="AA406" s="2524"/>
      <c r="AB406" s="2524"/>
      <c r="AC406" s="2524"/>
      <c r="AD406" s="2524"/>
      <c r="AE406" s="2524"/>
      <c r="AF406" s="2524"/>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0" t="s">
        <v>591</v>
      </c>
      <c r="D407" s="2477"/>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1" t="s">
        <v>1462</v>
      </c>
      <c r="AG407" s="2521"/>
      <c r="AH407" s="2521"/>
      <c r="AI407" s="2521"/>
      <c r="AJ407" s="2521"/>
      <c r="AK407" s="2521"/>
      <c r="AL407" s="252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0" t="s">
        <v>591</v>
      </c>
      <c r="D409" s="2477"/>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1" t="s">
        <v>1474</v>
      </c>
      <c r="AG409" s="2521"/>
      <c r="AH409" s="2521"/>
      <c r="AI409" s="2521"/>
      <c r="AJ409" s="2521"/>
      <c r="AK409" s="2521"/>
      <c r="AL409" s="252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0" t="s">
        <v>591</v>
      </c>
      <c r="D412" s="2477"/>
      <c r="E412" s="715" t="s">
        <v>1475</v>
      </c>
      <c r="F412" s="2523" t="s">
        <v>1476</v>
      </c>
      <c r="G412" s="2523"/>
      <c r="H412" s="2523"/>
      <c r="I412" s="2523"/>
      <c r="J412" s="2523"/>
      <c r="K412" s="2523"/>
      <c r="L412" s="2523"/>
      <c r="M412" s="2523"/>
      <c r="N412" s="2523"/>
      <c r="O412" s="2523"/>
      <c r="P412" s="2523"/>
      <c r="Q412" s="2523"/>
      <c r="R412" s="2523"/>
      <c r="S412" s="2523"/>
      <c r="T412" s="2523"/>
      <c r="U412" s="2523"/>
      <c r="V412" s="2523"/>
      <c r="W412" s="2523"/>
      <c r="X412" s="2523"/>
      <c r="Y412" s="2523"/>
      <c r="Z412" s="2523"/>
      <c r="AA412" s="2523"/>
      <c r="AB412" s="2523"/>
      <c r="AC412" s="2523"/>
      <c r="AD412" s="2523"/>
      <c r="AE412" s="2523"/>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4"/>
      <c r="G413" s="2524"/>
      <c r="H413" s="2524"/>
      <c r="I413" s="2524"/>
      <c r="J413" s="2524"/>
      <c r="K413" s="2524"/>
      <c r="L413" s="2524"/>
      <c r="M413" s="2524"/>
      <c r="N413" s="2524"/>
      <c r="O413" s="2524"/>
      <c r="P413" s="2524"/>
      <c r="Q413" s="2524"/>
      <c r="R413" s="2524"/>
      <c r="S413" s="2524"/>
      <c r="T413" s="2524"/>
      <c r="U413" s="2524"/>
      <c r="V413" s="2524"/>
      <c r="W413" s="2524"/>
      <c r="X413" s="2524"/>
      <c r="Y413" s="2524"/>
      <c r="Z413" s="2524"/>
      <c r="AA413" s="2524"/>
      <c r="AB413" s="2524"/>
      <c r="AC413" s="2524"/>
      <c r="AD413" s="2524"/>
      <c r="AE413" s="2524"/>
      <c r="AF413" s="2445" t="s">
        <v>1462</v>
      </c>
      <c r="AG413" s="2445"/>
      <c r="AH413" s="2445"/>
      <c r="AI413" s="2445"/>
      <c r="AJ413" s="2445"/>
      <c r="AK413" s="2445"/>
      <c r="AL413" s="2525"/>
      <c r="AM413" s="570"/>
      <c r="AN413" s="597"/>
      <c r="BS413" s="570"/>
      <c r="BT413" s="570"/>
      <c r="BY413" s="570"/>
      <c r="BZ413" s="570"/>
      <c r="CA413" s="570"/>
      <c r="CB413" s="570"/>
      <c r="CC413" s="570"/>
    </row>
    <row r="414" spans="1:81" s="550" customFormat="1" ht="12.75" customHeight="1">
      <c r="A414" s="536"/>
      <c r="B414" s="14"/>
      <c r="C414" s="731"/>
      <c r="D414" s="14"/>
      <c r="E414" s="691"/>
      <c r="F414" s="2524"/>
      <c r="G414" s="2524"/>
      <c r="H414" s="2524"/>
      <c r="I414" s="2524"/>
      <c r="J414" s="2524"/>
      <c r="K414" s="2524"/>
      <c r="L414" s="2524"/>
      <c r="M414" s="2524"/>
      <c r="N414" s="2524"/>
      <c r="O414" s="2524"/>
      <c r="P414" s="2524"/>
      <c r="Q414" s="2524"/>
      <c r="R414" s="2524"/>
      <c r="S414" s="2524"/>
      <c r="T414" s="2524"/>
      <c r="U414" s="2524"/>
      <c r="V414" s="2524"/>
      <c r="W414" s="2524"/>
      <c r="X414" s="2524"/>
      <c r="Y414" s="2524"/>
      <c r="Z414" s="2524"/>
      <c r="AA414" s="2524"/>
      <c r="AB414" s="2524"/>
      <c r="AC414" s="2524"/>
      <c r="AD414" s="2524"/>
      <c r="AE414" s="2524"/>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3"/>
      <c r="G415" s="2543"/>
      <c r="H415" s="2543"/>
      <c r="I415" s="2543"/>
      <c r="J415" s="2543"/>
      <c r="K415" s="2543"/>
      <c r="L415" s="2543"/>
      <c r="M415" s="2543"/>
      <c r="N415" s="2543"/>
      <c r="O415" s="2543"/>
      <c r="P415" s="2543"/>
      <c r="Q415" s="2543"/>
      <c r="R415" s="2543"/>
      <c r="S415" s="2543"/>
      <c r="T415" s="2543"/>
      <c r="U415" s="2543"/>
      <c r="V415" s="2543"/>
      <c r="W415" s="2543"/>
      <c r="X415" s="2543"/>
      <c r="Y415" s="2543"/>
      <c r="Z415" s="2543"/>
      <c r="AA415" s="2543"/>
      <c r="AB415" s="2543"/>
      <c r="AC415" s="2543"/>
      <c r="AD415" s="2543"/>
      <c r="AE415" s="2543"/>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3" t="s">
        <v>1478</v>
      </c>
      <c r="G417" s="2523"/>
      <c r="H417" s="2523"/>
      <c r="I417" s="2523"/>
      <c r="J417" s="2523"/>
      <c r="K417" s="2523"/>
      <c r="L417" s="2523"/>
      <c r="M417" s="2523"/>
      <c r="N417" s="2523"/>
      <c r="O417" s="2523"/>
      <c r="P417" s="2523"/>
      <c r="Q417" s="2523"/>
      <c r="R417" s="2523"/>
      <c r="S417" s="2523"/>
      <c r="T417" s="2523"/>
      <c r="U417" s="2523"/>
      <c r="V417" s="2523"/>
      <c r="W417" s="2523"/>
      <c r="X417" s="2523"/>
      <c r="Y417" s="2523"/>
      <c r="Z417" s="2523"/>
      <c r="AA417" s="2523"/>
      <c r="AB417" s="2523"/>
      <c r="AC417" s="2523"/>
      <c r="AD417" s="2523"/>
      <c r="AE417" s="2523"/>
      <c r="AF417" s="747"/>
      <c r="AG417" s="747"/>
      <c r="AH417" s="747"/>
      <c r="AI417" s="747"/>
      <c r="AJ417" s="747"/>
      <c r="AK417" s="747"/>
      <c r="AL417" s="748"/>
      <c r="AM417" s="570"/>
    </row>
    <row r="418" spans="1:55">
      <c r="A418" s="536"/>
      <c r="C418" s="731"/>
      <c r="E418" s="691"/>
      <c r="F418" s="2524"/>
      <c r="G418" s="2524"/>
      <c r="H418" s="2524"/>
      <c r="I418" s="2524"/>
      <c r="J418" s="2524"/>
      <c r="K418" s="2524"/>
      <c r="L418" s="2524"/>
      <c r="M418" s="2524"/>
      <c r="N418" s="2524"/>
      <c r="O418" s="2524"/>
      <c r="P418" s="2524"/>
      <c r="Q418" s="2524"/>
      <c r="R418" s="2524"/>
      <c r="S418" s="2524"/>
      <c r="T418" s="2524"/>
      <c r="U418" s="2524"/>
      <c r="V418" s="2524"/>
      <c r="W418" s="2524"/>
      <c r="X418" s="2524"/>
      <c r="Y418" s="2524"/>
      <c r="Z418" s="2524"/>
      <c r="AA418" s="2524"/>
      <c r="AB418" s="2524"/>
      <c r="AC418" s="2524"/>
      <c r="AD418" s="2524"/>
      <c r="AE418" s="2524"/>
      <c r="AF418" s="539"/>
      <c r="AG418" s="536"/>
      <c r="AH418" s="550"/>
      <c r="AI418" s="550"/>
      <c r="AJ418" s="550"/>
      <c r="AK418" s="550"/>
      <c r="AL418" s="732"/>
      <c r="AM418" s="570"/>
    </row>
    <row r="419" spans="1:55" s="550" customFormat="1" ht="12.75" customHeight="1">
      <c r="A419" s="536"/>
      <c r="B419" s="14"/>
      <c r="C419" s="731"/>
      <c r="D419" s="14"/>
      <c r="E419" s="691"/>
      <c r="F419" s="2524"/>
      <c r="G419" s="2524"/>
      <c r="H419" s="2524"/>
      <c r="I419" s="2524"/>
      <c r="J419" s="2524"/>
      <c r="K419" s="2524"/>
      <c r="L419" s="2524"/>
      <c r="M419" s="2524"/>
      <c r="N419" s="2524"/>
      <c r="O419" s="2524"/>
      <c r="P419" s="2524"/>
      <c r="Q419" s="2524"/>
      <c r="R419" s="2524"/>
      <c r="S419" s="2524"/>
      <c r="T419" s="2524"/>
      <c r="U419" s="2524"/>
      <c r="V419" s="2524"/>
      <c r="W419" s="2524"/>
      <c r="X419" s="2524"/>
      <c r="Y419" s="2524"/>
      <c r="Z419" s="2524"/>
      <c r="AA419" s="2524"/>
      <c r="AB419" s="2524"/>
      <c r="AC419" s="2524"/>
      <c r="AD419" s="2524"/>
      <c r="AE419" s="2524"/>
      <c r="AL419" s="732"/>
      <c r="AM419" s="570"/>
      <c r="AN419" s="597"/>
    </row>
    <row r="420" spans="1:55" s="550" customFormat="1" ht="12.75" customHeight="1">
      <c r="A420" s="536"/>
      <c r="B420" s="14"/>
      <c r="C420" s="739"/>
      <c r="F420" s="2524"/>
      <c r="G420" s="2524"/>
      <c r="H420" s="2524"/>
      <c r="I420" s="2524"/>
      <c r="J420" s="2524"/>
      <c r="K420" s="2524"/>
      <c r="L420" s="2524"/>
      <c r="M420" s="2524"/>
      <c r="N420" s="2524"/>
      <c r="O420" s="2524"/>
      <c r="P420" s="2524"/>
      <c r="Q420" s="2524"/>
      <c r="R420" s="2524"/>
      <c r="S420" s="2524"/>
      <c r="T420" s="2524"/>
      <c r="U420" s="2524"/>
      <c r="V420" s="2524"/>
      <c r="W420" s="2524"/>
      <c r="X420" s="2524"/>
      <c r="Y420" s="2524"/>
      <c r="Z420" s="2524"/>
      <c r="AA420" s="2524"/>
      <c r="AB420" s="2524"/>
      <c r="AC420" s="2524"/>
      <c r="AD420" s="2524"/>
      <c r="AE420" s="2524"/>
      <c r="AL420" s="732"/>
      <c r="AM420" s="570"/>
      <c r="AN420" s="597"/>
    </row>
    <row r="421" spans="1:55" s="550" customFormat="1" ht="12.75" customHeight="1">
      <c r="A421" s="536"/>
      <c r="B421" s="14"/>
      <c r="C421" s="2520" t="s">
        <v>545</v>
      </c>
      <c r="D421" s="2477"/>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5" t="s">
        <v>1462</v>
      </c>
      <c r="AG421" s="2445"/>
      <c r="AH421" s="2445"/>
      <c r="AI421" s="2445"/>
      <c r="AJ421" s="2445"/>
      <c r="AK421" s="2445"/>
      <c r="AL421" s="2525"/>
      <c r="AM421" s="570"/>
      <c r="AN421" s="597"/>
    </row>
    <row r="422" spans="1:55" s="550" customFormat="1" ht="12.75" customHeight="1">
      <c r="A422" s="536"/>
      <c r="B422" s="14"/>
      <c r="C422" s="739"/>
      <c r="AL422" s="732"/>
      <c r="AM422" s="570"/>
      <c r="AN422" s="597"/>
    </row>
    <row r="423" spans="1:55" s="550" customFormat="1" ht="12.75" customHeight="1">
      <c r="A423" s="536"/>
      <c r="B423" s="14"/>
      <c r="C423" s="2520" t="s">
        <v>591</v>
      </c>
      <c r="D423" s="2477"/>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5" t="s">
        <v>1474</v>
      </c>
      <c r="AG423" s="2445"/>
      <c r="AH423" s="2445"/>
      <c r="AI423" s="2445"/>
      <c r="AJ423" s="2445"/>
      <c r="AK423" s="2445"/>
      <c r="AL423" s="2525"/>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3" t="s">
        <v>1482</v>
      </c>
      <c r="G427" s="2523"/>
      <c r="H427" s="2523"/>
      <c r="I427" s="2523"/>
      <c r="J427" s="2523"/>
      <c r="K427" s="2523"/>
      <c r="L427" s="2523"/>
      <c r="M427" s="2523"/>
      <c r="N427" s="2523"/>
      <c r="O427" s="2523"/>
      <c r="P427" s="2523"/>
      <c r="Q427" s="2523"/>
      <c r="R427" s="2523"/>
      <c r="S427" s="2523"/>
      <c r="T427" s="2523"/>
      <c r="U427" s="2523"/>
      <c r="V427" s="2523"/>
      <c r="W427" s="2523"/>
      <c r="X427" s="2523"/>
      <c r="Y427" s="2523"/>
      <c r="Z427" s="2523"/>
      <c r="AA427" s="2523"/>
      <c r="AB427" s="2523"/>
      <c r="AC427" s="2523"/>
      <c r="AD427" s="2523"/>
      <c r="AE427" s="2523"/>
      <c r="AF427" s="714"/>
      <c r="AG427" s="714"/>
      <c r="AH427" s="714"/>
      <c r="AI427" s="714"/>
      <c r="AJ427" s="714"/>
      <c r="AK427" s="714"/>
      <c r="AL427" s="745"/>
      <c r="AM427" s="570"/>
      <c r="AN427" s="597"/>
    </row>
    <row r="428" spans="1:55" s="550" customFormat="1" ht="12.75" customHeight="1">
      <c r="A428" s="536"/>
      <c r="B428" s="14"/>
      <c r="C428" s="731"/>
      <c r="D428" s="14"/>
      <c r="E428" s="691"/>
      <c r="F428" s="2524"/>
      <c r="G428" s="2524"/>
      <c r="H428" s="2524"/>
      <c r="I428" s="2524"/>
      <c r="J428" s="2524"/>
      <c r="K428" s="2524"/>
      <c r="L428" s="2524"/>
      <c r="M428" s="2524"/>
      <c r="N428" s="2524"/>
      <c r="O428" s="2524"/>
      <c r="P428" s="2524"/>
      <c r="Q428" s="2524"/>
      <c r="R428" s="2524"/>
      <c r="S428" s="2524"/>
      <c r="T428" s="2524"/>
      <c r="U428" s="2524"/>
      <c r="V428" s="2524"/>
      <c r="W428" s="2524"/>
      <c r="X428" s="2524"/>
      <c r="Y428" s="2524"/>
      <c r="Z428" s="2524"/>
      <c r="AA428" s="2524"/>
      <c r="AB428" s="2524"/>
      <c r="AC428" s="2524"/>
      <c r="AD428" s="2524"/>
      <c r="AE428" s="2524"/>
      <c r="AF428" s="539"/>
      <c r="AG428" s="536"/>
      <c r="AL428" s="732"/>
      <c r="AM428" s="570"/>
      <c r="AN428" s="597"/>
    </row>
    <row r="429" spans="1:55" s="550" customFormat="1" ht="12.4" customHeight="1">
      <c r="A429" s="536"/>
      <c r="B429" s="14"/>
      <c r="C429" s="731"/>
      <c r="D429" s="14"/>
      <c r="E429" s="691"/>
      <c r="F429" s="2524"/>
      <c r="G429" s="2524"/>
      <c r="H429" s="2524"/>
      <c r="I429" s="2524"/>
      <c r="J429" s="2524"/>
      <c r="K429" s="2524"/>
      <c r="L429" s="2524"/>
      <c r="M429" s="2524"/>
      <c r="N429" s="2524"/>
      <c r="O429" s="2524"/>
      <c r="P429" s="2524"/>
      <c r="Q429" s="2524"/>
      <c r="R429" s="2524"/>
      <c r="S429" s="2524"/>
      <c r="T429" s="2524"/>
      <c r="U429" s="2524"/>
      <c r="V429" s="2524"/>
      <c r="W429" s="2524"/>
      <c r="X429" s="2524"/>
      <c r="Y429" s="2524"/>
      <c r="Z429" s="2524"/>
      <c r="AA429" s="2524"/>
      <c r="AB429" s="2524"/>
      <c r="AC429" s="2524"/>
      <c r="AD429" s="2524"/>
      <c r="AE429" s="2524"/>
      <c r="AL429" s="732"/>
      <c r="AM429" s="570"/>
      <c r="AN429" s="597"/>
    </row>
    <row r="430" spans="1:55" s="550" customFormat="1" ht="12.75" customHeight="1">
      <c r="A430" s="536"/>
      <c r="B430" s="14"/>
      <c r="C430" s="2520" t="s">
        <v>591</v>
      </c>
      <c r="D430" s="2477"/>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5" t="s">
        <v>1462</v>
      </c>
      <c r="AG430" s="2445"/>
      <c r="AH430" s="2445"/>
      <c r="AI430" s="2445"/>
      <c r="AJ430" s="2445"/>
      <c r="AK430" s="2445"/>
      <c r="AL430" s="2525"/>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23" t="s">
        <v>1485</v>
      </c>
      <c r="G433" s="2523"/>
      <c r="H433" s="2523"/>
      <c r="I433" s="2523"/>
      <c r="J433" s="2523"/>
      <c r="K433" s="2523"/>
      <c r="L433" s="2523"/>
      <c r="M433" s="2523"/>
      <c r="N433" s="2523"/>
      <c r="O433" s="2523"/>
      <c r="P433" s="2523"/>
      <c r="Q433" s="2523"/>
      <c r="R433" s="2523"/>
      <c r="S433" s="2523"/>
      <c r="T433" s="2523"/>
      <c r="U433" s="2523"/>
      <c r="V433" s="2523"/>
      <c r="W433" s="2523"/>
      <c r="X433" s="2523"/>
      <c r="Y433" s="2523"/>
      <c r="Z433" s="2523"/>
      <c r="AA433" s="2523"/>
      <c r="AB433" s="2523"/>
      <c r="AC433" s="2523"/>
      <c r="AD433" s="2523"/>
      <c r="AE433" s="2523"/>
      <c r="AF433" s="747"/>
      <c r="AG433" s="747"/>
      <c r="AH433" s="747"/>
      <c r="AI433" s="747"/>
      <c r="AJ433" s="747"/>
      <c r="AK433" s="747"/>
      <c r="AL433" s="748"/>
      <c r="AM433" s="570"/>
      <c r="AO433" s="550"/>
      <c r="AP433" s="550"/>
      <c r="BD433" s="14"/>
      <c r="BE433" s="14"/>
      <c r="BF433" s="14"/>
      <c r="BG433" s="14"/>
      <c r="BH433" s="14"/>
    </row>
    <row r="434" spans="1:60">
      <c r="A434" s="536"/>
      <c r="C434" s="731"/>
      <c r="E434" s="691"/>
      <c r="F434" s="2524"/>
      <c r="G434" s="2524"/>
      <c r="H434" s="2524"/>
      <c r="I434" s="2524"/>
      <c r="J434" s="2524"/>
      <c r="K434" s="2524"/>
      <c r="L434" s="2524"/>
      <c r="M434" s="2524"/>
      <c r="N434" s="2524"/>
      <c r="O434" s="2524"/>
      <c r="P434" s="2524"/>
      <c r="Q434" s="2524"/>
      <c r="R434" s="2524"/>
      <c r="S434" s="2524"/>
      <c r="T434" s="2524"/>
      <c r="U434" s="2524"/>
      <c r="V434" s="2524"/>
      <c r="W434" s="2524"/>
      <c r="X434" s="2524"/>
      <c r="Y434" s="2524"/>
      <c r="Z434" s="2524"/>
      <c r="AA434" s="2524"/>
      <c r="AB434" s="2524"/>
      <c r="AC434" s="2524"/>
      <c r="AD434" s="2524"/>
      <c r="AE434" s="2524"/>
      <c r="AF434" s="594"/>
      <c r="AG434" s="594"/>
      <c r="AH434" s="594"/>
      <c r="AI434" s="594"/>
      <c r="AJ434" s="594"/>
      <c r="AK434" s="594"/>
      <c r="AL434" s="750"/>
      <c r="AM434" s="570"/>
      <c r="AO434" s="550"/>
      <c r="AP434" s="550"/>
    </row>
    <row r="435" spans="1:60" s="550" customFormat="1" ht="12.75" customHeight="1">
      <c r="A435" s="536"/>
      <c r="B435" s="14"/>
      <c r="C435" s="731"/>
      <c r="D435" s="14"/>
      <c r="E435" s="691"/>
      <c r="F435" s="2524"/>
      <c r="G435" s="2524"/>
      <c r="H435" s="2524"/>
      <c r="I435" s="2524"/>
      <c r="J435" s="2524"/>
      <c r="K435" s="2524"/>
      <c r="L435" s="2524"/>
      <c r="M435" s="2524"/>
      <c r="N435" s="2524"/>
      <c r="O435" s="2524"/>
      <c r="P435" s="2524"/>
      <c r="Q435" s="2524"/>
      <c r="R435" s="2524"/>
      <c r="S435" s="2524"/>
      <c r="T435" s="2524"/>
      <c r="U435" s="2524"/>
      <c r="V435" s="2524"/>
      <c r="W435" s="2524"/>
      <c r="X435" s="2524"/>
      <c r="Y435" s="2524"/>
      <c r="Z435" s="2524"/>
      <c r="AA435" s="2524"/>
      <c r="AB435" s="2524"/>
      <c r="AC435" s="2524"/>
      <c r="AD435" s="2524"/>
      <c r="AE435" s="2524"/>
      <c r="AF435" s="594"/>
      <c r="AG435" s="594"/>
      <c r="AH435" s="594"/>
      <c r="AI435" s="594"/>
      <c r="AJ435" s="594"/>
      <c r="AK435" s="594"/>
      <c r="AL435" s="750"/>
      <c r="AM435" s="570"/>
      <c r="AN435" s="597"/>
    </row>
    <row r="436" spans="1:60" s="550" customFormat="1" ht="12.75" customHeight="1">
      <c r="A436" s="536"/>
      <c r="B436" s="14"/>
      <c r="C436" s="751"/>
      <c r="D436" s="730"/>
      <c r="E436" s="719"/>
      <c r="F436" s="2524"/>
      <c r="G436" s="2524"/>
      <c r="H436" s="2524"/>
      <c r="I436" s="2524"/>
      <c r="J436" s="2524"/>
      <c r="K436" s="2524"/>
      <c r="L436" s="2524"/>
      <c r="M436" s="2524"/>
      <c r="N436" s="2524"/>
      <c r="O436" s="2524"/>
      <c r="P436" s="2524"/>
      <c r="Q436" s="2524"/>
      <c r="R436" s="2524"/>
      <c r="S436" s="2524"/>
      <c r="T436" s="2524"/>
      <c r="U436" s="2524"/>
      <c r="V436" s="2524"/>
      <c r="W436" s="2524"/>
      <c r="X436" s="2524"/>
      <c r="Y436" s="2524"/>
      <c r="Z436" s="2524"/>
      <c r="AA436" s="2524"/>
      <c r="AB436" s="2524"/>
      <c r="AC436" s="2524"/>
      <c r="AD436" s="2524"/>
      <c r="AE436" s="2524"/>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4"/>
      <c r="G437" s="2524"/>
      <c r="H437" s="2524"/>
      <c r="I437" s="2524"/>
      <c r="J437" s="2524"/>
      <c r="K437" s="2524"/>
      <c r="L437" s="2524"/>
      <c r="M437" s="2524"/>
      <c r="N437" s="2524"/>
      <c r="O437" s="2524"/>
      <c r="P437" s="2524"/>
      <c r="Q437" s="2524"/>
      <c r="R437" s="2524"/>
      <c r="S437" s="2524"/>
      <c r="T437" s="2524"/>
      <c r="U437" s="2524"/>
      <c r="V437" s="2524"/>
      <c r="W437" s="2524"/>
      <c r="X437" s="2524"/>
      <c r="Y437" s="2524"/>
      <c r="Z437" s="2524"/>
      <c r="AA437" s="2524"/>
      <c r="AB437" s="2524"/>
      <c r="AC437" s="2524"/>
      <c r="AD437" s="2524"/>
      <c r="AE437" s="2524"/>
      <c r="AF437" s="594"/>
      <c r="AG437" s="594"/>
      <c r="AH437" s="594"/>
      <c r="AI437" s="594"/>
      <c r="AJ437" s="594"/>
      <c r="AK437" s="594"/>
      <c r="AL437" s="750"/>
      <c r="AM437" s="570"/>
      <c r="AN437" s="597"/>
    </row>
    <row r="438" spans="1:60" s="550" customFormat="1" ht="12.75" customHeight="1">
      <c r="A438" s="536"/>
      <c r="B438" s="14"/>
      <c r="C438" s="751"/>
      <c r="D438" s="730"/>
      <c r="E438" s="719"/>
      <c r="F438" s="2524"/>
      <c r="G438" s="2524"/>
      <c r="H438" s="2524"/>
      <c r="I438" s="2524"/>
      <c r="J438" s="2524"/>
      <c r="K438" s="2524"/>
      <c r="L438" s="2524"/>
      <c r="M438" s="2524"/>
      <c r="N438" s="2524"/>
      <c r="O438" s="2524"/>
      <c r="P438" s="2524"/>
      <c r="Q438" s="2524"/>
      <c r="R438" s="2524"/>
      <c r="S438" s="2524"/>
      <c r="T438" s="2524"/>
      <c r="U438" s="2524"/>
      <c r="V438" s="2524"/>
      <c r="W438" s="2524"/>
      <c r="X438" s="2524"/>
      <c r="Y438" s="2524"/>
      <c r="Z438" s="2524"/>
      <c r="AA438" s="2524"/>
      <c r="AB438" s="2524"/>
      <c r="AC438" s="2524"/>
      <c r="AD438" s="2524"/>
      <c r="AE438" s="2524"/>
      <c r="AF438" s="594"/>
      <c r="AG438" s="594"/>
      <c r="AH438" s="594"/>
      <c r="AI438" s="594"/>
      <c r="AJ438" s="594"/>
      <c r="AK438" s="594"/>
      <c r="AL438" s="750"/>
      <c r="AM438" s="570"/>
      <c r="AN438" s="597"/>
    </row>
    <row r="439" spans="1:60" s="550" customFormat="1" ht="12.75" customHeight="1">
      <c r="A439" s="536"/>
      <c r="B439" s="14"/>
      <c r="C439" s="751"/>
      <c r="D439" s="730"/>
      <c r="E439" s="719"/>
      <c r="F439" s="2524"/>
      <c r="G439" s="2524"/>
      <c r="H439" s="2524"/>
      <c r="I439" s="2524"/>
      <c r="J439" s="2524"/>
      <c r="K439" s="2524"/>
      <c r="L439" s="2524"/>
      <c r="M439" s="2524"/>
      <c r="N439" s="2524"/>
      <c r="O439" s="2524"/>
      <c r="P439" s="2524"/>
      <c r="Q439" s="2524"/>
      <c r="R439" s="2524"/>
      <c r="S439" s="2524"/>
      <c r="T439" s="2524"/>
      <c r="U439" s="2524"/>
      <c r="V439" s="2524"/>
      <c r="W439" s="2524"/>
      <c r="X439" s="2524"/>
      <c r="Y439" s="2524"/>
      <c r="Z439" s="2524"/>
      <c r="AA439" s="2524"/>
      <c r="AB439" s="2524"/>
      <c r="AC439" s="2524"/>
      <c r="AD439" s="2524"/>
      <c r="AE439" s="2524"/>
      <c r="AF439" s="594"/>
      <c r="AG439" s="594"/>
      <c r="AH439" s="594"/>
      <c r="AI439" s="594"/>
      <c r="AJ439" s="594"/>
      <c r="AK439" s="594"/>
      <c r="AL439" s="750"/>
      <c r="AM439" s="570"/>
      <c r="AN439" s="597"/>
    </row>
    <row r="440" spans="1:60" s="550" customFormat="1" ht="12.75" customHeight="1">
      <c r="A440" s="536"/>
      <c r="B440" s="14"/>
      <c r="C440" s="751"/>
      <c r="D440" s="730"/>
      <c r="E440" s="719"/>
      <c r="F440" s="2524"/>
      <c r="G440" s="2524"/>
      <c r="H440" s="2524"/>
      <c r="I440" s="2524"/>
      <c r="J440" s="2524"/>
      <c r="K440" s="2524"/>
      <c r="L440" s="2524"/>
      <c r="M440" s="2524"/>
      <c r="N440" s="2524"/>
      <c r="O440" s="2524"/>
      <c r="P440" s="2524"/>
      <c r="Q440" s="2524"/>
      <c r="R440" s="2524"/>
      <c r="S440" s="2524"/>
      <c r="T440" s="2524"/>
      <c r="U440" s="2524"/>
      <c r="V440" s="2524"/>
      <c r="W440" s="2524"/>
      <c r="X440" s="2524"/>
      <c r="Y440" s="2524"/>
      <c r="Z440" s="2524"/>
      <c r="AA440" s="2524"/>
      <c r="AB440" s="2524"/>
      <c r="AC440" s="2524"/>
      <c r="AD440" s="2524"/>
      <c r="AE440" s="2524"/>
      <c r="AF440" s="594"/>
      <c r="AG440" s="594"/>
      <c r="AH440" s="594"/>
      <c r="AI440" s="594"/>
      <c r="AJ440" s="594"/>
      <c r="AK440" s="594"/>
      <c r="AL440" s="750"/>
      <c r="AM440" s="570"/>
      <c r="AN440" s="597"/>
    </row>
    <row r="441" spans="1:60" s="550" customFormat="1" ht="17.25" customHeight="1">
      <c r="A441" s="536"/>
      <c r="B441" s="14"/>
      <c r="C441" s="751"/>
      <c r="D441" s="730"/>
      <c r="E441" s="719"/>
      <c r="F441" s="2524"/>
      <c r="G441" s="2524"/>
      <c r="H441" s="2524"/>
      <c r="I441" s="2524"/>
      <c r="J441" s="2524"/>
      <c r="K441" s="2524"/>
      <c r="L441" s="2524"/>
      <c r="M441" s="2524"/>
      <c r="N441" s="2524"/>
      <c r="O441" s="2524"/>
      <c r="P441" s="2524"/>
      <c r="Q441" s="2524"/>
      <c r="R441" s="2524"/>
      <c r="S441" s="2524"/>
      <c r="T441" s="2524"/>
      <c r="U441" s="2524"/>
      <c r="V441" s="2524"/>
      <c r="W441" s="2524"/>
      <c r="X441" s="2524"/>
      <c r="Y441" s="2524"/>
      <c r="Z441" s="2524"/>
      <c r="AA441" s="2524"/>
      <c r="AB441" s="2524"/>
      <c r="AC441" s="2524"/>
      <c r="AD441" s="2524"/>
      <c r="AE441" s="2524"/>
      <c r="AL441" s="732"/>
      <c r="AM441" s="570"/>
      <c r="AN441" s="597"/>
    </row>
    <row r="442" spans="1:60" s="550" customFormat="1" ht="12.75" customHeight="1">
      <c r="A442" s="536"/>
      <c r="B442" s="14"/>
      <c r="C442" s="2520" t="s">
        <v>591</v>
      </c>
      <c r="D442" s="2477"/>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5" t="s">
        <v>1462</v>
      </c>
      <c r="AG442" s="2445"/>
      <c r="AH442" s="2445"/>
      <c r="AI442" s="2445"/>
      <c r="AJ442" s="2445"/>
      <c r="AK442" s="2445"/>
      <c r="AL442" s="2525"/>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3" t="s">
        <v>1488</v>
      </c>
      <c r="G445" s="2523"/>
      <c r="H445" s="2523"/>
      <c r="I445" s="2523"/>
      <c r="J445" s="2523"/>
      <c r="K445" s="2523"/>
      <c r="L445" s="2523"/>
      <c r="M445" s="2523"/>
      <c r="N445" s="2523"/>
      <c r="O445" s="2523"/>
      <c r="P445" s="2523"/>
      <c r="Q445" s="2523"/>
      <c r="R445" s="2523"/>
      <c r="S445" s="2523"/>
      <c r="T445" s="2523"/>
      <c r="U445" s="2523"/>
      <c r="V445" s="2523"/>
      <c r="W445" s="2523"/>
      <c r="X445" s="2523"/>
      <c r="Y445" s="2523"/>
      <c r="Z445" s="2523"/>
      <c r="AA445" s="2523"/>
      <c r="AB445" s="2523"/>
      <c r="AC445" s="2523"/>
      <c r="AD445" s="2523"/>
      <c r="AE445" s="2523"/>
      <c r="AF445" s="714"/>
      <c r="AG445" s="714"/>
      <c r="AH445" s="714"/>
      <c r="AI445" s="714"/>
      <c r="AJ445" s="714"/>
      <c r="AK445" s="714"/>
      <c r="AL445" s="745"/>
      <c r="AM445" s="570"/>
      <c r="AN445" s="597"/>
    </row>
    <row r="446" spans="1:60" s="550" customFormat="1" ht="12.75" customHeight="1">
      <c r="A446" s="536"/>
      <c r="B446" s="14"/>
      <c r="C446" s="751"/>
      <c r="D446" s="730"/>
      <c r="E446" s="719"/>
      <c r="F446" s="2524"/>
      <c r="G446" s="2524"/>
      <c r="H446" s="2524"/>
      <c r="I446" s="2524"/>
      <c r="J446" s="2524"/>
      <c r="K446" s="2524"/>
      <c r="L446" s="2524"/>
      <c r="M446" s="2524"/>
      <c r="N446" s="2524"/>
      <c r="O446" s="2524"/>
      <c r="P446" s="2524"/>
      <c r="Q446" s="2524"/>
      <c r="R446" s="2524"/>
      <c r="S446" s="2524"/>
      <c r="T446" s="2524"/>
      <c r="U446" s="2524"/>
      <c r="V446" s="2524"/>
      <c r="W446" s="2524"/>
      <c r="X446" s="2524"/>
      <c r="Y446" s="2524"/>
      <c r="Z446" s="2524"/>
      <c r="AA446" s="2524"/>
      <c r="AB446" s="2524"/>
      <c r="AC446" s="2524"/>
      <c r="AD446" s="2524"/>
      <c r="AE446" s="2524"/>
      <c r="AF446" s="591"/>
      <c r="AG446" s="591"/>
      <c r="AH446" s="591"/>
      <c r="AI446" s="591"/>
      <c r="AJ446" s="591"/>
      <c r="AK446" s="591"/>
      <c r="AL446" s="720"/>
      <c r="AM446" s="570"/>
      <c r="AN446" s="597"/>
    </row>
    <row r="447" spans="1:60" s="550" customFormat="1" ht="12.75" customHeight="1">
      <c r="A447" s="536"/>
      <c r="B447" s="14"/>
      <c r="C447" s="751"/>
      <c r="D447" s="730"/>
      <c r="E447" s="719"/>
      <c r="F447" s="2524"/>
      <c r="G447" s="2524"/>
      <c r="H447" s="2524"/>
      <c r="I447" s="2524"/>
      <c r="J447" s="2524"/>
      <c r="K447" s="2524"/>
      <c r="L447" s="2524"/>
      <c r="M447" s="2524"/>
      <c r="N447" s="2524"/>
      <c r="O447" s="2524"/>
      <c r="P447" s="2524"/>
      <c r="Q447" s="2524"/>
      <c r="R447" s="2524"/>
      <c r="S447" s="2524"/>
      <c r="T447" s="2524"/>
      <c r="U447" s="2524"/>
      <c r="V447" s="2524"/>
      <c r="W447" s="2524"/>
      <c r="X447" s="2524"/>
      <c r="Y447" s="2524"/>
      <c r="Z447" s="2524"/>
      <c r="AA447" s="2524"/>
      <c r="AB447" s="2524"/>
      <c r="AC447" s="2524"/>
      <c r="AD447" s="2524"/>
      <c r="AE447" s="2524"/>
      <c r="AF447" s="591"/>
      <c r="AG447" s="591"/>
      <c r="AH447" s="591"/>
      <c r="AI447" s="591"/>
      <c r="AJ447" s="591"/>
      <c r="AK447" s="591"/>
      <c r="AL447" s="720"/>
      <c r="AM447" s="570"/>
      <c r="AN447" s="597"/>
    </row>
    <row r="448" spans="1:60" s="550" customFormat="1" ht="12.75" customHeight="1">
      <c r="A448" s="536"/>
      <c r="B448" s="14"/>
      <c r="C448" s="751"/>
      <c r="D448" s="730"/>
      <c r="E448" s="719"/>
      <c r="F448" s="2524"/>
      <c r="G448" s="2524"/>
      <c r="H448" s="2524"/>
      <c r="I448" s="2524"/>
      <c r="J448" s="2524"/>
      <c r="K448" s="2524"/>
      <c r="L448" s="2524"/>
      <c r="M448" s="2524"/>
      <c r="N448" s="2524"/>
      <c r="O448" s="2524"/>
      <c r="P448" s="2524"/>
      <c r="Q448" s="2524"/>
      <c r="R448" s="2524"/>
      <c r="S448" s="2524"/>
      <c r="T448" s="2524"/>
      <c r="U448" s="2524"/>
      <c r="V448" s="2524"/>
      <c r="W448" s="2524"/>
      <c r="X448" s="2524"/>
      <c r="Y448" s="2524"/>
      <c r="Z448" s="2524"/>
      <c r="AA448" s="2524"/>
      <c r="AB448" s="2524"/>
      <c r="AC448" s="2524"/>
      <c r="AD448" s="2524"/>
      <c r="AE448" s="2524"/>
      <c r="AL448" s="732"/>
      <c r="AM448" s="570"/>
      <c r="AN448" s="597"/>
    </row>
    <row r="449" spans="1:40" s="550" customFormat="1" ht="12.75" customHeight="1">
      <c r="A449" s="536"/>
      <c r="B449" s="14"/>
      <c r="C449" s="2520" t="s">
        <v>591</v>
      </c>
      <c r="D449" s="2477"/>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5" t="s">
        <v>1462</v>
      </c>
      <c r="AG449" s="2445"/>
      <c r="AH449" s="2445"/>
      <c r="AI449" s="2445"/>
      <c r="AJ449" s="2445"/>
      <c r="AK449" s="2445"/>
      <c r="AL449" s="2525"/>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6" t="s">
        <v>591</v>
      </c>
      <c r="D453" s="2527"/>
      <c r="E453" s="715" t="s">
        <v>1497</v>
      </c>
      <c r="F453" s="2523" t="s">
        <v>1498</v>
      </c>
      <c r="G453" s="2523"/>
      <c r="H453" s="2523"/>
      <c r="I453" s="2523"/>
      <c r="J453" s="2523"/>
      <c r="K453" s="2523"/>
      <c r="L453" s="2523"/>
      <c r="M453" s="2523"/>
      <c r="N453" s="2523"/>
      <c r="O453" s="2523"/>
      <c r="P453" s="2523"/>
      <c r="Q453" s="2523"/>
      <c r="R453" s="2523"/>
      <c r="S453" s="2523"/>
      <c r="T453" s="2523"/>
      <c r="U453" s="2523"/>
      <c r="V453" s="2523"/>
      <c r="W453" s="2523"/>
      <c r="X453" s="2523"/>
      <c r="Y453" s="2523"/>
      <c r="Z453" s="2523"/>
      <c r="AA453" s="2523"/>
      <c r="AB453" s="2523"/>
      <c r="AC453" s="2523"/>
      <c r="AD453" s="2523"/>
      <c r="AE453" s="2523"/>
      <c r="AF453" s="2544" t="s">
        <v>1462</v>
      </c>
      <c r="AG453" s="2544"/>
      <c r="AH453" s="2544"/>
      <c r="AI453" s="2544"/>
      <c r="AJ453" s="2544"/>
      <c r="AK453" s="2544"/>
      <c r="AL453" s="2545"/>
      <c r="AM453" s="570"/>
      <c r="AN453" s="753"/>
    </row>
    <row r="454" spans="1:40" s="550" customFormat="1" ht="12.75" customHeight="1">
      <c r="A454" s="536"/>
      <c r="B454" s="14"/>
      <c r="C454" s="751"/>
      <c r="D454" s="730"/>
      <c r="E454" s="719"/>
      <c r="F454" s="2524"/>
      <c r="G454" s="2524"/>
      <c r="H454" s="2524"/>
      <c r="I454" s="2524"/>
      <c r="J454" s="2524"/>
      <c r="K454" s="2524"/>
      <c r="L454" s="2524"/>
      <c r="M454" s="2524"/>
      <c r="N454" s="2524"/>
      <c r="O454" s="2524"/>
      <c r="P454" s="2524"/>
      <c r="Q454" s="2524"/>
      <c r="R454" s="2524"/>
      <c r="S454" s="2524"/>
      <c r="T454" s="2524"/>
      <c r="U454" s="2524"/>
      <c r="V454" s="2524"/>
      <c r="W454" s="2524"/>
      <c r="X454" s="2524"/>
      <c r="Y454" s="2524"/>
      <c r="Z454" s="2524"/>
      <c r="AA454" s="2524"/>
      <c r="AB454" s="2524"/>
      <c r="AC454" s="2524"/>
      <c r="AD454" s="2524"/>
      <c r="AE454" s="2524"/>
      <c r="AF454" s="591"/>
      <c r="AG454" s="591"/>
      <c r="AH454" s="591"/>
      <c r="AI454" s="591"/>
      <c r="AJ454" s="591"/>
      <c r="AK454" s="591"/>
      <c r="AL454" s="720"/>
      <c r="AM454" s="570"/>
      <c r="AN454" s="754"/>
    </row>
    <row r="455" spans="1:40" s="550" customFormat="1" ht="17.649999999999999" customHeight="1">
      <c r="A455" s="536"/>
      <c r="B455" s="14"/>
      <c r="C455" s="756"/>
      <c r="D455" s="723"/>
      <c r="E455" s="724"/>
      <c r="F455" s="2543"/>
      <c r="G455" s="2543"/>
      <c r="H455" s="2543"/>
      <c r="I455" s="2543"/>
      <c r="J455" s="2543"/>
      <c r="K455" s="2543"/>
      <c r="L455" s="2543"/>
      <c r="M455" s="2543"/>
      <c r="N455" s="2543"/>
      <c r="O455" s="2543"/>
      <c r="P455" s="2543"/>
      <c r="Q455" s="2543"/>
      <c r="R455" s="2543"/>
      <c r="S455" s="2543"/>
      <c r="T455" s="2543"/>
      <c r="U455" s="2543"/>
      <c r="V455" s="2543"/>
      <c r="W455" s="2543"/>
      <c r="X455" s="2543"/>
      <c r="Y455" s="2543"/>
      <c r="Z455" s="2543"/>
      <c r="AA455" s="2543"/>
      <c r="AB455" s="2543"/>
      <c r="AC455" s="2543"/>
      <c r="AD455" s="2543"/>
      <c r="AE455" s="2543"/>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0" t="s">
        <v>591</v>
      </c>
      <c r="D457" s="2477"/>
      <c r="E457" s="715" t="s">
        <v>1503</v>
      </c>
      <c r="F457" s="2523" t="s">
        <v>1504</v>
      </c>
      <c r="G457" s="2523"/>
      <c r="H457" s="2523"/>
      <c r="I457" s="2523"/>
      <c r="J457" s="2523"/>
      <c r="K457" s="2523"/>
      <c r="L457" s="2523"/>
      <c r="M457" s="2523"/>
      <c r="N457" s="2523"/>
      <c r="O457" s="2523"/>
      <c r="P457" s="2523"/>
      <c r="Q457" s="2523"/>
      <c r="R457" s="2523"/>
      <c r="S457" s="2523"/>
      <c r="T457" s="2523"/>
      <c r="U457" s="2523"/>
      <c r="V457" s="2523"/>
      <c r="W457" s="2523"/>
      <c r="X457" s="2523"/>
      <c r="Y457" s="2523"/>
      <c r="Z457" s="2523"/>
      <c r="AA457" s="2523"/>
      <c r="AB457" s="2523"/>
      <c r="AC457" s="2523"/>
      <c r="AD457" s="2523"/>
      <c r="AE457" s="2523"/>
      <c r="AF457" s="2544" t="s">
        <v>1462</v>
      </c>
      <c r="AG457" s="2544"/>
      <c r="AH457" s="2544"/>
      <c r="AI457" s="2544"/>
      <c r="AJ457" s="2544"/>
      <c r="AK457" s="2544"/>
      <c r="AL457" s="2545"/>
      <c r="AM457" s="570"/>
      <c r="AN457" s="535"/>
    </row>
    <row r="458" spans="1:40" s="550" customFormat="1" ht="12.75" customHeight="1">
      <c r="A458" s="536"/>
      <c r="B458" s="14"/>
      <c r="C458" s="731"/>
      <c r="D458" s="14"/>
      <c r="E458" s="691"/>
      <c r="F458" s="2524"/>
      <c r="G458" s="2524"/>
      <c r="H458" s="2524"/>
      <c r="I458" s="2524"/>
      <c r="J458" s="2524"/>
      <c r="K458" s="2524"/>
      <c r="L458" s="2524"/>
      <c r="M458" s="2524"/>
      <c r="N458" s="2524"/>
      <c r="O458" s="2524"/>
      <c r="P458" s="2524"/>
      <c r="Q458" s="2524"/>
      <c r="R458" s="2524"/>
      <c r="S458" s="2524"/>
      <c r="T458" s="2524"/>
      <c r="U458" s="2524"/>
      <c r="V458" s="2524"/>
      <c r="W458" s="2524"/>
      <c r="X458" s="2524"/>
      <c r="Y458" s="2524"/>
      <c r="Z458" s="2524"/>
      <c r="AA458" s="2524"/>
      <c r="AB458" s="2524"/>
      <c r="AC458" s="2524"/>
      <c r="AD458" s="2524"/>
      <c r="AE458" s="2524"/>
      <c r="AF458" s="539"/>
      <c r="AG458" s="536"/>
      <c r="AL458" s="732"/>
      <c r="AM458" s="570"/>
      <c r="AN458" s="535"/>
    </row>
    <row r="459" spans="1:40" s="550" customFormat="1" ht="12.75" customHeight="1">
      <c r="A459" s="536"/>
      <c r="B459" s="14"/>
      <c r="C459" s="731"/>
      <c r="D459" s="14"/>
      <c r="E459" s="691"/>
      <c r="F459" s="2524"/>
      <c r="G459" s="2524"/>
      <c r="H459" s="2524"/>
      <c r="I459" s="2524"/>
      <c r="J459" s="2524"/>
      <c r="K459" s="2524"/>
      <c r="L459" s="2524"/>
      <c r="M459" s="2524"/>
      <c r="N459" s="2524"/>
      <c r="O459" s="2524"/>
      <c r="P459" s="2524"/>
      <c r="Q459" s="2524"/>
      <c r="R459" s="2524"/>
      <c r="S459" s="2524"/>
      <c r="T459" s="2524"/>
      <c r="U459" s="2524"/>
      <c r="V459" s="2524"/>
      <c r="W459" s="2524"/>
      <c r="X459" s="2524"/>
      <c r="Y459" s="2524"/>
      <c r="Z459" s="2524"/>
      <c r="AA459" s="2524"/>
      <c r="AB459" s="2524"/>
      <c r="AC459" s="2524"/>
      <c r="AD459" s="2524"/>
      <c r="AE459" s="2524"/>
      <c r="AF459" s="539"/>
      <c r="AG459" s="536"/>
      <c r="AL459" s="732"/>
      <c r="AM459" s="570"/>
      <c r="AN459" s="535"/>
    </row>
    <row r="460" spans="1:40" s="550" customFormat="1" ht="12.75" customHeight="1">
      <c r="A460" s="536"/>
      <c r="B460" s="14"/>
      <c r="C460" s="756"/>
      <c r="D460" s="723"/>
      <c r="E460" s="724"/>
      <c r="F460" s="2543"/>
      <c r="G460" s="2543"/>
      <c r="H460" s="2543"/>
      <c r="I460" s="2543"/>
      <c r="J460" s="2543"/>
      <c r="K460" s="2543"/>
      <c r="L460" s="2543"/>
      <c r="M460" s="2543"/>
      <c r="N460" s="2543"/>
      <c r="O460" s="2543"/>
      <c r="P460" s="2543"/>
      <c r="Q460" s="2543"/>
      <c r="R460" s="2543"/>
      <c r="S460" s="2543"/>
      <c r="T460" s="2543"/>
      <c r="U460" s="2543"/>
      <c r="V460" s="2543"/>
      <c r="W460" s="2543"/>
      <c r="X460" s="2543"/>
      <c r="Y460" s="2543"/>
      <c r="Z460" s="2543"/>
      <c r="AA460" s="2543"/>
      <c r="AB460" s="2543"/>
      <c r="AC460" s="2543"/>
      <c r="AD460" s="2543"/>
      <c r="AE460" s="2543"/>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3" t="s">
        <v>1507</v>
      </c>
      <c r="G462" s="2523"/>
      <c r="H462" s="2523"/>
      <c r="I462" s="2523"/>
      <c r="J462" s="2523"/>
      <c r="K462" s="2523"/>
      <c r="L462" s="2523"/>
      <c r="M462" s="2523"/>
      <c r="N462" s="2523"/>
      <c r="O462" s="2523"/>
      <c r="P462" s="2523"/>
      <c r="Q462" s="2523"/>
      <c r="R462" s="2523"/>
      <c r="S462" s="2523"/>
      <c r="T462" s="2523"/>
      <c r="U462" s="2523"/>
      <c r="V462" s="2523"/>
      <c r="W462" s="2523"/>
      <c r="X462" s="2523"/>
      <c r="Y462" s="2523"/>
      <c r="Z462" s="2523"/>
      <c r="AA462" s="2523"/>
      <c r="AB462" s="2523"/>
      <c r="AC462" s="2523"/>
      <c r="AD462" s="2523"/>
      <c r="AE462" s="2523"/>
      <c r="AF462" s="2523"/>
      <c r="AG462" s="744"/>
      <c r="AH462" s="714"/>
      <c r="AI462" s="714"/>
      <c r="AJ462" s="714"/>
      <c r="AK462" s="714"/>
      <c r="AL462" s="745"/>
      <c r="AM462" s="570"/>
      <c r="AN462" s="597"/>
    </row>
    <row r="463" spans="1:40" s="550" customFormat="1" ht="12.75" customHeight="1">
      <c r="A463" s="536"/>
      <c r="B463" s="14"/>
      <c r="C463" s="731"/>
      <c r="D463" s="14"/>
      <c r="E463" s="691"/>
      <c r="F463" s="2524"/>
      <c r="G463" s="2524"/>
      <c r="H463" s="2524"/>
      <c r="I463" s="2524"/>
      <c r="J463" s="2524"/>
      <c r="K463" s="2524"/>
      <c r="L463" s="2524"/>
      <c r="M463" s="2524"/>
      <c r="N463" s="2524"/>
      <c r="O463" s="2524"/>
      <c r="P463" s="2524"/>
      <c r="Q463" s="2524"/>
      <c r="R463" s="2524"/>
      <c r="S463" s="2524"/>
      <c r="T463" s="2524"/>
      <c r="U463" s="2524"/>
      <c r="V463" s="2524"/>
      <c r="W463" s="2524"/>
      <c r="X463" s="2524"/>
      <c r="Y463" s="2524"/>
      <c r="Z463" s="2524"/>
      <c r="AA463" s="2524"/>
      <c r="AB463" s="2524"/>
      <c r="AC463" s="2524"/>
      <c r="AD463" s="2524"/>
      <c r="AE463" s="2524"/>
      <c r="AF463" s="2524"/>
      <c r="AL463" s="732"/>
      <c r="AM463" s="570"/>
      <c r="AN463" s="597"/>
    </row>
    <row r="464" spans="1:40" s="550" customFormat="1" ht="12.75" customHeight="1">
      <c r="A464" s="536"/>
      <c r="B464" s="14"/>
      <c r="C464" s="739"/>
      <c r="F464" s="2524"/>
      <c r="G464" s="2524"/>
      <c r="H464" s="2524"/>
      <c r="I464" s="2524"/>
      <c r="J464" s="2524"/>
      <c r="K464" s="2524"/>
      <c r="L464" s="2524"/>
      <c r="M464" s="2524"/>
      <c r="N464" s="2524"/>
      <c r="O464" s="2524"/>
      <c r="P464" s="2524"/>
      <c r="Q464" s="2524"/>
      <c r="R464" s="2524"/>
      <c r="S464" s="2524"/>
      <c r="T464" s="2524"/>
      <c r="U464" s="2524"/>
      <c r="V464" s="2524"/>
      <c r="W464" s="2524"/>
      <c r="X464" s="2524"/>
      <c r="Y464" s="2524"/>
      <c r="Z464" s="2524"/>
      <c r="AA464" s="2524"/>
      <c r="AB464" s="2524"/>
      <c r="AC464" s="2524"/>
      <c r="AD464" s="2524"/>
      <c r="AE464" s="2524"/>
      <c r="AF464" s="2524"/>
      <c r="AL464" s="732"/>
      <c r="AM464" s="570"/>
      <c r="AN464" s="597"/>
    </row>
    <row r="465" spans="1:58" s="550" customFormat="1" ht="12.75" customHeight="1">
      <c r="A465" s="536"/>
      <c r="B465" s="14"/>
      <c r="C465" s="739"/>
      <c r="F465" s="2524"/>
      <c r="G465" s="2524"/>
      <c r="H465" s="2524"/>
      <c r="I465" s="2524"/>
      <c r="J465" s="2524"/>
      <c r="K465" s="2524"/>
      <c r="L465" s="2524"/>
      <c r="M465" s="2524"/>
      <c r="N465" s="2524"/>
      <c r="O465" s="2524"/>
      <c r="P465" s="2524"/>
      <c r="Q465" s="2524"/>
      <c r="R465" s="2524"/>
      <c r="S465" s="2524"/>
      <c r="T465" s="2524"/>
      <c r="U465" s="2524"/>
      <c r="V465" s="2524"/>
      <c r="W465" s="2524"/>
      <c r="X465" s="2524"/>
      <c r="Y465" s="2524"/>
      <c r="Z465" s="2524"/>
      <c r="AA465" s="2524"/>
      <c r="AB465" s="2524"/>
      <c r="AC465" s="2524"/>
      <c r="AD465" s="2524"/>
      <c r="AE465" s="2524"/>
      <c r="AF465" s="2524"/>
      <c r="AL465" s="732"/>
      <c r="AM465" s="570"/>
      <c r="AN465" s="597"/>
    </row>
    <row r="466" spans="1:58" s="550" customFormat="1" ht="12.75" customHeight="1">
      <c r="A466" s="536"/>
      <c r="B466" s="14"/>
      <c r="C466" s="2520" t="s">
        <v>591</v>
      </c>
      <c r="D466" s="2477"/>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1" t="s">
        <v>1462</v>
      </c>
      <c r="AG466" s="2521"/>
      <c r="AH466" s="2521"/>
      <c r="AI466" s="2521"/>
      <c r="AJ466" s="2521"/>
      <c r="AK466" s="2521"/>
      <c r="AL466" s="252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80">
        <f>IF(Application!D214="N/A",AS358,AS360)</f>
        <v>12</v>
      </c>
      <c r="AL469" s="2481"/>
      <c r="AM469" s="2482"/>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21" t="s">
        <v>1511</v>
      </c>
      <c r="AF472" s="2521"/>
      <c r="AG472" s="2521"/>
      <c r="AH472" s="2521"/>
      <c r="AI472" s="2521"/>
      <c r="AJ472" s="2521"/>
      <c r="AK472" s="2521"/>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6" t="s">
        <v>591</v>
      </c>
      <c r="D478" s="2547"/>
      <c r="E478" s="761" t="s">
        <v>507</v>
      </c>
      <c r="F478" s="2548" t="s">
        <v>1517</v>
      </c>
      <c r="G478" s="2548"/>
      <c r="H478" s="2548"/>
      <c r="I478" s="2548"/>
      <c r="J478" s="2548"/>
      <c r="K478" s="2548"/>
      <c r="L478" s="2548"/>
      <c r="M478" s="2548"/>
      <c r="N478" s="2548"/>
      <c r="O478" s="2548"/>
      <c r="P478" s="2548"/>
      <c r="Q478" s="2548"/>
      <c r="R478" s="2548"/>
      <c r="S478" s="2548"/>
      <c r="T478" s="2548"/>
      <c r="U478" s="2548"/>
      <c r="V478" s="2548"/>
      <c r="W478" s="2548"/>
      <c r="X478" s="2548"/>
      <c r="Y478" s="2548"/>
      <c r="Z478" s="2548"/>
      <c r="AA478" s="2548"/>
      <c r="AB478" s="2548"/>
      <c r="AC478" s="2548"/>
      <c r="AD478" s="2548"/>
      <c r="AE478" s="2548"/>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9"/>
      <c r="G479" s="2549"/>
      <c r="H479" s="2549"/>
      <c r="I479" s="2549"/>
      <c r="J479" s="2549"/>
      <c r="K479" s="2549"/>
      <c r="L479" s="2549"/>
      <c r="M479" s="2549"/>
      <c r="N479" s="2549"/>
      <c r="O479" s="2549"/>
      <c r="P479" s="2549"/>
      <c r="Q479" s="2549"/>
      <c r="R479" s="2549"/>
      <c r="S479" s="2549"/>
      <c r="T479" s="2549"/>
      <c r="U479" s="2549"/>
      <c r="V479" s="2549"/>
      <c r="W479" s="2549"/>
      <c r="X479" s="2549"/>
      <c r="Y479" s="2549"/>
      <c r="Z479" s="2549"/>
      <c r="AA479" s="2549"/>
      <c r="AB479" s="2549"/>
      <c r="AC479" s="2549"/>
      <c r="AD479" s="2549"/>
      <c r="AE479" s="2549"/>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2" t="s">
        <v>591</v>
      </c>
      <c r="G480" s="2622"/>
      <c r="H480" s="2622"/>
      <c r="I480" s="2622"/>
      <c r="J480" s="2622"/>
      <c r="K480" s="2622"/>
      <c r="L480" s="2622"/>
      <c r="M480" s="2622"/>
      <c r="N480" s="2622"/>
      <c r="O480" s="2622"/>
      <c r="P480" s="2622"/>
      <c r="Q480" s="2622"/>
      <c r="R480" s="2622"/>
      <c r="S480" s="2622"/>
      <c r="T480" s="2622"/>
      <c r="U480" s="2622"/>
      <c r="V480" s="2622"/>
      <c r="W480" s="2622"/>
      <c r="X480" s="2622"/>
      <c r="Y480" s="2622"/>
      <c r="Z480" s="2622"/>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3" t="s">
        <v>545</v>
      </c>
      <c r="D482" s="2624"/>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21" t="s">
        <v>591</v>
      </c>
      <c r="W485" s="2621"/>
      <c r="X485" s="2621"/>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21" t="s">
        <v>591</v>
      </c>
      <c r="W487" s="2621"/>
      <c r="X487" s="2621"/>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21" t="s">
        <v>591</v>
      </c>
      <c r="W492" s="2621"/>
      <c r="X492" s="2621"/>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1"/>
      <c r="E495" s="2611"/>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21" t="s">
        <v>591</v>
      </c>
      <c r="W496" s="2621"/>
      <c r="X496" s="2621"/>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21" t="s">
        <v>591</v>
      </c>
      <c r="W498" s="2621"/>
      <c r="X498" s="2621"/>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6" t="s">
        <v>591</v>
      </c>
      <c r="D501" s="2547"/>
      <c r="E501" s="761" t="s">
        <v>507</v>
      </c>
      <c r="F501" s="2548" t="s">
        <v>1517</v>
      </c>
      <c r="G501" s="2548"/>
      <c r="H501" s="2548"/>
      <c r="I501" s="2548"/>
      <c r="J501" s="2548"/>
      <c r="K501" s="2548"/>
      <c r="L501" s="2548"/>
      <c r="M501" s="2548"/>
      <c r="N501" s="2548"/>
      <c r="O501" s="2548"/>
      <c r="P501" s="2548"/>
      <c r="Q501" s="2548"/>
      <c r="R501" s="2548"/>
      <c r="S501" s="2548"/>
      <c r="T501" s="2548"/>
      <c r="U501" s="2548"/>
      <c r="V501" s="2548"/>
      <c r="W501" s="2548"/>
      <c r="X501" s="2548"/>
      <c r="Y501" s="2548"/>
      <c r="Z501" s="2548"/>
      <c r="AA501" s="2548"/>
      <c r="AB501" s="2548"/>
      <c r="AC501" s="2548"/>
      <c r="AD501" s="2548"/>
      <c r="AE501" s="2548"/>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9"/>
      <c r="G502" s="2549"/>
      <c r="H502" s="2549"/>
      <c r="I502" s="2549"/>
      <c r="J502" s="2549"/>
      <c r="K502" s="2549"/>
      <c r="L502" s="2549"/>
      <c r="M502" s="2549"/>
      <c r="N502" s="2549"/>
      <c r="O502" s="2549"/>
      <c r="P502" s="2549"/>
      <c r="Q502" s="2549"/>
      <c r="R502" s="2549"/>
      <c r="S502" s="2549"/>
      <c r="T502" s="2549"/>
      <c r="U502" s="2549"/>
      <c r="V502" s="2549"/>
      <c r="W502" s="2549"/>
      <c r="X502" s="2549"/>
      <c r="Y502" s="2549"/>
      <c r="Z502" s="2549"/>
      <c r="AA502" s="2549"/>
      <c r="AB502" s="2549"/>
      <c r="AC502" s="2549"/>
      <c r="AD502" s="2549"/>
      <c r="AE502" s="2549"/>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7" t="s">
        <v>591</v>
      </c>
      <c r="G503" s="2617"/>
      <c r="H503" s="2617"/>
      <c r="I503" s="2617"/>
      <c r="J503" s="2617"/>
      <c r="K503" s="2617"/>
      <c r="L503" s="2617"/>
      <c r="M503" s="2617"/>
      <c r="N503" s="2617"/>
      <c r="O503" s="2617"/>
      <c r="P503" s="2617"/>
      <c r="Q503" s="2617"/>
      <c r="R503" s="2617"/>
      <c r="S503" s="2617"/>
      <c r="T503" s="2617"/>
      <c r="U503" s="2617"/>
      <c r="V503" s="2617"/>
      <c r="W503" s="2617"/>
      <c r="X503" s="2617"/>
      <c r="Y503" s="2617"/>
      <c r="Z503" s="2617"/>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6" t="s">
        <v>591</v>
      </c>
      <c r="D505" s="2547"/>
      <c r="E505" s="761" t="s">
        <v>757</v>
      </c>
      <c r="F505" s="2618" t="s">
        <v>1539</v>
      </c>
      <c r="G505" s="2618"/>
      <c r="H505" s="2618"/>
      <c r="I505" s="2618"/>
      <c r="J505" s="2618"/>
      <c r="K505" s="2618"/>
      <c r="L505" s="2618"/>
      <c r="M505" s="2618"/>
      <c r="N505" s="2618"/>
      <c r="O505" s="2618"/>
      <c r="P505" s="2618"/>
      <c r="Q505" s="2618"/>
      <c r="R505" s="2618"/>
      <c r="S505" s="2618"/>
      <c r="T505" s="2618"/>
      <c r="U505" s="2618"/>
      <c r="V505" s="2618"/>
      <c r="W505" s="2618"/>
      <c r="X505" s="2618"/>
      <c r="Y505" s="2618"/>
      <c r="Z505" s="2618"/>
      <c r="AA505" s="2618"/>
      <c r="AB505" s="2618"/>
      <c r="AC505" s="2618"/>
      <c r="AD505" s="2618"/>
      <c r="AE505" s="2618"/>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9"/>
      <c r="G506" s="2619"/>
      <c r="H506" s="2619"/>
      <c r="I506" s="2619"/>
      <c r="J506" s="2619"/>
      <c r="K506" s="2619"/>
      <c r="L506" s="2619"/>
      <c r="M506" s="2619"/>
      <c r="N506" s="2619"/>
      <c r="O506" s="2619"/>
      <c r="P506" s="2619"/>
      <c r="Q506" s="2619"/>
      <c r="R506" s="2619"/>
      <c r="S506" s="2619"/>
      <c r="T506" s="2619"/>
      <c r="U506" s="2619"/>
      <c r="V506" s="2619"/>
      <c r="W506" s="2619"/>
      <c r="X506" s="2619"/>
      <c r="Y506" s="2619"/>
      <c r="Z506" s="2619"/>
      <c r="AA506" s="2619"/>
      <c r="AB506" s="2619"/>
      <c r="AC506" s="2619"/>
      <c r="AD506" s="2619"/>
      <c r="AE506" s="2619"/>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0" t="s">
        <v>591</v>
      </c>
      <c r="G508" s="2620"/>
      <c r="H508" s="2620"/>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6" t="s">
        <v>591</v>
      </c>
      <c r="D510" s="2547"/>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0"/>
      <c r="D512" s="2611"/>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2" t="s">
        <v>591</v>
      </c>
      <c r="H513" s="2612"/>
      <c r="I513" s="2612"/>
      <c r="J513" s="2612"/>
      <c r="K513" s="2612"/>
      <c r="L513" s="2612"/>
      <c r="M513" s="2612"/>
      <c r="N513" s="2612"/>
      <c r="O513" s="2612"/>
      <c r="P513" s="2612"/>
      <c r="Q513" s="2612"/>
      <c r="R513" s="2612"/>
      <c r="S513" s="2612"/>
      <c r="T513" s="2612"/>
      <c r="U513" s="2612"/>
      <c r="V513" s="2612"/>
      <c r="W513" s="2612"/>
      <c r="X513" s="2612"/>
      <c r="Y513" s="2612"/>
      <c r="Z513" s="2612"/>
      <c r="AA513" s="2612"/>
      <c r="AB513" s="2612"/>
      <c r="AC513" s="2612"/>
      <c r="AD513" s="2612"/>
      <c r="AE513" s="2612"/>
      <c r="AF513" s="2612"/>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0" t="s">
        <v>591</v>
      </c>
      <c r="D515" s="2551"/>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0" t="s">
        <v>591</v>
      </c>
      <c r="D519" s="2551"/>
      <c r="F519" s="795" t="s">
        <v>1547</v>
      </c>
      <c r="G519" s="2524" t="s">
        <v>1548</v>
      </c>
      <c r="H519" s="2524"/>
      <c r="I519" s="2524"/>
      <c r="J519" s="2524"/>
      <c r="K519" s="2524"/>
      <c r="L519" s="2524"/>
      <c r="M519" s="2524"/>
      <c r="N519" s="2524"/>
      <c r="O519" s="2524"/>
      <c r="P519" s="2524"/>
      <c r="Q519" s="2524"/>
      <c r="R519" s="2524"/>
      <c r="S519" s="2524"/>
      <c r="T519" s="2524"/>
      <c r="U519" s="2524"/>
      <c r="V519" s="2524"/>
      <c r="W519" s="2524"/>
      <c r="X519" s="2524"/>
      <c r="Y519" s="2524"/>
      <c r="Z519" s="2524"/>
      <c r="AA519" s="2524"/>
      <c r="AB519" s="2524"/>
      <c r="AC519" s="2524"/>
      <c r="AD519" s="2524"/>
      <c r="AE519" s="2524"/>
      <c r="AF519" s="2524"/>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3"/>
      <c r="H520" s="2543"/>
      <c r="I520" s="2543"/>
      <c r="J520" s="2543"/>
      <c r="K520" s="2543"/>
      <c r="L520" s="2543"/>
      <c r="M520" s="2543"/>
      <c r="N520" s="2543"/>
      <c r="O520" s="2543"/>
      <c r="P520" s="2543"/>
      <c r="Q520" s="2543"/>
      <c r="R520" s="2543"/>
      <c r="S520" s="2543"/>
      <c r="T520" s="2543"/>
      <c r="U520" s="2543"/>
      <c r="V520" s="2543"/>
      <c r="W520" s="2543"/>
      <c r="X520" s="2543"/>
      <c r="Y520" s="2543"/>
      <c r="Z520" s="2543"/>
      <c r="AA520" s="2543"/>
      <c r="AB520" s="2543"/>
      <c r="AC520" s="2543"/>
      <c r="AD520" s="2543"/>
      <c r="AE520" s="2543"/>
      <c r="AF520" s="2543"/>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2" t="s">
        <v>591</v>
      </c>
      <c r="D523" s="2553"/>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4" t="s">
        <v>591</v>
      </c>
      <c r="G524" s="2554"/>
      <c r="H524" s="2554"/>
      <c r="I524" s="2554"/>
      <c r="J524" s="2554"/>
      <c r="K524" s="2554"/>
      <c r="L524" s="2554"/>
      <c r="M524" s="2554"/>
      <c r="N524" s="2554"/>
      <c r="O524" s="2554"/>
      <c r="P524" s="2554"/>
      <c r="Q524" s="2554"/>
      <c r="R524" s="2554"/>
      <c r="S524" s="2554"/>
      <c r="T524" s="2554"/>
      <c r="U524" s="2554"/>
      <c r="V524" s="2554"/>
      <c r="W524" s="2554"/>
      <c r="X524" s="2554"/>
      <c r="Y524" s="2554"/>
      <c r="Z524" s="2554"/>
      <c r="AA524" s="2554"/>
      <c r="AB524" s="2554"/>
      <c r="AC524" s="2554"/>
      <c r="AD524" s="2554"/>
      <c r="AE524" s="2554"/>
      <c r="AF524" s="255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5"/>
      <c r="G525" s="2555"/>
      <c r="H525" s="2555"/>
      <c r="I525" s="2555"/>
      <c r="J525" s="2555"/>
      <c r="K525" s="2555"/>
      <c r="L525" s="2555"/>
      <c r="M525" s="2555"/>
      <c r="N525" s="2555"/>
      <c r="O525" s="2555"/>
      <c r="P525" s="2555"/>
      <c r="Q525" s="2555"/>
      <c r="R525" s="2555"/>
      <c r="S525" s="2555"/>
      <c r="T525" s="2555"/>
      <c r="U525" s="2555"/>
      <c r="V525" s="2555"/>
      <c r="W525" s="2555"/>
      <c r="X525" s="2555"/>
      <c r="Y525" s="2555"/>
      <c r="Z525" s="2555"/>
      <c r="AA525" s="2555"/>
      <c r="AB525" s="2555"/>
      <c r="AC525" s="2555"/>
      <c r="AD525" s="2555"/>
      <c r="AE525" s="2555"/>
      <c r="AF525" s="255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80">
        <f>SUM(AG479:AG524)</f>
        <v>0</v>
      </c>
      <c r="AL535" s="2481"/>
      <c r="AM535" s="2482"/>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0" t="s">
        <v>1560</v>
      </c>
      <c r="AF538" s="2410"/>
      <c r="AG538" s="2410"/>
      <c r="AH538" s="2410"/>
      <c r="AI538" s="2410"/>
      <c r="AJ538" s="2410"/>
      <c r="AK538" s="2410"/>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7" t="s">
        <v>545</v>
      </c>
      <c r="D541" s="2477"/>
      <c r="E541" s="551"/>
      <c r="F541" s="2604" t="s">
        <v>1561</v>
      </c>
      <c r="G541" s="2605"/>
      <c r="H541" s="2605"/>
      <c r="I541" s="2605"/>
      <c r="J541" s="2605"/>
      <c r="K541" s="2605"/>
      <c r="L541" s="2605"/>
      <c r="M541" s="2605"/>
      <c r="N541" s="2605"/>
      <c r="O541" s="2605"/>
      <c r="P541" s="2605"/>
      <c r="Q541" s="2605"/>
      <c r="R541" s="2605"/>
      <c r="S541" s="2605"/>
      <c r="T541" s="2605"/>
      <c r="U541" s="2605"/>
      <c r="V541" s="2605"/>
      <c r="W541" s="2605"/>
      <c r="X541" s="2605"/>
      <c r="Y541" s="2605"/>
      <c r="Z541" s="2605"/>
      <c r="AA541" s="2605"/>
      <c r="AB541" s="2605"/>
      <c r="AC541" s="2605"/>
      <c r="AD541" s="2605"/>
      <c r="AE541" s="2605"/>
      <c r="AF541" s="2605"/>
      <c r="AG541" s="2605"/>
      <c r="AH541" s="2605"/>
      <c r="AI541" s="2605"/>
      <c r="AJ541" s="2605"/>
      <c r="AK541" s="2605"/>
      <c r="AL541" s="2606"/>
      <c r="AM541" s="595"/>
      <c r="AN541" s="597"/>
    </row>
    <row r="542" spans="1:81" s="550" customFormat="1" ht="12.75" customHeight="1">
      <c r="A542" s="539"/>
      <c r="B542" s="539"/>
      <c r="C542" s="551"/>
      <c r="D542" s="551"/>
      <c r="E542" s="551"/>
      <c r="F542" s="2607"/>
      <c r="G542" s="2608"/>
      <c r="H542" s="2608"/>
      <c r="I542" s="2608"/>
      <c r="J542" s="2608"/>
      <c r="K542" s="2608"/>
      <c r="L542" s="2608"/>
      <c r="M542" s="2608"/>
      <c r="N542" s="2608"/>
      <c r="O542" s="2608"/>
      <c r="P542" s="2608"/>
      <c r="Q542" s="2608"/>
      <c r="R542" s="2608"/>
      <c r="S542" s="2608"/>
      <c r="T542" s="2608"/>
      <c r="U542" s="2608"/>
      <c r="V542" s="2608"/>
      <c r="W542" s="2608"/>
      <c r="X542" s="2608"/>
      <c r="Y542" s="2608"/>
      <c r="Z542" s="2608"/>
      <c r="AA542" s="2608"/>
      <c r="AB542" s="2608"/>
      <c r="AC542" s="2608"/>
      <c r="AD542" s="2608"/>
      <c r="AE542" s="2608"/>
      <c r="AF542" s="2608"/>
      <c r="AG542" s="2608"/>
      <c r="AH542" s="2608"/>
      <c r="AI542" s="2608"/>
      <c r="AJ542" s="2608"/>
      <c r="AK542" s="2608"/>
      <c r="AL542" s="2609"/>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7" t="s">
        <v>591</v>
      </c>
      <c r="D544" s="2477"/>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9" t="s">
        <v>1563</v>
      </c>
      <c r="G545" s="2500"/>
      <c r="H545" s="2500"/>
      <c r="I545" s="2500"/>
      <c r="J545" s="2500"/>
      <c r="K545" s="2500"/>
      <c r="L545" s="2500"/>
      <c r="M545" s="2500"/>
      <c r="N545" s="2500"/>
      <c r="O545" s="2500"/>
      <c r="P545" s="2500"/>
      <c r="Q545" s="2500"/>
      <c r="R545" s="2500"/>
      <c r="S545" s="2500"/>
      <c r="T545" s="2500"/>
      <c r="U545" s="2500"/>
      <c r="V545" s="2500"/>
      <c r="W545" s="2500"/>
      <c r="X545" s="2500"/>
      <c r="Y545" s="2500"/>
      <c r="Z545" s="2500"/>
      <c r="AA545" s="2500"/>
      <c r="AB545" s="2500"/>
      <c r="AC545" s="2500"/>
      <c r="AD545" s="2500"/>
      <c r="AE545" s="2500"/>
      <c r="AF545" s="2500"/>
      <c r="AG545" s="2500"/>
      <c r="AH545" s="2500"/>
      <c r="AI545" s="2500"/>
      <c r="AJ545" s="2500"/>
      <c r="AK545" s="2500"/>
      <c r="AL545" s="2501"/>
      <c r="AM545" s="595"/>
      <c r="AN545" s="597"/>
      <c r="AS545" s="870"/>
      <c r="AT545" s="870"/>
      <c r="AU545" s="870"/>
      <c r="AV545" s="870"/>
      <c r="AW545" s="870"/>
    </row>
    <row r="546" spans="1:49" s="550" customFormat="1" ht="12.75" customHeight="1">
      <c r="B546" s="806"/>
      <c r="C546" s="806"/>
      <c r="D546" s="806"/>
      <c r="E546" s="806"/>
      <c r="F546" s="2499"/>
      <c r="G546" s="2500"/>
      <c r="H546" s="2500"/>
      <c r="I546" s="2500"/>
      <c r="J546" s="2500"/>
      <c r="K546" s="2500"/>
      <c r="L546" s="2500"/>
      <c r="M546" s="2500"/>
      <c r="N546" s="2500"/>
      <c r="O546" s="2500"/>
      <c r="P546" s="2500"/>
      <c r="Q546" s="2500"/>
      <c r="R546" s="2500"/>
      <c r="S546" s="2500"/>
      <c r="T546" s="2500"/>
      <c r="U546" s="2500"/>
      <c r="V546" s="2500"/>
      <c r="W546" s="2500"/>
      <c r="X546" s="2500"/>
      <c r="Y546" s="2500"/>
      <c r="Z546" s="2500"/>
      <c r="AA546" s="2500"/>
      <c r="AB546" s="2500"/>
      <c r="AC546" s="2500"/>
      <c r="AD546" s="2500"/>
      <c r="AE546" s="2500"/>
      <c r="AF546" s="2500"/>
      <c r="AG546" s="2500"/>
      <c r="AH546" s="2500"/>
      <c r="AI546" s="2500"/>
      <c r="AJ546" s="2500"/>
      <c r="AK546" s="2500"/>
      <c r="AL546" s="2501"/>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9" t="s">
        <v>1564</v>
      </c>
      <c r="G548" s="2500"/>
      <c r="H548" s="2500"/>
      <c r="I548" s="2500"/>
      <c r="J548" s="2500"/>
      <c r="K548" s="2500"/>
      <c r="L548" s="2500"/>
      <c r="M548" s="2500"/>
      <c r="N548" s="2500"/>
      <c r="O548" s="2500"/>
      <c r="P548" s="2500"/>
      <c r="Q548" s="2500"/>
      <c r="R548" s="2500"/>
      <c r="S548" s="2500"/>
      <c r="T548" s="2500"/>
      <c r="U548" s="2500"/>
      <c r="V548" s="2500"/>
      <c r="W548" s="2500"/>
      <c r="X548" s="2500"/>
      <c r="Y548" s="2500"/>
      <c r="Z548" s="2500"/>
      <c r="AA548" s="2500"/>
      <c r="AB548" s="2500"/>
      <c r="AC548" s="2500"/>
      <c r="AD548" s="2500"/>
      <c r="AE548" s="2500"/>
      <c r="AF548" s="2500"/>
      <c r="AG548" s="2500"/>
      <c r="AH548" s="2500"/>
      <c r="AI548" s="2500"/>
      <c r="AJ548" s="2500"/>
      <c r="AK548" s="2500"/>
      <c r="AL548" s="813"/>
      <c r="AM548" s="595"/>
      <c r="AN548" s="597"/>
    </row>
    <row r="549" spans="1:49" s="550" customFormat="1" ht="12.75" customHeight="1">
      <c r="B549" s="806"/>
      <c r="C549" s="806"/>
      <c r="D549" s="806"/>
      <c r="E549" s="806"/>
      <c r="F549" s="2502"/>
      <c r="G549" s="2503"/>
      <c r="H549" s="2503"/>
      <c r="I549" s="2503"/>
      <c r="J549" s="2503"/>
      <c r="K549" s="2503"/>
      <c r="L549" s="2503"/>
      <c r="M549" s="2503"/>
      <c r="N549" s="2503"/>
      <c r="O549" s="2503"/>
      <c r="P549" s="2503"/>
      <c r="Q549" s="2503"/>
      <c r="R549" s="2503"/>
      <c r="S549" s="2503"/>
      <c r="T549" s="2503"/>
      <c r="U549" s="2503"/>
      <c r="V549" s="2503"/>
      <c r="W549" s="2503"/>
      <c r="X549" s="2503"/>
      <c r="Y549" s="2503"/>
      <c r="Z549" s="2503"/>
      <c r="AA549" s="2503"/>
      <c r="AB549" s="2503"/>
      <c r="AC549" s="2503"/>
      <c r="AD549" s="2503"/>
      <c r="AE549" s="2503"/>
      <c r="AF549" s="2503"/>
      <c r="AG549" s="2503"/>
      <c r="AH549" s="2503"/>
      <c r="AI549" s="2503"/>
      <c r="AJ549" s="2503"/>
      <c r="AK549" s="2503"/>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6">
        <f>Application!AJ992</f>
        <v>67476034</v>
      </c>
      <c r="AQ550" s="2626"/>
      <c r="AR550" s="2626"/>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3">
        <f>'Sources and Uses Budget'!S107+'Sources and Uses Budget'!T107</f>
        <v>60101062</v>
      </c>
      <c r="AG551" s="2483"/>
      <c r="AH551" s="2483"/>
      <c r="AI551" s="2483"/>
      <c r="AJ551" s="2483"/>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1">
        <f>IFERROR(AP559,0)</f>
        <v>119432579.78</v>
      </c>
      <c r="AG552" s="2631"/>
      <c r="AH552" s="2631"/>
      <c r="AI552" s="2631"/>
      <c r="AJ552" s="2631"/>
      <c r="AK552" s="595"/>
      <c r="AL552" s="595"/>
      <c r="AM552" s="595"/>
      <c r="AN552" s="597"/>
      <c r="AP552" s="2626">
        <f>Application!AJ1045</f>
        <v>26315653.260000002</v>
      </c>
      <c r="AQ552" s="2626"/>
      <c r="AR552" s="2626"/>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2">
        <f>IFERROR(ROUNDDOWN(IF(C544="YES",((1-(AF551/AF552))*2),(1-(AF551/AF552))),2),0)</f>
        <v>0.49</v>
      </c>
      <c r="AG553" s="2632"/>
      <c r="AH553" s="2632"/>
      <c r="AI553" s="2632"/>
      <c r="AJ553" s="2632"/>
      <c r="AK553" s="595"/>
      <c r="AL553" s="595"/>
      <c r="AM553" s="595"/>
      <c r="AN553" s="597"/>
      <c r="AP553" s="2629">
        <f>Application!AJ1049</f>
        <v>14844727.48</v>
      </c>
      <c r="AQ553" s="2629"/>
      <c r="AR553" s="2629"/>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5">
        <f>IF(((AP552+AP553)/AP550)&gt;0.8,0.8,((AP552+AP553)/AP550))</f>
        <v>0.61</v>
      </c>
      <c r="AQ554" s="2625"/>
      <c r="AR554" s="2625"/>
      <c r="AS554" s="550" t="s">
        <v>2172</v>
      </c>
    </row>
    <row r="555" spans="1:49" s="550" customFormat="1" ht="12.75" customHeight="1">
      <c r="A555" s="624"/>
      <c r="B555" s="2562" t="s">
        <v>2032</v>
      </c>
      <c r="C555" s="2563"/>
      <c r="D555" s="2563"/>
      <c r="E555" s="2563"/>
      <c r="F555" s="2563"/>
      <c r="G555" s="2563"/>
      <c r="H555" s="2563"/>
      <c r="I555" s="2563"/>
      <c r="J555" s="2563"/>
      <c r="K555" s="2563"/>
      <c r="L555" s="2563"/>
      <c r="M555" s="2563"/>
      <c r="N555" s="2563"/>
      <c r="O555" s="2563"/>
      <c r="P555" s="2563"/>
      <c r="Q555" s="2563"/>
      <c r="R555" s="2563"/>
      <c r="S555" s="2563"/>
      <c r="T555" s="2563"/>
      <c r="U555" s="2563"/>
      <c r="V555" s="2563"/>
      <c r="W555" s="2563"/>
      <c r="X555" s="2563"/>
      <c r="Y555" s="2563"/>
      <c r="Z555" s="2563"/>
      <c r="AA555" s="2563"/>
      <c r="AB555" s="2563"/>
      <c r="AC555" s="2563"/>
      <c r="AD555" s="2563"/>
      <c r="AE555" s="2563"/>
      <c r="AF555" s="2563"/>
      <c r="AG555" s="2563"/>
      <c r="AH555" s="2563"/>
      <c r="AI555" s="2563"/>
      <c r="AJ555" s="2564"/>
      <c r="AK555" s="595"/>
      <c r="AL555" s="595"/>
      <c r="AM555" s="595"/>
      <c r="AN555" s="597"/>
    </row>
    <row r="556" spans="1:49" s="550" customFormat="1" ht="12.75" customHeight="1">
      <c r="A556" s="624"/>
      <c r="B556" s="2565"/>
      <c r="C556" s="2566"/>
      <c r="D556" s="2566"/>
      <c r="E556" s="2566"/>
      <c r="F556" s="2566"/>
      <c r="G556" s="2566"/>
      <c r="H556" s="2566"/>
      <c r="I556" s="2566"/>
      <c r="J556" s="2566"/>
      <c r="K556" s="2566"/>
      <c r="L556" s="2566"/>
      <c r="M556" s="2566"/>
      <c r="N556" s="2566"/>
      <c r="O556" s="2566"/>
      <c r="P556" s="2566"/>
      <c r="Q556" s="2566"/>
      <c r="R556" s="2566"/>
      <c r="S556" s="2566"/>
      <c r="T556" s="2566"/>
      <c r="U556" s="2566"/>
      <c r="V556" s="2566"/>
      <c r="W556" s="2566"/>
      <c r="X556" s="2566"/>
      <c r="Y556" s="2566"/>
      <c r="Z556" s="2566"/>
      <c r="AA556" s="2566"/>
      <c r="AB556" s="2566"/>
      <c r="AC556" s="2566"/>
      <c r="AD556" s="2566"/>
      <c r="AE556" s="2566"/>
      <c r="AF556" s="2566"/>
      <c r="AG556" s="2566"/>
      <c r="AH556" s="2566"/>
      <c r="AI556" s="2566"/>
      <c r="AJ556" s="2567"/>
      <c r="AK556" s="595"/>
      <c r="AL556" s="595"/>
      <c r="AM556" s="595"/>
      <c r="AN556" s="597"/>
      <c r="AP556" s="2626">
        <f>AP557-AP552-AP553</f>
        <v>78272199.040000007</v>
      </c>
      <c r="AQ556" s="2535"/>
      <c r="AR556" s="2535"/>
      <c r="AS556" s="550" t="s">
        <v>2174</v>
      </c>
    </row>
    <row r="557" spans="1:49" s="550" customFormat="1" ht="12.75" customHeight="1">
      <c r="A557" s="624"/>
      <c r="B557" s="2568"/>
      <c r="C557" s="2569"/>
      <c r="D557" s="2569"/>
      <c r="E557" s="2569"/>
      <c r="F557" s="2569"/>
      <c r="G557" s="2569"/>
      <c r="H557" s="2569"/>
      <c r="I557" s="2569"/>
      <c r="J557" s="2569"/>
      <c r="K557" s="2569"/>
      <c r="L557" s="2569"/>
      <c r="M557" s="2569"/>
      <c r="N557" s="2569"/>
      <c r="O557" s="2569"/>
      <c r="P557" s="2569"/>
      <c r="Q557" s="2569"/>
      <c r="R557" s="2569"/>
      <c r="S557" s="2569"/>
      <c r="T557" s="2569"/>
      <c r="U557" s="2569"/>
      <c r="V557" s="2569"/>
      <c r="W557" s="2569"/>
      <c r="X557" s="2569"/>
      <c r="Y557" s="2569"/>
      <c r="Z557" s="2569"/>
      <c r="AA557" s="2569"/>
      <c r="AB557" s="2569"/>
      <c r="AC557" s="2569"/>
      <c r="AD557" s="2569"/>
      <c r="AE557" s="2569"/>
      <c r="AF557" s="2569"/>
      <c r="AG557" s="2569"/>
      <c r="AH557" s="2569"/>
      <c r="AI557" s="2569"/>
      <c r="AJ557" s="2570"/>
      <c r="AK557" s="595"/>
      <c r="AL557" s="595"/>
      <c r="AM557" s="595"/>
      <c r="AN557" s="597"/>
      <c r="AP557" s="2626">
        <f>Application!AJ1053</f>
        <v>119432579.78000002</v>
      </c>
      <c r="AQ557" s="2626"/>
      <c r="AR557" s="2626"/>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71">
        <f>IFERROR(IF(AND(C541="N/A",C544="N/A"),0,IF(AF553=0,0,IF((AF553*100)&gt;12,12,(AF553*100)))),0)</f>
        <v>12</v>
      </c>
      <c r="AL559" s="2571"/>
      <c r="AM559" s="2572"/>
      <c r="AN559" s="597"/>
      <c r="AP559" s="2643">
        <f>AP556+(AP550*AP554)</f>
        <v>119432579.78</v>
      </c>
      <c r="AQ559" s="2644"/>
      <c r="AR559" s="2645"/>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0" t="s">
        <v>1314</v>
      </c>
      <c r="AF562" s="2410"/>
      <c r="AG562" s="2410"/>
      <c r="AH562" s="2410"/>
      <c r="AI562" s="2410"/>
      <c r="AJ562" s="2410"/>
      <c r="AK562" s="2410"/>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0" t="s">
        <v>2023</v>
      </c>
      <c r="C564" s="2500"/>
      <c r="D564" s="2500"/>
      <c r="E564" s="2500"/>
      <c r="F564" s="2500"/>
      <c r="G564" s="2500"/>
      <c r="H564" s="2500"/>
      <c r="I564" s="2500"/>
      <c r="J564" s="2500"/>
      <c r="K564" s="2500"/>
      <c r="L564" s="2500"/>
      <c r="M564" s="2500"/>
      <c r="N564" s="2500"/>
      <c r="O564" s="2500"/>
      <c r="P564" s="2500"/>
      <c r="Q564" s="2500"/>
      <c r="R564" s="2500"/>
      <c r="S564" s="2500"/>
      <c r="T564" s="2500"/>
      <c r="U564" s="2500"/>
      <c r="V564" s="2500"/>
      <c r="W564" s="2500"/>
      <c r="X564" s="2500"/>
      <c r="Y564" s="2500"/>
      <c r="Z564" s="2500"/>
      <c r="AA564" s="2500"/>
      <c r="AB564" s="2500"/>
      <c r="AC564" s="2500"/>
      <c r="AD564" s="2500"/>
      <c r="AE564" s="2500"/>
      <c r="AF564" s="2500"/>
      <c r="AG564" s="2500"/>
      <c r="AH564" s="2500"/>
      <c r="AI564" s="2500"/>
      <c r="AJ564" s="2500"/>
      <c r="AK564" s="642"/>
      <c r="AL564" s="573"/>
      <c r="AM564" s="603"/>
      <c r="AN564" s="597"/>
    </row>
    <row r="565" spans="1:42" s="550" customFormat="1" ht="12.75" customHeight="1">
      <c r="A565" s="603"/>
      <c r="B565" s="2500"/>
      <c r="C565" s="2500"/>
      <c r="D565" s="2500"/>
      <c r="E565" s="2500"/>
      <c r="F565" s="2500"/>
      <c r="G565" s="2500"/>
      <c r="H565" s="2500"/>
      <c r="I565" s="2500"/>
      <c r="J565" s="2500"/>
      <c r="K565" s="2500"/>
      <c r="L565" s="2500"/>
      <c r="M565" s="2500"/>
      <c r="N565" s="2500"/>
      <c r="O565" s="2500"/>
      <c r="P565" s="2500"/>
      <c r="Q565" s="2500"/>
      <c r="R565" s="2500"/>
      <c r="S565" s="2500"/>
      <c r="T565" s="2500"/>
      <c r="U565" s="2500"/>
      <c r="V565" s="2500"/>
      <c r="W565" s="2500"/>
      <c r="X565" s="2500"/>
      <c r="Y565" s="2500"/>
      <c r="Z565" s="2500"/>
      <c r="AA565" s="2500"/>
      <c r="AB565" s="2500"/>
      <c r="AC565" s="2500"/>
      <c r="AD565" s="2500"/>
      <c r="AE565" s="2500"/>
      <c r="AF565" s="2500"/>
      <c r="AG565" s="2500"/>
      <c r="AH565" s="2500"/>
      <c r="AI565" s="2500"/>
      <c r="AJ565" s="2500"/>
      <c r="AK565" s="642"/>
      <c r="AL565" s="573"/>
      <c r="AM565" s="603"/>
      <c r="AN565" s="597"/>
    </row>
    <row r="566" spans="1:42" s="550" customFormat="1" ht="12.75" customHeight="1">
      <c r="A566" s="603"/>
      <c r="B566" s="2500"/>
      <c r="C566" s="2500"/>
      <c r="D566" s="2500"/>
      <c r="E566" s="2500"/>
      <c r="F566" s="2500"/>
      <c r="G566" s="2500"/>
      <c r="H566" s="2500"/>
      <c r="I566" s="2500"/>
      <c r="J566" s="2500"/>
      <c r="K566" s="2500"/>
      <c r="L566" s="2500"/>
      <c r="M566" s="2500"/>
      <c r="N566" s="2500"/>
      <c r="O566" s="2500"/>
      <c r="P566" s="2500"/>
      <c r="Q566" s="2500"/>
      <c r="R566" s="2500"/>
      <c r="S566" s="2500"/>
      <c r="T566" s="2500"/>
      <c r="U566" s="2500"/>
      <c r="V566" s="2500"/>
      <c r="W566" s="2500"/>
      <c r="X566" s="2500"/>
      <c r="Y566" s="2500"/>
      <c r="Z566" s="2500"/>
      <c r="AA566" s="2500"/>
      <c r="AB566" s="2500"/>
      <c r="AC566" s="2500"/>
      <c r="AD566" s="2500"/>
      <c r="AE566" s="2500"/>
      <c r="AF566" s="2500"/>
      <c r="AG566" s="2500"/>
      <c r="AH566" s="2500"/>
      <c r="AI566" s="2500"/>
      <c r="AJ566" s="2500"/>
      <c r="AK566" s="642"/>
      <c r="AL566" s="573"/>
      <c r="AM566" s="603"/>
      <c r="AN566" s="597"/>
    </row>
    <row r="567" spans="1:42" s="550" customFormat="1" ht="12.75" customHeight="1">
      <c r="A567" s="603"/>
      <c r="B567" s="2500"/>
      <c r="C567" s="2500"/>
      <c r="D567" s="2500"/>
      <c r="E567" s="2500"/>
      <c r="F567" s="2500"/>
      <c r="G567" s="2500"/>
      <c r="H567" s="2500"/>
      <c r="I567" s="2500"/>
      <c r="J567" s="2500"/>
      <c r="K567" s="2500"/>
      <c r="L567" s="2500"/>
      <c r="M567" s="2500"/>
      <c r="N567" s="2500"/>
      <c r="O567" s="2500"/>
      <c r="P567" s="2500"/>
      <c r="Q567" s="2500"/>
      <c r="R567" s="2500"/>
      <c r="S567" s="2500"/>
      <c r="T567" s="2500"/>
      <c r="U567" s="2500"/>
      <c r="V567" s="2500"/>
      <c r="W567" s="2500"/>
      <c r="X567" s="2500"/>
      <c r="Y567" s="2500"/>
      <c r="Z567" s="2500"/>
      <c r="AA567" s="2500"/>
      <c r="AB567" s="2500"/>
      <c r="AC567" s="2500"/>
      <c r="AD567" s="2500"/>
      <c r="AE567" s="2500"/>
      <c r="AF567" s="2500"/>
      <c r="AG567" s="2500"/>
      <c r="AH567" s="2500"/>
      <c r="AI567" s="2500"/>
      <c r="AJ567" s="2500"/>
      <c r="AK567" s="642"/>
      <c r="AL567" s="573"/>
      <c r="AM567" s="603"/>
      <c r="AN567" s="597"/>
    </row>
    <row r="568" spans="1:42" s="550" customFormat="1" ht="12.75" customHeight="1">
      <c r="A568" s="603"/>
      <c r="B568" s="2500"/>
      <c r="C568" s="2500"/>
      <c r="D568" s="2500"/>
      <c r="E568" s="2500"/>
      <c r="F568" s="2500"/>
      <c r="G568" s="2500"/>
      <c r="H568" s="2500"/>
      <c r="I568" s="2500"/>
      <c r="J568" s="2500"/>
      <c r="K568" s="2500"/>
      <c r="L568" s="2500"/>
      <c r="M568" s="2500"/>
      <c r="N568" s="2500"/>
      <c r="O568" s="2500"/>
      <c r="P568" s="2500"/>
      <c r="Q568" s="2500"/>
      <c r="R568" s="2500"/>
      <c r="S568" s="2500"/>
      <c r="T568" s="2500"/>
      <c r="U568" s="2500"/>
      <c r="V568" s="2500"/>
      <c r="W568" s="2500"/>
      <c r="X568" s="2500"/>
      <c r="Y568" s="2500"/>
      <c r="Z568" s="2500"/>
      <c r="AA568" s="2500"/>
      <c r="AB568" s="2500"/>
      <c r="AC568" s="2500"/>
      <c r="AD568" s="2500"/>
      <c r="AE568" s="2500"/>
      <c r="AF568" s="2500"/>
      <c r="AG568" s="2500"/>
      <c r="AH568" s="2500"/>
      <c r="AI568" s="2500"/>
      <c r="AJ568" s="2500"/>
      <c r="AK568" s="642"/>
      <c r="AL568" s="573"/>
      <c r="AM568" s="603"/>
      <c r="AN568" s="597"/>
    </row>
    <row r="569" spans="1:42" s="550" customFormat="1" ht="12.75" customHeight="1">
      <c r="A569" s="603"/>
      <c r="B569" s="2500"/>
      <c r="C569" s="2500"/>
      <c r="D569" s="2500"/>
      <c r="E569" s="2500"/>
      <c r="F569" s="2500"/>
      <c r="G569" s="2500"/>
      <c r="H569" s="2500"/>
      <c r="I569" s="2500"/>
      <c r="J569" s="2500"/>
      <c r="K569" s="2500"/>
      <c r="L569" s="2500"/>
      <c r="M569" s="2500"/>
      <c r="N569" s="2500"/>
      <c r="O569" s="2500"/>
      <c r="P569" s="2500"/>
      <c r="Q569" s="2500"/>
      <c r="R569" s="2500"/>
      <c r="S569" s="2500"/>
      <c r="T569" s="2500"/>
      <c r="U569" s="2500"/>
      <c r="V569" s="2500"/>
      <c r="W569" s="2500"/>
      <c r="X569" s="2500"/>
      <c r="Y569" s="2500"/>
      <c r="Z569" s="2500"/>
      <c r="AA569" s="2500"/>
      <c r="AB569" s="2500"/>
      <c r="AC569" s="2500"/>
      <c r="AD569" s="2500"/>
      <c r="AE569" s="2500"/>
      <c r="AF569" s="2500"/>
      <c r="AG569" s="2500"/>
      <c r="AH569" s="2500"/>
      <c r="AI569" s="2500"/>
      <c r="AJ569" s="2500"/>
      <c r="AK569" s="642"/>
      <c r="AL569" s="573"/>
      <c r="AM569" s="603"/>
      <c r="AN569" s="597"/>
    </row>
    <row r="570" spans="1:42" s="550" customFormat="1" ht="12.75" customHeight="1">
      <c r="A570" s="603"/>
      <c r="B570" s="2500"/>
      <c r="C570" s="2500"/>
      <c r="D570" s="2500"/>
      <c r="E570" s="2500"/>
      <c r="F570" s="2500"/>
      <c r="G570" s="2500"/>
      <c r="H570" s="2500"/>
      <c r="I570" s="2500"/>
      <c r="J570" s="2500"/>
      <c r="K570" s="2500"/>
      <c r="L570" s="2500"/>
      <c r="M570" s="2500"/>
      <c r="N570" s="2500"/>
      <c r="O570" s="2500"/>
      <c r="P570" s="2500"/>
      <c r="Q570" s="2500"/>
      <c r="R570" s="2500"/>
      <c r="S570" s="2500"/>
      <c r="T570" s="2500"/>
      <c r="U570" s="2500"/>
      <c r="V570" s="2500"/>
      <c r="W570" s="2500"/>
      <c r="X570" s="2500"/>
      <c r="Y570" s="2500"/>
      <c r="Z570" s="2500"/>
      <c r="AA570" s="2500"/>
      <c r="AB570" s="2500"/>
      <c r="AC570" s="2500"/>
      <c r="AD570" s="2500"/>
      <c r="AE570" s="2500"/>
      <c r="AF570" s="2500"/>
      <c r="AG570" s="2500"/>
      <c r="AH570" s="2500"/>
      <c r="AI570" s="2500"/>
      <c r="AJ570" s="2500"/>
      <c r="AK570" s="642"/>
      <c r="AL570" s="573"/>
      <c r="AM570" s="603"/>
      <c r="AN570" s="597"/>
    </row>
    <row r="571" spans="1:42" ht="12.75" customHeight="1">
      <c r="A571" s="603"/>
      <c r="B571" s="2500"/>
      <c r="C571" s="2500"/>
      <c r="D571" s="2500"/>
      <c r="E571" s="2500"/>
      <c r="F571" s="2500"/>
      <c r="G571" s="2500"/>
      <c r="H571" s="2500"/>
      <c r="I571" s="2500"/>
      <c r="J571" s="2500"/>
      <c r="K571" s="2500"/>
      <c r="L571" s="2500"/>
      <c r="M571" s="2500"/>
      <c r="N571" s="2500"/>
      <c r="O571" s="2500"/>
      <c r="P571" s="2500"/>
      <c r="Q571" s="2500"/>
      <c r="R571" s="2500"/>
      <c r="S571" s="2500"/>
      <c r="T571" s="2500"/>
      <c r="U571" s="2500"/>
      <c r="V571" s="2500"/>
      <c r="W571" s="2500"/>
      <c r="X571" s="2500"/>
      <c r="Y571" s="2500"/>
      <c r="Z571" s="2500"/>
      <c r="AA571" s="2500"/>
      <c r="AB571" s="2500"/>
      <c r="AC571" s="2500"/>
      <c r="AD571" s="2500"/>
      <c r="AE571" s="2500"/>
      <c r="AF571" s="2500"/>
      <c r="AG571" s="2500"/>
      <c r="AH571" s="2500"/>
      <c r="AI571" s="2500"/>
      <c r="AJ571" s="2500"/>
      <c r="AK571" s="642"/>
      <c r="AL571" s="573"/>
      <c r="AM571" s="603"/>
    </row>
    <row r="572" spans="1:42" s="550" customFormat="1" ht="12.75" customHeight="1">
      <c r="B572" s="2500"/>
      <c r="C572" s="2500"/>
      <c r="D572" s="2500"/>
      <c r="E572" s="2500"/>
      <c r="F572" s="2500"/>
      <c r="G572" s="2500"/>
      <c r="H572" s="2500"/>
      <c r="I572" s="2500"/>
      <c r="J572" s="2500"/>
      <c r="K572" s="2500"/>
      <c r="L572" s="2500"/>
      <c r="M572" s="2500"/>
      <c r="N572" s="2500"/>
      <c r="O572" s="2500"/>
      <c r="P572" s="2500"/>
      <c r="Q572" s="2500"/>
      <c r="R572" s="2500"/>
      <c r="S572" s="2500"/>
      <c r="T572" s="2500"/>
      <c r="U572" s="2500"/>
      <c r="V572" s="2500"/>
      <c r="W572" s="2500"/>
      <c r="X572" s="2500"/>
      <c r="Y572" s="2500"/>
      <c r="Z572" s="2500"/>
      <c r="AA572" s="2500"/>
      <c r="AB572" s="2500"/>
      <c r="AC572" s="2500"/>
      <c r="AD572" s="2500"/>
      <c r="AE572" s="2500"/>
      <c r="AF572" s="2500"/>
      <c r="AG572" s="2500"/>
      <c r="AH572" s="2500"/>
      <c r="AI572" s="2500"/>
      <c r="AJ572" s="2500"/>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5" t="s">
        <v>1338</v>
      </c>
      <c r="AG578" s="2445"/>
      <c r="AH578" s="2445"/>
      <c r="AI578" s="2445"/>
      <c r="AJ578" s="2445"/>
      <c r="AK578" s="2445"/>
      <c r="AL578" s="2445"/>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5" t="s">
        <v>1396</v>
      </c>
      <c r="AG585" s="2445"/>
      <c r="AH585" s="2445"/>
      <c r="AI585" s="2445"/>
      <c r="AJ585" s="2445"/>
      <c r="AK585" s="2445"/>
      <c r="AL585" s="2445"/>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5" t="s">
        <v>1378</v>
      </c>
      <c r="AG591" s="2445"/>
      <c r="AH591" s="2445"/>
      <c r="AI591" s="2445"/>
      <c r="AJ591" s="2445"/>
      <c r="AK591" s="2445"/>
      <c r="AL591" s="2445"/>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5" t="s">
        <v>1399</v>
      </c>
      <c r="AG597" s="2445"/>
      <c r="AH597" s="2445"/>
      <c r="AI597" s="2445"/>
      <c r="AJ597" s="2445"/>
      <c r="AK597" s="2445"/>
      <c r="AL597" s="2445"/>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1" t="s">
        <v>1184</v>
      </c>
      <c r="P601" s="2531"/>
      <c r="Q601" s="2531"/>
      <c r="R601" s="2531"/>
      <c r="S601" s="2531"/>
      <c r="T601" s="2531"/>
      <c r="U601" s="2531"/>
      <c r="V601" s="2531"/>
      <c r="W601" s="2531"/>
      <c r="X601" s="2531"/>
      <c r="Y601" s="2531"/>
      <c r="Z601" s="2531"/>
      <c r="AA601" s="2531"/>
      <c r="AB601" s="2531"/>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5" t="s">
        <v>1352</v>
      </c>
      <c r="AG603" s="2445"/>
      <c r="AH603" s="2445"/>
      <c r="AI603" s="2445"/>
      <c r="AJ603" s="2445"/>
      <c r="AK603" s="2445"/>
      <c r="AL603" s="2445"/>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9" t="s">
        <v>687</v>
      </c>
      <c r="I606" s="2529"/>
      <c r="J606" s="936"/>
      <c r="K606" s="936"/>
      <c r="L606" s="936"/>
      <c r="N606" s="22"/>
      <c r="O606" s="22"/>
      <c r="P606" s="22"/>
      <c r="Q606" s="1151" t="s">
        <v>2177</v>
      </c>
      <c r="R606" s="2532"/>
      <c r="S606" s="2532"/>
      <c r="T606" s="2532"/>
      <c r="U606" s="2532"/>
      <c r="V606" s="2532"/>
      <c r="W606" s="2532"/>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3" t="str">
        <f>IF(AND(H606="(i)",NOT(AP582)),AO599,IF(AND(H606="(iv)",OR(R606=AO595,R606=AO594),NOT(AP583)),AO600,""))</f>
        <v/>
      </c>
      <c r="Z607" s="2533"/>
      <c r="AA607" s="2533"/>
      <c r="AB607" s="2533"/>
      <c r="AC607" s="2533"/>
      <c r="AD607" s="2533"/>
      <c r="AE607" s="2533"/>
      <c r="AF607" s="2533"/>
      <c r="AG607" s="2533"/>
      <c r="AH607" s="2533"/>
      <c r="AI607" s="2533"/>
      <c r="AJ607" s="2533"/>
      <c r="AK607" s="2533"/>
      <c r="AL607" s="2533"/>
      <c r="AM607" s="2534"/>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3"/>
      <c r="Z608" s="2533"/>
      <c r="AA608" s="2533"/>
      <c r="AB608" s="2533"/>
      <c r="AC608" s="2533"/>
      <c r="AD608" s="2533"/>
      <c r="AE608" s="2533"/>
      <c r="AF608" s="2533"/>
      <c r="AG608" s="2533"/>
      <c r="AH608" s="2533"/>
      <c r="AI608" s="2533"/>
      <c r="AJ608" s="2533"/>
      <c r="AK608" s="2533"/>
      <c r="AL608" s="2533"/>
      <c r="AM608" s="2534"/>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0" t="s">
        <v>591</v>
      </c>
      <c r="J614" s="2530"/>
      <c r="K614" s="2530"/>
      <c r="L614" s="2530"/>
      <c r="M614" s="2530"/>
      <c r="N614" s="2530"/>
      <c r="O614" s="2530"/>
      <c r="P614" s="2530"/>
      <c r="Q614" s="2530"/>
      <c r="R614" s="2530"/>
      <c r="S614" s="2530"/>
      <c r="T614" s="2530"/>
      <c r="U614" s="2530"/>
      <c r="V614" s="2530"/>
      <c r="W614" s="2530"/>
      <c r="X614" s="2530"/>
      <c r="Y614" s="2530"/>
      <c r="Z614" s="2530"/>
      <c r="AA614" s="2530"/>
      <c r="AB614" s="2530"/>
      <c r="AC614" s="2530"/>
      <c r="AD614" s="2530"/>
      <c r="AE614" s="2530"/>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3" t="s">
        <v>591</v>
      </c>
      <c r="C616" s="2473"/>
      <c r="D616" s="642"/>
      <c r="E616" s="2500" t="s">
        <v>1403</v>
      </c>
      <c r="F616" s="2500"/>
      <c r="G616" s="2500"/>
      <c r="H616" s="2500"/>
      <c r="I616" s="2500"/>
      <c r="J616" s="2500"/>
      <c r="K616" s="2500"/>
      <c r="L616" s="2500"/>
      <c r="M616" s="2500"/>
      <c r="N616" s="2500"/>
      <c r="O616" s="2500"/>
      <c r="P616" s="2500"/>
      <c r="Q616" s="2500"/>
      <c r="R616" s="2500"/>
      <c r="S616" s="2500"/>
      <c r="T616" s="2500"/>
      <c r="U616" s="2500"/>
      <c r="V616" s="2500"/>
      <c r="W616" s="2500"/>
      <c r="X616" s="2500"/>
      <c r="Y616" s="2500"/>
      <c r="Z616" s="2500"/>
      <c r="AA616" s="2500"/>
      <c r="AB616" s="2500"/>
      <c r="AC616" s="2500"/>
      <c r="AD616" s="2500"/>
      <c r="AE616" s="2500"/>
      <c r="AF616" s="2500"/>
      <c r="AG616" s="2500"/>
      <c r="AH616" s="642"/>
      <c r="AI616" s="642"/>
      <c r="AJ616" s="642"/>
      <c r="AK616" s="642"/>
      <c r="AL616" s="642"/>
      <c r="AN616" s="597"/>
    </row>
    <row r="617" spans="1:42" s="550" customFormat="1" ht="12.75" customHeight="1">
      <c r="B617" s="536"/>
      <c r="C617" s="933"/>
      <c r="D617" s="642"/>
      <c r="E617" s="2500"/>
      <c r="F617" s="2500"/>
      <c r="G617" s="2500"/>
      <c r="H617" s="2500"/>
      <c r="I617" s="2500"/>
      <c r="J617" s="2500"/>
      <c r="K617" s="2500"/>
      <c r="L617" s="2500"/>
      <c r="M617" s="2500"/>
      <c r="N617" s="2500"/>
      <c r="O617" s="2500"/>
      <c r="P617" s="2500"/>
      <c r="Q617" s="2500"/>
      <c r="R617" s="2500"/>
      <c r="S617" s="2500"/>
      <c r="T617" s="2500"/>
      <c r="U617" s="2500"/>
      <c r="V617" s="2500"/>
      <c r="W617" s="2500"/>
      <c r="X617" s="2500"/>
      <c r="Y617" s="2500"/>
      <c r="Z617" s="2500"/>
      <c r="AA617" s="2500"/>
      <c r="AB617" s="2500"/>
      <c r="AC617" s="2500"/>
      <c r="AD617" s="2500"/>
      <c r="AE617" s="2500"/>
      <c r="AF617" s="2500"/>
      <c r="AG617" s="2500"/>
      <c r="AH617" s="642"/>
      <c r="AI617" s="642"/>
      <c r="AJ617" s="642"/>
      <c r="AK617" s="642"/>
      <c r="AL617" s="642"/>
      <c r="AN617" s="597"/>
    </row>
    <row r="618" spans="1:42" s="550" customFormat="1" ht="12.75" customHeight="1">
      <c r="B618" s="536"/>
      <c r="C618" s="933"/>
      <c r="D618" s="642"/>
      <c r="E618" s="2500"/>
      <c r="F618" s="2500"/>
      <c r="G618" s="2500"/>
      <c r="H618" s="2500"/>
      <c r="I618" s="2500"/>
      <c r="J618" s="2500"/>
      <c r="K618" s="2500"/>
      <c r="L618" s="2500"/>
      <c r="M618" s="2500"/>
      <c r="N618" s="2500"/>
      <c r="O618" s="2500"/>
      <c r="P618" s="2500"/>
      <c r="Q618" s="2500"/>
      <c r="R618" s="2500"/>
      <c r="S618" s="2500"/>
      <c r="T618" s="2500"/>
      <c r="U618" s="2500"/>
      <c r="V618" s="2500"/>
      <c r="W618" s="2500"/>
      <c r="X618" s="2500"/>
      <c r="Y618" s="2500"/>
      <c r="Z618" s="2500"/>
      <c r="AA618" s="2500"/>
      <c r="AB618" s="2500"/>
      <c r="AC618" s="2500"/>
      <c r="AD618" s="2500"/>
      <c r="AE618" s="2500"/>
      <c r="AF618" s="2500"/>
      <c r="AG618" s="2500"/>
      <c r="AH618" s="642"/>
      <c r="AI618" s="642"/>
      <c r="AJ618" s="642"/>
      <c r="AK618" s="642"/>
      <c r="AL618" s="642"/>
      <c r="AN618" s="597"/>
    </row>
    <row r="619" spans="1:42" s="550" customFormat="1" ht="12.75" customHeight="1">
      <c r="B619" s="536"/>
      <c r="C619" s="933"/>
      <c r="D619" s="642"/>
      <c r="E619" s="2500"/>
      <c r="F619" s="2500"/>
      <c r="G619" s="2500"/>
      <c r="H619" s="2500"/>
      <c r="I619" s="2500"/>
      <c r="J619" s="2500"/>
      <c r="K619" s="2500"/>
      <c r="L619" s="2500"/>
      <c r="M619" s="2500"/>
      <c r="N619" s="2500"/>
      <c r="O619" s="2500"/>
      <c r="P619" s="2500"/>
      <c r="Q619" s="2500"/>
      <c r="R619" s="2500"/>
      <c r="S619" s="2500"/>
      <c r="T619" s="2500"/>
      <c r="U619" s="2500"/>
      <c r="V619" s="2500"/>
      <c r="W619" s="2500"/>
      <c r="X619" s="2500"/>
      <c r="Y619" s="2500"/>
      <c r="Z619" s="2500"/>
      <c r="AA619" s="2500"/>
      <c r="AB619" s="2500"/>
      <c r="AC619" s="2500"/>
      <c r="AD619" s="2500"/>
      <c r="AE619" s="2500"/>
      <c r="AF619" s="2500"/>
      <c r="AG619" s="2500"/>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80">
        <f>VLOOKUP($H$606,$AO$586:$AP$591,2,FALSE)+IF(R606=AO594,0,VLOOKUP($I$614,$AO$613:$AP$615,2,FALSE))</f>
        <v>7</v>
      </c>
      <c r="AK621" s="2482"/>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8" t="s">
        <v>1694</v>
      </c>
      <c r="F625" s="2528"/>
      <c r="G625" s="2528"/>
      <c r="H625" s="2528"/>
      <c r="I625" s="2528"/>
      <c r="J625" s="2528"/>
      <c r="K625" s="2528"/>
      <c r="L625" s="2528"/>
      <c r="M625" s="2528"/>
      <c r="N625" s="2528"/>
      <c r="O625" s="2528"/>
      <c r="P625" s="2528"/>
      <c r="Q625" s="2528"/>
      <c r="R625" s="2528"/>
      <c r="S625" s="2528"/>
      <c r="T625" s="2528"/>
      <c r="U625" s="2528"/>
      <c r="V625" s="2528"/>
      <c r="W625" s="2528"/>
      <c r="X625" s="2528"/>
      <c r="Y625" s="2528"/>
      <c r="Z625" s="2528"/>
      <c r="AA625" s="2528"/>
      <c r="AB625" s="2528"/>
      <c r="AC625" s="2528"/>
      <c r="AD625" s="2528"/>
      <c r="AE625" s="539"/>
      <c r="AF625" s="2445" t="s">
        <v>1352</v>
      </c>
      <c r="AG625" s="2445"/>
      <c r="AH625" s="2445"/>
      <c r="AI625" s="2445"/>
      <c r="AJ625" s="2445"/>
      <c r="AK625" s="2445"/>
      <c r="AL625" s="2445"/>
      <c r="AM625" s="550"/>
      <c r="AN625" s="678"/>
    </row>
    <row r="626" spans="1:42" s="550" customFormat="1" ht="12.75" customHeight="1">
      <c r="A626" s="679"/>
      <c r="B626" s="536"/>
      <c r="C626" s="933"/>
      <c r="D626" s="663"/>
      <c r="E626" s="2528"/>
      <c r="F626" s="2528"/>
      <c r="G626" s="2528"/>
      <c r="H626" s="2528"/>
      <c r="I626" s="2528"/>
      <c r="J626" s="2528"/>
      <c r="K626" s="2528"/>
      <c r="L626" s="2528"/>
      <c r="M626" s="2528"/>
      <c r="N626" s="2528"/>
      <c r="O626" s="2528"/>
      <c r="P626" s="2528"/>
      <c r="Q626" s="2528"/>
      <c r="R626" s="2528"/>
      <c r="S626" s="2528"/>
      <c r="T626" s="2528"/>
      <c r="U626" s="2528"/>
      <c r="V626" s="2528"/>
      <c r="W626" s="2528"/>
      <c r="X626" s="2528"/>
      <c r="Y626" s="2528"/>
      <c r="Z626" s="2528"/>
      <c r="AA626" s="2528"/>
      <c r="AB626" s="2528"/>
      <c r="AC626" s="2528"/>
      <c r="AD626" s="2528"/>
      <c r="AE626" s="536"/>
      <c r="AF626" s="536"/>
      <c r="AG626" s="536"/>
      <c r="AH626" s="536"/>
      <c r="AI626" s="536"/>
      <c r="AJ626" s="536"/>
      <c r="AK626" s="536"/>
      <c r="AL626" s="536"/>
      <c r="AN626" s="597"/>
    </row>
    <row r="627" spans="1:42" s="550" customFormat="1" ht="12.75" customHeight="1">
      <c r="B627" s="536"/>
      <c r="C627" s="931"/>
      <c r="D627" s="663"/>
      <c r="E627" s="2528"/>
      <c r="F627" s="2528"/>
      <c r="G627" s="2528"/>
      <c r="H627" s="2528"/>
      <c r="I627" s="2528"/>
      <c r="J627" s="2528"/>
      <c r="K627" s="2528"/>
      <c r="L627" s="2528"/>
      <c r="M627" s="2528"/>
      <c r="N627" s="2528"/>
      <c r="O627" s="2528"/>
      <c r="P627" s="2528"/>
      <c r="Q627" s="2528"/>
      <c r="R627" s="2528"/>
      <c r="S627" s="2528"/>
      <c r="T627" s="2528"/>
      <c r="U627" s="2528"/>
      <c r="V627" s="2528"/>
      <c r="W627" s="2528"/>
      <c r="X627" s="2528"/>
      <c r="Y627" s="2528"/>
      <c r="Z627" s="2528"/>
      <c r="AA627" s="2528"/>
      <c r="AB627" s="2528"/>
      <c r="AC627" s="2528"/>
      <c r="AD627" s="2528"/>
      <c r="AE627" s="536"/>
      <c r="AF627" s="536"/>
      <c r="AG627" s="536"/>
      <c r="AH627" s="536"/>
      <c r="AI627" s="536"/>
      <c r="AJ627" s="536"/>
      <c r="AK627" s="536"/>
      <c r="AL627" s="536"/>
      <c r="AN627" s="597"/>
    </row>
    <row r="628" spans="1:42" s="550" customFormat="1" ht="12.75" customHeight="1">
      <c r="B628" s="536"/>
      <c r="C628" s="931"/>
      <c r="D628" s="663"/>
      <c r="E628" s="2528"/>
      <c r="F628" s="2528"/>
      <c r="G628" s="2528"/>
      <c r="H628" s="2528"/>
      <c r="I628" s="2528"/>
      <c r="J628" s="2528"/>
      <c r="K628" s="2528"/>
      <c r="L628" s="2528"/>
      <c r="M628" s="2528"/>
      <c r="N628" s="2528"/>
      <c r="O628" s="2528"/>
      <c r="P628" s="2528"/>
      <c r="Q628" s="2528"/>
      <c r="R628" s="2528"/>
      <c r="S628" s="2528"/>
      <c r="T628" s="2528"/>
      <c r="U628" s="2528"/>
      <c r="V628" s="2528"/>
      <c r="W628" s="2528"/>
      <c r="X628" s="2528"/>
      <c r="Y628" s="2528"/>
      <c r="Z628" s="2528"/>
      <c r="AA628" s="2528"/>
      <c r="AB628" s="2528"/>
      <c r="AC628" s="2528"/>
      <c r="AD628" s="2528"/>
      <c r="AE628" s="536"/>
      <c r="AF628" s="536"/>
      <c r="AG628" s="536"/>
      <c r="AH628" s="536"/>
      <c r="AI628" s="536"/>
      <c r="AJ628" s="536"/>
      <c r="AK628" s="536"/>
      <c r="AL628" s="536"/>
      <c r="AN628" s="597"/>
    </row>
    <row r="629" spans="1:42" s="550" customFormat="1" ht="12.75" customHeight="1">
      <c r="B629" s="536"/>
      <c r="C629" s="931"/>
      <c r="D629" s="663"/>
      <c r="E629" s="2528"/>
      <c r="F629" s="2528"/>
      <c r="G629" s="2528"/>
      <c r="H629" s="2528"/>
      <c r="I629" s="2528"/>
      <c r="J629" s="2528"/>
      <c r="K629" s="2528"/>
      <c r="L629" s="2528"/>
      <c r="M629" s="2528"/>
      <c r="N629" s="2528"/>
      <c r="O629" s="2528"/>
      <c r="P629" s="2528"/>
      <c r="Q629" s="2528"/>
      <c r="R629" s="2528"/>
      <c r="S629" s="2528"/>
      <c r="T629" s="2528"/>
      <c r="U629" s="2528"/>
      <c r="V629" s="2528"/>
      <c r="W629" s="2528"/>
      <c r="X629" s="2528"/>
      <c r="Y629" s="2528"/>
      <c r="Z629" s="2528"/>
      <c r="AA629" s="2528"/>
      <c r="AB629" s="2528"/>
      <c r="AC629" s="2528"/>
      <c r="AD629" s="2528"/>
      <c r="AE629" s="536"/>
      <c r="AF629" s="536"/>
      <c r="AG629" s="536"/>
      <c r="AH629" s="536"/>
      <c r="AI629" s="536"/>
      <c r="AJ629" s="536"/>
      <c r="AK629" s="536"/>
      <c r="AL629" s="536"/>
      <c r="AN629" s="597"/>
    </row>
    <row r="630" spans="1:42" s="550" customFormat="1" ht="12.75" customHeight="1">
      <c r="B630" s="536"/>
      <c r="C630" s="931"/>
      <c r="D630" s="663"/>
      <c r="E630" s="2528"/>
      <c r="F630" s="2528"/>
      <c r="G630" s="2528"/>
      <c r="H630" s="2528"/>
      <c r="I630" s="2528"/>
      <c r="J630" s="2528"/>
      <c r="K630" s="2528"/>
      <c r="L630" s="2528"/>
      <c r="M630" s="2528"/>
      <c r="N630" s="2528"/>
      <c r="O630" s="2528"/>
      <c r="P630" s="2528"/>
      <c r="Q630" s="2528"/>
      <c r="R630" s="2528"/>
      <c r="S630" s="2528"/>
      <c r="T630" s="2528"/>
      <c r="U630" s="2528"/>
      <c r="V630" s="2528"/>
      <c r="W630" s="2528"/>
      <c r="X630" s="2528"/>
      <c r="Y630" s="2528"/>
      <c r="Z630" s="2528"/>
      <c r="AA630" s="2528"/>
      <c r="AB630" s="2528"/>
      <c r="AC630" s="2528"/>
      <c r="AD630" s="2528"/>
      <c r="AE630" s="536"/>
      <c r="AF630" s="536"/>
      <c r="AG630" s="536"/>
      <c r="AH630" s="536"/>
      <c r="AI630" s="536"/>
      <c r="AJ630" s="536"/>
      <c r="AK630" s="536"/>
      <c r="AL630" s="536"/>
      <c r="AN630" s="597"/>
    </row>
    <row r="631" spans="1:42" s="550" customFormat="1" ht="12.75" customHeight="1">
      <c r="A631" s="637"/>
      <c r="B631" s="616"/>
      <c r="C631" s="940"/>
      <c r="D631" s="663"/>
      <c r="E631" s="2528"/>
      <c r="F631" s="2528"/>
      <c r="G631" s="2528"/>
      <c r="H631" s="2528"/>
      <c r="I631" s="2528"/>
      <c r="J631" s="2528"/>
      <c r="K631" s="2528"/>
      <c r="L631" s="2528"/>
      <c r="M631" s="2528"/>
      <c r="N631" s="2528"/>
      <c r="O631" s="2528"/>
      <c r="P631" s="2528"/>
      <c r="Q631" s="2528"/>
      <c r="R631" s="2528"/>
      <c r="S631" s="2528"/>
      <c r="T631" s="2528"/>
      <c r="U631" s="2528"/>
      <c r="V631" s="2528"/>
      <c r="W631" s="2528"/>
      <c r="X631" s="2528"/>
      <c r="Y631" s="2528"/>
      <c r="Z631" s="2528"/>
      <c r="AA631" s="2528"/>
      <c r="AB631" s="2528"/>
      <c r="AC631" s="2528"/>
      <c r="AD631" s="2528"/>
      <c r="AE631" s="616"/>
      <c r="AF631" s="616"/>
      <c r="AG631" s="616"/>
      <c r="AH631" s="616"/>
      <c r="AI631" s="616"/>
      <c r="AJ631" s="616"/>
      <c r="AK631" s="536"/>
      <c r="AL631" s="536"/>
      <c r="AN631" s="597"/>
    </row>
    <row r="632" spans="1:42" s="550" customFormat="1" ht="12.75" customHeight="1">
      <c r="B632" s="616"/>
      <c r="C632" s="940"/>
      <c r="D632" s="663"/>
      <c r="E632" s="2528"/>
      <c r="F632" s="2528"/>
      <c r="G632" s="2528"/>
      <c r="H632" s="2528"/>
      <c r="I632" s="2528"/>
      <c r="J632" s="2528"/>
      <c r="K632" s="2528"/>
      <c r="L632" s="2528"/>
      <c r="M632" s="2528"/>
      <c r="N632" s="2528"/>
      <c r="O632" s="2528"/>
      <c r="P632" s="2528"/>
      <c r="Q632" s="2528"/>
      <c r="R632" s="2528"/>
      <c r="S632" s="2528"/>
      <c r="T632" s="2528"/>
      <c r="U632" s="2528"/>
      <c r="V632" s="2528"/>
      <c r="W632" s="2528"/>
      <c r="X632" s="2528"/>
      <c r="Y632" s="2528"/>
      <c r="Z632" s="2528"/>
      <c r="AA632" s="2528"/>
      <c r="AB632" s="2528"/>
      <c r="AC632" s="2528"/>
      <c r="AD632" s="2528"/>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3" t="s">
        <v>591</v>
      </c>
      <c r="Y634" s="2473"/>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5" t="s">
        <v>1408</v>
      </c>
      <c r="AG636" s="2445"/>
      <c r="AH636" s="2445"/>
      <c r="AI636" s="2445"/>
      <c r="AJ636" s="2445"/>
      <c r="AK636" s="2445"/>
      <c r="AL636" s="2445"/>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9" t="s">
        <v>687</v>
      </c>
      <c r="I638" s="2529"/>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80">
        <f>VLOOKUP($H$638,$AO$605:$AP$607,2,FALSE)</f>
        <v>3</v>
      </c>
      <c r="AK640" s="2482"/>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500" t="s">
        <v>2098</v>
      </c>
      <c r="F644" s="2500"/>
      <c r="G644" s="2500"/>
      <c r="H644" s="2500"/>
      <c r="I644" s="2500"/>
      <c r="J644" s="2500"/>
      <c r="K644" s="2500"/>
      <c r="L644" s="2500"/>
      <c r="M644" s="2500"/>
      <c r="N644" s="2500"/>
      <c r="O644" s="2500"/>
      <c r="P644" s="2500"/>
      <c r="Q644" s="2500"/>
      <c r="R644" s="2500"/>
      <c r="S644" s="2500"/>
      <c r="T644" s="2500"/>
      <c r="U644" s="2500"/>
      <c r="V644" s="2500"/>
      <c r="W644" s="2500"/>
      <c r="X644" s="2500"/>
      <c r="Y644" s="2500"/>
      <c r="Z644" s="2500"/>
      <c r="AA644" s="2500"/>
      <c r="AB644" s="2500"/>
      <c r="AC644" s="2500"/>
      <c r="AD644" s="2500"/>
      <c r="AE644" s="536"/>
      <c r="AF644" s="2445" t="s">
        <v>1352</v>
      </c>
      <c r="AG644" s="2445"/>
      <c r="AH644" s="2445"/>
      <c r="AI644" s="2445"/>
      <c r="AJ644" s="2445"/>
      <c r="AK644" s="2445"/>
      <c r="AL644" s="2445"/>
      <c r="AN644" s="597"/>
    </row>
    <row r="645" spans="1:42" s="550" customFormat="1" ht="12.75" customHeight="1">
      <c r="B645" s="536"/>
      <c r="C645" s="536"/>
      <c r="D645" s="663"/>
      <c r="E645" s="2500"/>
      <c r="F645" s="2500"/>
      <c r="G645" s="2500"/>
      <c r="H645" s="2500"/>
      <c r="I645" s="2500"/>
      <c r="J645" s="2500"/>
      <c r="K645" s="2500"/>
      <c r="L645" s="2500"/>
      <c r="M645" s="2500"/>
      <c r="N645" s="2500"/>
      <c r="O645" s="2500"/>
      <c r="P645" s="2500"/>
      <c r="Q645" s="2500"/>
      <c r="R645" s="2500"/>
      <c r="S645" s="2500"/>
      <c r="T645" s="2500"/>
      <c r="U645" s="2500"/>
      <c r="V645" s="2500"/>
      <c r="W645" s="2500"/>
      <c r="X645" s="2500"/>
      <c r="Y645" s="2500"/>
      <c r="Z645" s="2500"/>
      <c r="AA645" s="2500"/>
      <c r="AB645" s="2500"/>
      <c r="AC645" s="2500"/>
      <c r="AD645" s="2500"/>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5" t="s">
        <v>1408</v>
      </c>
      <c r="AG647" s="2445"/>
      <c r="AH647" s="2445"/>
      <c r="AI647" s="2445"/>
      <c r="AJ647" s="2445"/>
      <c r="AK647" s="2445"/>
      <c r="AL647" s="2445"/>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9" t="s">
        <v>591</v>
      </c>
      <c r="I650" s="2529"/>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80">
        <f>VLOOKUP(H650,AT605:AU607,2,FALSE)</f>
        <v>0</v>
      </c>
      <c r="AK652" s="2482"/>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500" t="s">
        <v>1418</v>
      </c>
      <c r="F657" s="2500"/>
      <c r="G657" s="2500"/>
      <c r="H657" s="2500"/>
      <c r="I657" s="2500"/>
      <c r="J657" s="2500"/>
      <c r="K657" s="2500"/>
      <c r="L657" s="2500"/>
      <c r="M657" s="2500"/>
      <c r="N657" s="2500"/>
      <c r="O657" s="2500"/>
      <c r="P657" s="2500"/>
      <c r="Q657" s="2500"/>
      <c r="R657" s="2500"/>
      <c r="S657" s="2500"/>
      <c r="T657" s="2500"/>
      <c r="U657" s="2500"/>
      <c r="V657" s="2500"/>
      <c r="W657" s="2500"/>
      <c r="X657" s="2500"/>
      <c r="Y657" s="2500"/>
      <c r="Z657" s="2500"/>
      <c r="AA657" s="2500"/>
      <c r="AB657" s="2500"/>
      <c r="AC657" s="2500"/>
      <c r="AD657" s="536"/>
      <c r="AE657" s="536"/>
      <c r="AF657" s="2445" t="s">
        <v>1378</v>
      </c>
      <c r="AG657" s="2445"/>
      <c r="AH657" s="2445"/>
      <c r="AI657" s="2445"/>
      <c r="AJ657" s="2445"/>
      <c r="AK657" s="2445"/>
      <c r="AL657" s="2445"/>
      <c r="AN657" s="597"/>
    </row>
    <row r="658" spans="1:42" s="550" customFormat="1" ht="12.75" customHeight="1">
      <c r="B658" s="536"/>
      <c r="C658" s="539"/>
      <c r="D658" s="536"/>
      <c r="E658" s="2500"/>
      <c r="F658" s="2500"/>
      <c r="G658" s="2500"/>
      <c r="H658" s="2500"/>
      <c r="I658" s="2500"/>
      <c r="J658" s="2500"/>
      <c r="K658" s="2500"/>
      <c r="L658" s="2500"/>
      <c r="M658" s="2500"/>
      <c r="N658" s="2500"/>
      <c r="O658" s="2500"/>
      <c r="P658" s="2500"/>
      <c r="Q658" s="2500"/>
      <c r="R658" s="2500"/>
      <c r="S658" s="2500"/>
      <c r="T658" s="2500"/>
      <c r="U658" s="2500"/>
      <c r="V658" s="2500"/>
      <c r="W658" s="2500"/>
      <c r="X658" s="2500"/>
      <c r="Y658" s="2500"/>
      <c r="Z658" s="2500"/>
      <c r="AA658" s="2500"/>
      <c r="AB658" s="2500"/>
      <c r="AC658" s="2500"/>
      <c r="AD658" s="536"/>
      <c r="AE658" s="536"/>
      <c r="AF658" s="536"/>
      <c r="AG658" s="536"/>
      <c r="AH658" s="536"/>
      <c r="AI658" s="536"/>
      <c r="AJ658" s="536"/>
      <c r="AK658" s="536"/>
      <c r="AL658" s="536"/>
      <c r="AN658" s="597"/>
    </row>
    <row r="659" spans="1:42" s="550" customFormat="1" ht="12.75" customHeight="1">
      <c r="B659" s="536"/>
      <c r="C659" s="539"/>
      <c r="D659" s="663"/>
      <c r="E659" s="2500"/>
      <c r="F659" s="2500"/>
      <c r="G659" s="2500"/>
      <c r="H659" s="2500"/>
      <c r="I659" s="2500"/>
      <c r="J659" s="2500"/>
      <c r="K659" s="2500"/>
      <c r="L659" s="2500"/>
      <c r="M659" s="2500"/>
      <c r="N659" s="2500"/>
      <c r="O659" s="2500"/>
      <c r="P659" s="2500"/>
      <c r="Q659" s="2500"/>
      <c r="R659" s="2500"/>
      <c r="S659" s="2500"/>
      <c r="T659" s="2500"/>
      <c r="U659" s="2500"/>
      <c r="V659" s="2500"/>
      <c r="W659" s="2500"/>
      <c r="X659" s="2500"/>
      <c r="Y659" s="2500"/>
      <c r="Z659" s="2500"/>
      <c r="AA659" s="2500"/>
      <c r="AB659" s="2500"/>
      <c r="AC659" s="2500"/>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500" t="s">
        <v>1419</v>
      </c>
      <c r="F661" s="2500"/>
      <c r="G661" s="2500"/>
      <c r="H661" s="2500"/>
      <c r="I661" s="2500"/>
      <c r="J661" s="2500"/>
      <c r="K661" s="2500"/>
      <c r="L661" s="2500"/>
      <c r="M661" s="2500"/>
      <c r="N661" s="2500"/>
      <c r="O661" s="2500"/>
      <c r="P661" s="2500"/>
      <c r="Q661" s="2500"/>
      <c r="R661" s="2500"/>
      <c r="S661" s="2500"/>
      <c r="T661" s="2500"/>
      <c r="U661" s="2500"/>
      <c r="V661" s="2500"/>
      <c r="W661" s="2500"/>
      <c r="X661" s="2500"/>
      <c r="Y661" s="2500"/>
      <c r="Z661" s="2500"/>
      <c r="AA661" s="2500"/>
      <c r="AB661" s="2500"/>
      <c r="AC661" s="2500"/>
      <c r="AD661" s="536"/>
      <c r="AE661" s="536"/>
      <c r="AF661" s="2445" t="s">
        <v>1399</v>
      </c>
      <c r="AG661" s="2445"/>
      <c r="AH661" s="2445"/>
      <c r="AI661" s="2445"/>
      <c r="AJ661" s="2445"/>
      <c r="AK661" s="2445"/>
      <c r="AL661" s="2445"/>
      <c r="AN661" s="597"/>
    </row>
    <row r="662" spans="1:42" s="550" customFormat="1" ht="12.75" customHeight="1">
      <c r="B662" s="536"/>
      <c r="C662" s="539"/>
      <c r="D662" s="536"/>
      <c r="E662" s="2500"/>
      <c r="F662" s="2500"/>
      <c r="G662" s="2500"/>
      <c r="H662" s="2500"/>
      <c r="I662" s="2500"/>
      <c r="J662" s="2500"/>
      <c r="K662" s="2500"/>
      <c r="L662" s="2500"/>
      <c r="M662" s="2500"/>
      <c r="N662" s="2500"/>
      <c r="O662" s="2500"/>
      <c r="P662" s="2500"/>
      <c r="Q662" s="2500"/>
      <c r="R662" s="2500"/>
      <c r="S662" s="2500"/>
      <c r="T662" s="2500"/>
      <c r="U662" s="2500"/>
      <c r="V662" s="2500"/>
      <c r="W662" s="2500"/>
      <c r="X662" s="2500"/>
      <c r="Y662" s="2500"/>
      <c r="Z662" s="2500"/>
      <c r="AA662" s="2500"/>
      <c r="AB662" s="2500"/>
      <c r="AC662" s="2500"/>
      <c r="AD662" s="536"/>
      <c r="AE662" s="536"/>
      <c r="AF662" s="536"/>
      <c r="AG662" s="536"/>
      <c r="AH662" s="536"/>
      <c r="AI662" s="536"/>
      <c r="AJ662" s="536"/>
      <c r="AK662" s="536"/>
      <c r="AL662" s="536"/>
      <c r="AN662" s="597"/>
    </row>
    <row r="663" spans="1:42" s="550" customFormat="1" ht="15" customHeight="1">
      <c r="B663" s="536"/>
      <c r="C663" s="539"/>
      <c r="D663" s="663"/>
      <c r="E663" s="2500"/>
      <c r="F663" s="2500"/>
      <c r="G663" s="2500"/>
      <c r="H663" s="2500"/>
      <c r="I663" s="2500"/>
      <c r="J663" s="2500"/>
      <c r="K663" s="2500"/>
      <c r="L663" s="2500"/>
      <c r="M663" s="2500"/>
      <c r="N663" s="2500"/>
      <c r="O663" s="2500"/>
      <c r="P663" s="2500"/>
      <c r="Q663" s="2500"/>
      <c r="R663" s="2500"/>
      <c r="S663" s="2500"/>
      <c r="T663" s="2500"/>
      <c r="U663" s="2500"/>
      <c r="V663" s="2500"/>
      <c r="W663" s="2500"/>
      <c r="X663" s="2500"/>
      <c r="Y663" s="2500"/>
      <c r="Z663" s="2500"/>
      <c r="AA663" s="2500"/>
      <c r="AB663" s="2500"/>
      <c r="AC663" s="2500"/>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500" t="s">
        <v>1420</v>
      </c>
      <c r="F665" s="2500"/>
      <c r="G665" s="2500"/>
      <c r="H665" s="2500"/>
      <c r="I665" s="2500"/>
      <c r="J665" s="2500"/>
      <c r="K665" s="2500"/>
      <c r="L665" s="2500"/>
      <c r="M665" s="2500"/>
      <c r="N665" s="2500"/>
      <c r="O665" s="2500"/>
      <c r="P665" s="2500"/>
      <c r="Q665" s="2500"/>
      <c r="R665" s="2500"/>
      <c r="S665" s="2500"/>
      <c r="T665" s="2500"/>
      <c r="U665" s="2500"/>
      <c r="V665" s="2500"/>
      <c r="W665" s="2500"/>
      <c r="X665" s="2500"/>
      <c r="Y665" s="2500"/>
      <c r="Z665" s="2500"/>
      <c r="AA665" s="2500"/>
      <c r="AB665" s="2500"/>
      <c r="AC665" s="2500"/>
      <c r="AD665" s="536"/>
      <c r="AE665" s="536"/>
      <c r="AF665" s="2445" t="s">
        <v>1352</v>
      </c>
      <c r="AG665" s="2445"/>
      <c r="AH665" s="2445"/>
      <c r="AI665" s="2445"/>
      <c r="AJ665" s="2445"/>
      <c r="AK665" s="2445"/>
      <c r="AL665" s="2445"/>
      <c r="AN665" s="597"/>
    </row>
    <row r="666" spans="1:42" s="550" customFormat="1" ht="12.75" customHeight="1">
      <c r="B666" s="536"/>
      <c r="C666" s="931"/>
      <c r="D666" s="536"/>
      <c r="E666" s="2500"/>
      <c r="F666" s="2500"/>
      <c r="G666" s="2500"/>
      <c r="H666" s="2500"/>
      <c r="I666" s="2500"/>
      <c r="J666" s="2500"/>
      <c r="K666" s="2500"/>
      <c r="L666" s="2500"/>
      <c r="M666" s="2500"/>
      <c r="N666" s="2500"/>
      <c r="O666" s="2500"/>
      <c r="P666" s="2500"/>
      <c r="Q666" s="2500"/>
      <c r="R666" s="2500"/>
      <c r="S666" s="2500"/>
      <c r="T666" s="2500"/>
      <c r="U666" s="2500"/>
      <c r="V666" s="2500"/>
      <c r="W666" s="2500"/>
      <c r="X666" s="2500"/>
      <c r="Y666" s="2500"/>
      <c r="Z666" s="2500"/>
      <c r="AA666" s="2500"/>
      <c r="AB666" s="2500"/>
      <c r="AC666" s="2500"/>
      <c r="AD666" s="536"/>
      <c r="AE666" s="2445"/>
      <c r="AF666" s="2445"/>
      <c r="AG666" s="2445"/>
      <c r="AH666" s="2445"/>
      <c r="AI666" s="2445"/>
      <c r="AJ666" s="2445"/>
      <c r="AK666" s="2445"/>
      <c r="AL666" s="594"/>
      <c r="AN666" s="597"/>
      <c r="AO666" s="550" t="s">
        <v>591</v>
      </c>
      <c r="AP666" s="673">
        <v>0</v>
      </c>
    </row>
    <row r="667" spans="1:42" s="550" customFormat="1" ht="12.75" customHeight="1">
      <c r="A667" s="679"/>
      <c r="B667" s="536"/>
      <c r="C667" s="536"/>
      <c r="D667" s="663"/>
      <c r="E667" s="2500"/>
      <c r="F667" s="2500"/>
      <c r="G667" s="2500"/>
      <c r="H667" s="2500"/>
      <c r="I667" s="2500"/>
      <c r="J667" s="2500"/>
      <c r="K667" s="2500"/>
      <c r="L667" s="2500"/>
      <c r="M667" s="2500"/>
      <c r="N667" s="2500"/>
      <c r="O667" s="2500"/>
      <c r="P667" s="2500"/>
      <c r="Q667" s="2500"/>
      <c r="R667" s="2500"/>
      <c r="S667" s="2500"/>
      <c r="T667" s="2500"/>
      <c r="U667" s="2500"/>
      <c r="V667" s="2500"/>
      <c r="W667" s="2500"/>
      <c r="X667" s="2500"/>
      <c r="Y667" s="2500"/>
      <c r="Z667" s="2500"/>
      <c r="AA667" s="2500"/>
      <c r="AB667" s="2500"/>
      <c r="AC667" s="2500"/>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500" t="s">
        <v>1421</v>
      </c>
      <c r="F669" s="2500"/>
      <c r="G669" s="2500"/>
      <c r="H669" s="2500"/>
      <c r="I669" s="2500"/>
      <c r="J669" s="2500"/>
      <c r="K669" s="2500"/>
      <c r="L669" s="2500"/>
      <c r="M669" s="2500"/>
      <c r="N669" s="2500"/>
      <c r="O669" s="2500"/>
      <c r="P669" s="2500"/>
      <c r="Q669" s="2500"/>
      <c r="R669" s="2500"/>
      <c r="S669" s="2500"/>
      <c r="T669" s="2500"/>
      <c r="U669" s="2500"/>
      <c r="V669" s="2500"/>
      <c r="W669" s="2500"/>
      <c r="X669" s="2500"/>
      <c r="Y669" s="2500"/>
      <c r="Z669" s="2500"/>
      <c r="AA669" s="2500"/>
      <c r="AB669" s="2500"/>
      <c r="AC669" s="2500"/>
      <c r="AD669" s="536"/>
      <c r="AE669" s="536"/>
      <c r="AF669" s="2445" t="s">
        <v>1399</v>
      </c>
      <c r="AG669" s="2445"/>
      <c r="AH669" s="2445"/>
      <c r="AI669" s="2445"/>
      <c r="AJ669" s="2445"/>
      <c r="AK669" s="2445"/>
      <c r="AL669" s="2445"/>
      <c r="AN669" s="597"/>
    </row>
    <row r="670" spans="1:42" s="550" customFormat="1" ht="12.75" customHeight="1">
      <c r="A670" s="670"/>
      <c r="B670" s="536"/>
      <c r="C670" s="947"/>
      <c r="D670" s="663"/>
      <c r="E670" s="2500"/>
      <c r="F670" s="2500"/>
      <c r="G670" s="2500"/>
      <c r="H670" s="2500"/>
      <c r="I670" s="2500"/>
      <c r="J670" s="2500"/>
      <c r="K670" s="2500"/>
      <c r="L670" s="2500"/>
      <c r="M670" s="2500"/>
      <c r="N670" s="2500"/>
      <c r="O670" s="2500"/>
      <c r="P670" s="2500"/>
      <c r="Q670" s="2500"/>
      <c r="R670" s="2500"/>
      <c r="S670" s="2500"/>
      <c r="T670" s="2500"/>
      <c r="U670" s="2500"/>
      <c r="V670" s="2500"/>
      <c r="W670" s="2500"/>
      <c r="X670" s="2500"/>
      <c r="Y670" s="2500"/>
      <c r="Z670" s="2500"/>
      <c r="AA670" s="2500"/>
      <c r="AB670" s="2500"/>
      <c r="AC670" s="2500"/>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0"/>
      <c r="F671" s="2500"/>
      <c r="G671" s="2500"/>
      <c r="H671" s="2500"/>
      <c r="I671" s="2500"/>
      <c r="J671" s="2500"/>
      <c r="K671" s="2500"/>
      <c r="L671" s="2500"/>
      <c r="M671" s="2500"/>
      <c r="N671" s="2500"/>
      <c r="O671" s="2500"/>
      <c r="P671" s="2500"/>
      <c r="Q671" s="2500"/>
      <c r="R671" s="2500"/>
      <c r="S671" s="2500"/>
      <c r="T671" s="2500"/>
      <c r="U671" s="2500"/>
      <c r="V671" s="2500"/>
      <c r="W671" s="2500"/>
      <c r="X671" s="2500"/>
      <c r="Y671" s="2500"/>
      <c r="Z671" s="2500"/>
      <c r="AA671" s="2500"/>
      <c r="AB671" s="2500"/>
      <c r="AC671" s="2500"/>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500" t="s">
        <v>1422</v>
      </c>
      <c r="F673" s="2500"/>
      <c r="G673" s="2500"/>
      <c r="H673" s="2500"/>
      <c r="I673" s="2500"/>
      <c r="J673" s="2500"/>
      <c r="K673" s="2500"/>
      <c r="L673" s="2500"/>
      <c r="M673" s="2500"/>
      <c r="N673" s="2500"/>
      <c r="O673" s="2500"/>
      <c r="P673" s="2500"/>
      <c r="Q673" s="2500"/>
      <c r="R673" s="2500"/>
      <c r="S673" s="2500"/>
      <c r="T673" s="2500"/>
      <c r="U673" s="2500"/>
      <c r="V673" s="2500"/>
      <c r="W673" s="2500"/>
      <c r="X673" s="2500"/>
      <c r="Y673" s="2500"/>
      <c r="Z673" s="2500"/>
      <c r="AA673" s="2500"/>
      <c r="AB673" s="2500"/>
      <c r="AC673" s="2500"/>
      <c r="AD673" s="536"/>
      <c r="AE673" s="536"/>
      <c r="AF673" s="2445" t="s">
        <v>1352</v>
      </c>
      <c r="AG673" s="2445"/>
      <c r="AH673" s="2445"/>
      <c r="AI673" s="2445"/>
      <c r="AJ673" s="2445"/>
      <c r="AK673" s="2445"/>
      <c r="AL673" s="2445"/>
      <c r="AM673" s="596"/>
      <c r="AN673" s="597"/>
    </row>
    <row r="674" spans="1:42" s="550" customFormat="1" ht="12.75" customHeight="1">
      <c r="B674" s="536"/>
      <c r="C674" s="931"/>
      <c r="D674" s="663"/>
      <c r="E674" s="2500"/>
      <c r="F674" s="2500"/>
      <c r="G674" s="2500"/>
      <c r="H674" s="2500"/>
      <c r="I674" s="2500"/>
      <c r="J674" s="2500"/>
      <c r="K674" s="2500"/>
      <c r="L674" s="2500"/>
      <c r="M674" s="2500"/>
      <c r="N674" s="2500"/>
      <c r="O674" s="2500"/>
      <c r="P674" s="2500"/>
      <c r="Q674" s="2500"/>
      <c r="R674" s="2500"/>
      <c r="S674" s="2500"/>
      <c r="T674" s="2500"/>
      <c r="U674" s="2500"/>
      <c r="V674" s="2500"/>
      <c r="W674" s="2500"/>
      <c r="X674" s="2500"/>
      <c r="Y674" s="2500"/>
      <c r="Z674" s="2500"/>
      <c r="AA674" s="2500"/>
      <c r="AB674" s="2500"/>
      <c r="AC674" s="2500"/>
      <c r="AD674" s="536"/>
      <c r="AE674" s="536"/>
      <c r="AF674" s="536"/>
      <c r="AG674" s="536"/>
      <c r="AH674" s="536"/>
      <c r="AI674" s="536"/>
      <c r="AJ674" s="536"/>
      <c r="AK674" s="536"/>
      <c r="AL674" s="536"/>
      <c r="AM674" s="596"/>
      <c r="AN674" s="597"/>
    </row>
    <row r="675" spans="1:42" s="550" customFormat="1" ht="12.75" customHeight="1">
      <c r="B675" s="536"/>
      <c r="C675" s="931"/>
      <c r="D675" s="663"/>
      <c r="E675" s="2500"/>
      <c r="F675" s="2500"/>
      <c r="G675" s="2500"/>
      <c r="H675" s="2500"/>
      <c r="I675" s="2500"/>
      <c r="J675" s="2500"/>
      <c r="K675" s="2500"/>
      <c r="L675" s="2500"/>
      <c r="M675" s="2500"/>
      <c r="N675" s="2500"/>
      <c r="O675" s="2500"/>
      <c r="P675" s="2500"/>
      <c r="Q675" s="2500"/>
      <c r="R675" s="2500"/>
      <c r="S675" s="2500"/>
      <c r="T675" s="2500"/>
      <c r="U675" s="2500"/>
      <c r="V675" s="2500"/>
      <c r="W675" s="2500"/>
      <c r="X675" s="2500"/>
      <c r="Y675" s="2500"/>
      <c r="Z675" s="2500"/>
      <c r="AA675" s="2500"/>
      <c r="AB675" s="2500"/>
      <c r="AC675" s="2500"/>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500" t="s">
        <v>1423</v>
      </c>
      <c r="F677" s="2500"/>
      <c r="G677" s="2500"/>
      <c r="H677" s="2500"/>
      <c r="I677" s="2500"/>
      <c r="J677" s="2500"/>
      <c r="K677" s="2500"/>
      <c r="L677" s="2500"/>
      <c r="M677" s="2500"/>
      <c r="N677" s="2500"/>
      <c r="O677" s="2500"/>
      <c r="P677" s="2500"/>
      <c r="Q677" s="2500"/>
      <c r="R677" s="2500"/>
      <c r="S677" s="2500"/>
      <c r="T677" s="2500"/>
      <c r="U677" s="2500"/>
      <c r="V677" s="2500"/>
      <c r="W677" s="2500"/>
      <c r="X677" s="2500"/>
      <c r="Y677" s="2500"/>
      <c r="Z677" s="2500"/>
      <c r="AA677" s="2500"/>
      <c r="AB677" s="2500"/>
      <c r="AC677" s="2500"/>
      <c r="AD677" s="536"/>
      <c r="AE677" s="536"/>
      <c r="AF677" s="2445" t="s">
        <v>1408</v>
      </c>
      <c r="AG677" s="2445"/>
      <c r="AH677" s="2445"/>
      <c r="AI677" s="2445"/>
      <c r="AJ677" s="2445"/>
      <c r="AK677" s="2445"/>
      <c r="AL677" s="2445"/>
      <c r="AM677" s="596"/>
      <c r="AN677" s="597"/>
    </row>
    <row r="678" spans="1:42" s="550" customFormat="1" ht="12.75" customHeight="1">
      <c r="A678" s="679"/>
      <c r="B678" s="536"/>
      <c r="C678" s="931"/>
      <c r="D678" s="663"/>
      <c r="E678" s="2500"/>
      <c r="F678" s="2500"/>
      <c r="G678" s="2500"/>
      <c r="H678" s="2500"/>
      <c r="I678" s="2500"/>
      <c r="J678" s="2500"/>
      <c r="K678" s="2500"/>
      <c r="L678" s="2500"/>
      <c r="M678" s="2500"/>
      <c r="N678" s="2500"/>
      <c r="O678" s="2500"/>
      <c r="P678" s="2500"/>
      <c r="Q678" s="2500"/>
      <c r="R678" s="2500"/>
      <c r="S678" s="2500"/>
      <c r="T678" s="2500"/>
      <c r="U678" s="2500"/>
      <c r="V678" s="2500"/>
      <c r="W678" s="2500"/>
      <c r="X678" s="2500"/>
      <c r="Y678" s="2500"/>
      <c r="Z678" s="2500"/>
      <c r="AA678" s="2500"/>
      <c r="AB678" s="2500"/>
      <c r="AC678" s="2500"/>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0"/>
      <c r="F679" s="2500"/>
      <c r="G679" s="2500"/>
      <c r="H679" s="2500"/>
      <c r="I679" s="2500"/>
      <c r="J679" s="2500"/>
      <c r="K679" s="2500"/>
      <c r="L679" s="2500"/>
      <c r="M679" s="2500"/>
      <c r="N679" s="2500"/>
      <c r="O679" s="2500"/>
      <c r="P679" s="2500"/>
      <c r="Q679" s="2500"/>
      <c r="R679" s="2500"/>
      <c r="S679" s="2500"/>
      <c r="T679" s="2500"/>
      <c r="U679" s="2500"/>
      <c r="V679" s="2500"/>
      <c r="W679" s="2500"/>
      <c r="X679" s="2500"/>
      <c r="Y679" s="2500"/>
      <c r="Z679" s="2500"/>
      <c r="AA679" s="2500"/>
      <c r="AB679" s="2500"/>
      <c r="AC679" s="2500"/>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500" t="s">
        <v>1424</v>
      </c>
      <c r="F681" s="2500"/>
      <c r="G681" s="2500"/>
      <c r="H681" s="2500"/>
      <c r="I681" s="2500"/>
      <c r="J681" s="2500"/>
      <c r="K681" s="2500"/>
      <c r="L681" s="2500"/>
      <c r="M681" s="2500"/>
      <c r="N681" s="2500"/>
      <c r="O681" s="2500"/>
      <c r="P681" s="2500"/>
      <c r="Q681" s="2500"/>
      <c r="R681" s="2500"/>
      <c r="S681" s="2500"/>
      <c r="T681" s="2500"/>
      <c r="U681" s="2500"/>
      <c r="V681" s="2500"/>
      <c r="W681" s="2500"/>
      <c r="X681" s="2500"/>
      <c r="Y681" s="2500"/>
      <c r="Z681" s="2500"/>
      <c r="AA681" s="2500"/>
      <c r="AB681" s="2500"/>
      <c r="AC681" s="2500"/>
      <c r="AD681" s="536"/>
      <c r="AE681" s="536"/>
      <c r="AF681" s="2445" t="s">
        <v>1425</v>
      </c>
      <c r="AG681" s="2445"/>
      <c r="AH681" s="2445"/>
      <c r="AI681" s="2445"/>
      <c r="AJ681" s="2445"/>
      <c r="AK681" s="2445"/>
      <c r="AL681" s="2445"/>
      <c r="AM681" s="596"/>
      <c r="AN681" s="597"/>
      <c r="AO681" s="611" t="s">
        <v>687</v>
      </c>
      <c r="AP681" s="550">
        <v>3</v>
      </c>
    </row>
    <row r="682" spans="1:42" s="550" customFormat="1" ht="12.75" customHeight="1">
      <c r="A682" s="679"/>
      <c r="B682" s="536"/>
      <c r="C682" s="931"/>
      <c r="D682" s="663"/>
      <c r="E682" s="2500"/>
      <c r="F682" s="2500"/>
      <c r="G682" s="2500"/>
      <c r="H682" s="2500"/>
      <c r="I682" s="2500"/>
      <c r="J682" s="2500"/>
      <c r="K682" s="2500"/>
      <c r="L682" s="2500"/>
      <c r="M682" s="2500"/>
      <c r="N682" s="2500"/>
      <c r="O682" s="2500"/>
      <c r="P682" s="2500"/>
      <c r="Q682" s="2500"/>
      <c r="R682" s="2500"/>
      <c r="S682" s="2500"/>
      <c r="T682" s="2500"/>
      <c r="U682" s="2500"/>
      <c r="V682" s="2500"/>
      <c r="W682" s="2500"/>
      <c r="X682" s="2500"/>
      <c r="Y682" s="2500"/>
      <c r="Z682" s="2500"/>
      <c r="AA682" s="2500"/>
      <c r="AB682" s="2500"/>
      <c r="AC682" s="2500"/>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500"/>
      <c r="F683" s="2500"/>
      <c r="G683" s="2500"/>
      <c r="H683" s="2500"/>
      <c r="I683" s="2500"/>
      <c r="J683" s="2500"/>
      <c r="K683" s="2500"/>
      <c r="L683" s="2500"/>
      <c r="M683" s="2500"/>
      <c r="N683" s="2500"/>
      <c r="O683" s="2500"/>
      <c r="P683" s="2500"/>
      <c r="Q683" s="2500"/>
      <c r="R683" s="2500"/>
      <c r="S683" s="2500"/>
      <c r="T683" s="2500"/>
      <c r="U683" s="2500"/>
      <c r="V683" s="2500"/>
      <c r="W683" s="2500"/>
      <c r="X683" s="2500"/>
      <c r="Y683" s="2500"/>
      <c r="Z683" s="2500"/>
      <c r="AA683" s="2500"/>
      <c r="AB683" s="2500"/>
      <c r="AC683" s="2500"/>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9" t="s">
        <v>1397</v>
      </c>
      <c r="I685" s="2529"/>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80">
        <f>VLOOKUP($H$685,$AO$633:$AP$640,2,FALSE)</f>
        <v>4</v>
      </c>
      <c r="AK687" s="2482"/>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124</v>
      </c>
    </row>
    <row r="691" spans="1:51" s="550" customFormat="1" ht="12.75" customHeight="1">
      <c r="A691" s="679"/>
      <c r="B691" s="536"/>
      <c r="C691" s="948"/>
      <c r="D691" s="663" t="s">
        <v>687</v>
      </c>
      <c r="E691" s="2536" t="s">
        <v>2190</v>
      </c>
      <c r="F691" s="2536"/>
      <c r="G691" s="2536"/>
      <c r="H691" s="2536"/>
      <c r="I691" s="2536"/>
      <c r="J691" s="2536"/>
      <c r="K691" s="2536"/>
      <c r="L691" s="2536"/>
      <c r="M691" s="2536"/>
      <c r="N691" s="2536"/>
      <c r="O691" s="2536"/>
      <c r="P691" s="2536"/>
      <c r="Q691" s="2536"/>
      <c r="R691" s="2536"/>
      <c r="S691" s="2536"/>
      <c r="T691" s="2536"/>
      <c r="U691" s="2536"/>
      <c r="V691" s="2536"/>
      <c r="W691" s="2536"/>
      <c r="X691" s="2536"/>
      <c r="Y691" s="2536"/>
      <c r="Z691" s="2536"/>
      <c r="AA691" s="2536"/>
      <c r="AB691" s="2536"/>
      <c r="AC691" s="536"/>
      <c r="AD691" s="536"/>
      <c r="AE691" s="536"/>
      <c r="AF691" s="2445" t="s">
        <v>1352</v>
      </c>
      <c r="AG691" s="2445"/>
      <c r="AH691" s="2445"/>
      <c r="AI691" s="2445"/>
      <c r="AJ691" s="2445"/>
      <c r="AK691" s="2445"/>
      <c r="AL691" s="2445"/>
      <c r="AN691" s="597"/>
      <c r="AW691" s="22" t="s">
        <v>2185</v>
      </c>
      <c r="AX691" s="550">
        <f>Application!DE753</f>
        <v>32</v>
      </c>
    </row>
    <row r="692" spans="1:51" s="550" customFormat="1" ht="12.75" customHeight="1">
      <c r="A692" s="679"/>
      <c r="B692" s="536"/>
      <c r="C692" s="948"/>
      <c r="D692" s="663"/>
      <c r="E692" s="2536"/>
      <c r="F692" s="2536"/>
      <c r="G692" s="2536"/>
      <c r="H692" s="2536"/>
      <c r="I692" s="2536"/>
      <c r="J692" s="2536"/>
      <c r="K692" s="2536"/>
      <c r="L692" s="2536"/>
      <c r="M692" s="2536"/>
      <c r="N692" s="2536"/>
      <c r="O692" s="2536"/>
      <c r="P692" s="2536"/>
      <c r="Q692" s="2536"/>
      <c r="R692" s="2536"/>
      <c r="S692" s="2536"/>
      <c r="T692" s="2536"/>
      <c r="U692" s="2536"/>
      <c r="V692" s="2536"/>
      <c r="W692" s="2536"/>
      <c r="X692" s="2536"/>
      <c r="Y692" s="2536"/>
      <c r="Z692" s="2536"/>
      <c r="AA692" s="2536"/>
      <c r="AB692" s="2536"/>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500" t="s">
        <v>2134</v>
      </c>
      <c r="F694" s="2500"/>
      <c r="G694" s="2500"/>
      <c r="H694" s="2500"/>
      <c r="I694" s="2500"/>
      <c r="J694" s="2500"/>
      <c r="K694" s="2500"/>
      <c r="L694" s="2500"/>
      <c r="M694" s="2500"/>
      <c r="N694" s="2500"/>
      <c r="O694" s="2500"/>
      <c r="P694" s="2500"/>
      <c r="Q694" s="2500"/>
      <c r="R694" s="2500"/>
      <c r="S694" s="2500"/>
      <c r="T694" s="2500"/>
      <c r="U694" s="2500"/>
      <c r="V694" s="2500"/>
      <c r="W694" s="2500"/>
      <c r="X694" s="2500"/>
      <c r="Y694" s="2500"/>
      <c r="Z694" s="2500"/>
      <c r="AA694" s="2500"/>
      <c r="AB694" s="2500"/>
      <c r="AC694" s="536"/>
      <c r="AD694" s="536"/>
      <c r="AE694" s="536"/>
      <c r="AF694" s="2445" t="s">
        <v>1352</v>
      </c>
      <c r="AG694" s="2445"/>
      <c r="AH694" s="2445"/>
      <c r="AI694" s="2445"/>
      <c r="AJ694" s="2445"/>
      <c r="AK694" s="2445"/>
      <c r="AL694" s="2445"/>
      <c r="AN694" s="597"/>
      <c r="AW694" s="22" t="s">
        <v>2188</v>
      </c>
      <c r="AX694" s="550">
        <f>AX691+AX692+AX693</f>
        <v>32</v>
      </c>
    </row>
    <row r="695" spans="1:51" s="550" customFormat="1" ht="12.75" customHeight="1">
      <c r="B695" s="536"/>
      <c r="C695" s="940"/>
      <c r="D695" s="663"/>
      <c r="E695" s="2500"/>
      <c r="F695" s="2500"/>
      <c r="G695" s="2500"/>
      <c r="H695" s="2500"/>
      <c r="I695" s="2500"/>
      <c r="J695" s="2500"/>
      <c r="K695" s="2500"/>
      <c r="L695" s="2500"/>
      <c r="M695" s="2500"/>
      <c r="N695" s="2500"/>
      <c r="O695" s="2500"/>
      <c r="P695" s="2500"/>
      <c r="Q695" s="2500"/>
      <c r="R695" s="2500"/>
      <c r="S695" s="2500"/>
      <c r="T695" s="2500"/>
      <c r="U695" s="2500"/>
      <c r="V695" s="2500"/>
      <c r="W695" s="2500"/>
      <c r="X695" s="2500"/>
      <c r="Y695" s="2500"/>
      <c r="Z695" s="2500"/>
      <c r="AA695" s="2500"/>
      <c r="AB695" s="2500"/>
      <c r="AC695" s="536"/>
      <c r="AD695" s="536"/>
      <c r="AE695" s="616"/>
      <c r="AF695" s="536"/>
      <c r="AG695" s="536"/>
      <c r="AH695" s="536"/>
      <c r="AI695" s="536"/>
      <c r="AJ695" s="536"/>
      <c r="AK695" s="536"/>
      <c r="AL695" s="536"/>
      <c r="AN695" s="597"/>
      <c r="AO695" s="2535" t="b">
        <f>IF(Application!D211="Special Needs",IF(AY695&gt;=0.25,TRUE,FALSE),IF(AX695&gt;=0.25,TRUE,FALSE))</f>
        <v>1</v>
      </c>
      <c r="AP695" s="2535"/>
      <c r="AW695" s="22" t="s">
        <v>2189</v>
      </c>
      <c r="AX695" s="550">
        <f>IFERROR(AX694/AX690,0)</f>
        <v>0.25806451612903225</v>
      </c>
      <c r="AY695" s="550">
        <f>IFERROR(AX694/(AX690-AX689),0)</f>
        <v>0.25806451612903225</v>
      </c>
    </row>
    <row r="696" spans="1:51" s="550" customFormat="1" ht="12.75" customHeight="1">
      <c r="B696" s="536"/>
      <c r="C696" s="940"/>
      <c r="E696" s="2500"/>
      <c r="F696" s="2500"/>
      <c r="G696" s="2500"/>
      <c r="H696" s="2500"/>
      <c r="I696" s="2500"/>
      <c r="J696" s="2500"/>
      <c r="K696" s="2500"/>
      <c r="L696" s="2500"/>
      <c r="M696" s="2500"/>
      <c r="N696" s="2500"/>
      <c r="O696" s="2500"/>
      <c r="P696" s="2500"/>
      <c r="Q696" s="2500"/>
      <c r="R696" s="2500"/>
      <c r="S696" s="2500"/>
      <c r="T696" s="2500"/>
      <c r="U696" s="2500"/>
      <c r="V696" s="2500"/>
      <c r="W696" s="2500"/>
      <c r="X696" s="2500"/>
      <c r="Y696" s="2500"/>
      <c r="Z696" s="2500"/>
      <c r="AA696" s="2500"/>
      <c r="AB696" s="2500"/>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0"/>
      <c r="F697" s="2500"/>
      <c r="G697" s="2500"/>
      <c r="H697" s="2500"/>
      <c r="I697" s="2500"/>
      <c r="J697" s="2500"/>
      <c r="K697" s="2500"/>
      <c r="L697" s="2500"/>
      <c r="M697" s="2500"/>
      <c r="N697" s="2500"/>
      <c r="O697" s="2500"/>
      <c r="P697" s="2500"/>
      <c r="Q697" s="2500"/>
      <c r="R697" s="2500"/>
      <c r="S697" s="2500"/>
      <c r="T697" s="2500"/>
      <c r="U697" s="2500"/>
      <c r="V697" s="2500"/>
      <c r="W697" s="2500"/>
      <c r="X697" s="2500"/>
      <c r="Y697" s="2500"/>
      <c r="Z697" s="2500"/>
      <c r="AA697" s="2500"/>
      <c r="AB697" s="2500"/>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500" t="s">
        <v>2135</v>
      </c>
      <c r="F699" s="2500"/>
      <c r="G699" s="2500"/>
      <c r="H699" s="2500"/>
      <c r="I699" s="2500"/>
      <c r="J699" s="2500"/>
      <c r="K699" s="2500"/>
      <c r="L699" s="2500"/>
      <c r="M699" s="2500"/>
      <c r="N699" s="2500"/>
      <c r="O699" s="2500"/>
      <c r="P699" s="2500"/>
      <c r="Q699" s="2500"/>
      <c r="R699" s="2500"/>
      <c r="S699" s="2500"/>
      <c r="T699" s="2500"/>
      <c r="U699" s="2500"/>
      <c r="V699" s="2500"/>
      <c r="W699" s="2500"/>
      <c r="X699" s="2500"/>
      <c r="Y699" s="2500"/>
      <c r="Z699" s="2500"/>
      <c r="AA699" s="2500"/>
      <c r="AB699" s="2500"/>
      <c r="AC699" s="536"/>
      <c r="AD699" s="536"/>
      <c r="AE699" s="536"/>
      <c r="AF699" s="2445" t="s">
        <v>1408</v>
      </c>
      <c r="AG699" s="2445"/>
      <c r="AH699" s="2445"/>
      <c r="AI699" s="2445"/>
      <c r="AJ699" s="2445"/>
      <c r="AK699" s="2445"/>
      <c r="AL699" s="2445"/>
      <c r="AN699" s="597"/>
      <c r="AO699" s="611" t="s">
        <v>509</v>
      </c>
      <c r="AP699" s="550">
        <v>1</v>
      </c>
    </row>
    <row r="700" spans="1:51" s="550" customFormat="1" ht="12" customHeight="1">
      <c r="B700" s="536"/>
      <c r="C700" s="931"/>
      <c r="E700" s="2500"/>
      <c r="F700" s="2500"/>
      <c r="G700" s="2500"/>
      <c r="H700" s="2500"/>
      <c r="I700" s="2500"/>
      <c r="J700" s="2500"/>
      <c r="K700" s="2500"/>
      <c r="L700" s="2500"/>
      <c r="M700" s="2500"/>
      <c r="N700" s="2500"/>
      <c r="O700" s="2500"/>
      <c r="P700" s="2500"/>
      <c r="Q700" s="2500"/>
      <c r="R700" s="2500"/>
      <c r="S700" s="2500"/>
      <c r="T700" s="2500"/>
      <c r="U700" s="2500"/>
      <c r="V700" s="2500"/>
      <c r="W700" s="2500"/>
      <c r="X700" s="2500"/>
      <c r="Y700" s="2500"/>
      <c r="Z700" s="2500"/>
      <c r="AA700" s="2500"/>
      <c r="AB700" s="2500"/>
      <c r="AC700" s="536"/>
      <c r="AD700" s="536"/>
      <c r="AE700" s="616"/>
      <c r="AF700" s="536"/>
      <c r="AG700" s="536"/>
      <c r="AH700" s="536"/>
      <c r="AI700" s="536"/>
      <c r="AJ700" s="536"/>
      <c r="AK700" s="536"/>
      <c r="AL700" s="536"/>
      <c r="AN700" s="597"/>
    </row>
    <row r="701" spans="1:51" s="550" customFormat="1" ht="12" customHeight="1">
      <c r="B701" s="536"/>
      <c r="C701" s="931"/>
      <c r="D701" s="536"/>
      <c r="E701" s="2500"/>
      <c r="F701" s="2500"/>
      <c r="G701" s="2500"/>
      <c r="H701" s="2500"/>
      <c r="I701" s="2500"/>
      <c r="J701" s="2500"/>
      <c r="K701" s="2500"/>
      <c r="L701" s="2500"/>
      <c r="M701" s="2500"/>
      <c r="N701" s="2500"/>
      <c r="O701" s="2500"/>
      <c r="P701" s="2500"/>
      <c r="Q701" s="2500"/>
      <c r="R701" s="2500"/>
      <c r="S701" s="2500"/>
      <c r="T701" s="2500"/>
      <c r="U701" s="2500"/>
      <c r="V701" s="2500"/>
      <c r="W701" s="2500"/>
      <c r="X701" s="2500"/>
      <c r="Y701" s="2500"/>
      <c r="Z701" s="2500"/>
      <c r="AA701" s="2500"/>
      <c r="AB701" s="2500"/>
      <c r="AC701" s="536"/>
      <c r="AD701" s="536"/>
      <c r="AE701" s="616"/>
      <c r="AF701" s="536"/>
      <c r="AG701" s="536"/>
      <c r="AH701" s="536"/>
      <c r="AI701" s="536"/>
      <c r="AJ701" s="536"/>
      <c r="AK701" s="536"/>
      <c r="AL701" s="536"/>
      <c r="AN701" s="597"/>
    </row>
    <row r="702" spans="1:51" s="550" customFormat="1" ht="12" customHeight="1">
      <c r="B702" s="536"/>
      <c r="C702" s="931"/>
      <c r="D702" s="536"/>
      <c r="E702" s="2500"/>
      <c r="F702" s="2500"/>
      <c r="G702" s="2500"/>
      <c r="H702" s="2500"/>
      <c r="I702" s="2500"/>
      <c r="J702" s="2500"/>
      <c r="K702" s="2500"/>
      <c r="L702" s="2500"/>
      <c r="M702" s="2500"/>
      <c r="N702" s="2500"/>
      <c r="O702" s="2500"/>
      <c r="P702" s="2500"/>
      <c r="Q702" s="2500"/>
      <c r="R702" s="2500"/>
      <c r="S702" s="2500"/>
      <c r="T702" s="2500"/>
      <c r="U702" s="2500"/>
      <c r="V702" s="2500"/>
      <c r="W702" s="2500"/>
      <c r="X702" s="2500"/>
      <c r="Y702" s="2500"/>
      <c r="Z702" s="2500"/>
      <c r="AA702" s="2500"/>
      <c r="AB702" s="2500"/>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0"/>
      <c r="F703" s="2500"/>
      <c r="G703" s="2500"/>
      <c r="H703" s="2500"/>
      <c r="I703" s="2500"/>
      <c r="J703" s="2500"/>
      <c r="K703" s="2500"/>
      <c r="L703" s="2500"/>
      <c r="M703" s="2500"/>
      <c r="N703" s="2500"/>
      <c r="O703" s="2500"/>
      <c r="P703" s="2500"/>
      <c r="Q703" s="2500"/>
      <c r="R703" s="2500"/>
      <c r="S703" s="2500"/>
      <c r="T703" s="2500"/>
      <c r="U703" s="2500"/>
      <c r="V703" s="2500"/>
      <c r="W703" s="2500"/>
      <c r="X703" s="2500"/>
      <c r="Y703" s="2500"/>
      <c r="Z703" s="2500"/>
      <c r="AA703" s="2500"/>
      <c r="AB703" s="2500"/>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500" t="s">
        <v>1693</v>
      </c>
      <c r="F705" s="2500"/>
      <c r="G705" s="2500"/>
      <c r="H705" s="2500"/>
      <c r="I705" s="2500"/>
      <c r="J705" s="2500"/>
      <c r="K705" s="2500"/>
      <c r="L705" s="2500"/>
      <c r="M705" s="2500"/>
      <c r="N705" s="2500"/>
      <c r="O705" s="2500"/>
      <c r="P705" s="2500"/>
      <c r="Q705" s="2500"/>
      <c r="R705" s="2500"/>
      <c r="S705" s="2500"/>
      <c r="T705" s="2500"/>
      <c r="U705" s="2500"/>
      <c r="V705" s="2500"/>
      <c r="W705" s="2500"/>
      <c r="X705" s="2500"/>
      <c r="Y705" s="2500"/>
      <c r="Z705" s="2500"/>
      <c r="AA705" s="2500"/>
      <c r="AB705" s="2500"/>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500"/>
      <c r="F706" s="2500"/>
      <c r="G706" s="2500"/>
      <c r="H706" s="2500"/>
      <c r="I706" s="2500"/>
      <c r="J706" s="2500"/>
      <c r="K706" s="2500"/>
      <c r="L706" s="2500"/>
      <c r="M706" s="2500"/>
      <c r="N706" s="2500"/>
      <c r="O706" s="2500"/>
      <c r="P706" s="2500"/>
      <c r="Q706" s="2500"/>
      <c r="R706" s="2500"/>
      <c r="S706" s="2500"/>
      <c r="T706" s="2500"/>
      <c r="U706" s="2500"/>
      <c r="V706" s="2500"/>
      <c r="W706" s="2500"/>
      <c r="X706" s="2500"/>
      <c r="Y706" s="2500"/>
      <c r="Z706" s="2500"/>
      <c r="AA706" s="2500"/>
      <c r="AB706" s="2500"/>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500"/>
      <c r="F707" s="2500"/>
      <c r="G707" s="2500"/>
      <c r="H707" s="2500"/>
      <c r="I707" s="2500"/>
      <c r="J707" s="2500"/>
      <c r="K707" s="2500"/>
      <c r="L707" s="2500"/>
      <c r="M707" s="2500"/>
      <c r="N707" s="2500"/>
      <c r="O707" s="2500"/>
      <c r="P707" s="2500"/>
      <c r="Q707" s="2500"/>
      <c r="R707" s="2500"/>
      <c r="S707" s="2500"/>
      <c r="T707" s="2500"/>
      <c r="U707" s="2500"/>
      <c r="V707" s="2500"/>
      <c r="W707" s="2500"/>
      <c r="X707" s="2500"/>
      <c r="Y707" s="2500"/>
      <c r="Z707" s="2500"/>
      <c r="AA707" s="2500"/>
      <c r="AB707" s="2500"/>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9" t="s">
        <v>509</v>
      </c>
      <c r="I709" s="2529"/>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80">
        <f>VLOOKUP($H$709,$AO$703:$AP$706,2,FALSE)</f>
        <v>3</v>
      </c>
      <c r="AK711" s="2482"/>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7" t="s">
        <v>1695</v>
      </c>
      <c r="F715" s="2537"/>
      <c r="G715" s="2537"/>
      <c r="H715" s="2537"/>
      <c r="I715" s="2537"/>
      <c r="J715" s="2537"/>
      <c r="K715" s="2537"/>
      <c r="L715" s="2537"/>
      <c r="M715" s="2537"/>
      <c r="N715" s="2537"/>
      <c r="O715" s="2537"/>
      <c r="P715" s="2537"/>
      <c r="Q715" s="2537"/>
      <c r="R715" s="2537"/>
      <c r="S715" s="2537"/>
      <c r="T715" s="2537"/>
      <c r="U715" s="2537"/>
      <c r="V715" s="2537"/>
      <c r="W715" s="2537"/>
      <c r="X715" s="2537"/>
      <c r="Y715" s="2537"/>
      <c r="Z715" s="2537"/>
      <c r="AA715" s="2537"/>
      <c r="AB715" s="2537"/>
      <c r="AC715" s="536"/>
      <c r="AD715" s="536"/>
      <c r="AE715" s="536"/>
      <c r="AF715" s="2445" t="s">
        <v>1352</v>
      </c>
      <c r="AG715" s="2445"/>
      <c r="AH715" s="2445"/>
      <c r="AI715" s="2445"/>
      <c r="AJ715" s="2445"/>
      <c r="AK715" s="2445"/>
      <c r="AL715" s="2445"/>
      <c r="AM715" s="550"/>
      <c r="AN715" s="684"/>
      <c r="AP715" s="570" t="s">
        <v>1432</v>
      </c>
    </row>
    <row r="716" spans="1:43" s="570" customFormat="1" ht="11.85" customHeight="1">
      <c r="A716" s="550"/>
      <c r="B716" s="536"/>
      <c r="C716" s="933"/>
      <c r="D716" s="663"/>
      <c r="E716" s="2537"/>
      <c r="F716" s="2537"/>
      <c r="G716" s="2537"/>
      <c r="H716" s="2537"/>
      <c r="I716" s="2537"/>
      <c r="J716" s="2537"/>
      <c r="K716" s="2537"/>
      <c r="L716" s="2537"/>
      <c r="M716" s="2537"/>
      <c r="N716" s="2537"/>
      <c r="O716" s="2537"/>
      <c r="P716" s="2537"/>
      <c r="Q716" s="2537"/>
      <c r="R716" s="2537"/>
      <c r="S716" s="2537"/>
      <c r="T716" s="2537"/>
      <c r="U716" s="2537"/>
      <c r="V716" s="2537"/>
      <c r="W716" s="2537"/>
      <c r="X716" s="2537"/>
      <c r="Y716" s="2537"/>
      <c r="Z716" s="2537"/>
      <c r="AA716" s="2537"/>
      <c r="AB716" s="2537"/>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7"/>
      <c r="F717" s="2537"/>
      <c r="G717" s="2537"/>
      <c r="H717" s="2537"/>
      <c r="I717" s="2537"/>
      <c r="J717" s="2537"/>
      <c r="K717" s="2537"/>
      <c r="L717" s="2537"/>
      <c r="M717" s="2537"/>
      <c r="N717" s="2537"/>
      <c r="O717" s="2537"/>
      <c r="P717" s="2537"/>
      <c r="Q717" s="2537"/>
      <c r="R717" s="2537"/>
      <c r="S717" s="2537"/>
      <c r="T717" s="2537"/>
      <c r="U717" s="2537"/>
      <c r="V717" s="2537"/>
      <c r="W717" s="2537"/>
      <c r="X717" s="2537"/>
      <c r="Y717" s="2537"/>
      <c r="Z717" s="2537"/>
      <c r="AA717" s="2537"/>
      <c r="AB717" s="2537"/>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8" t="s">
        <v>1435</v>
      </c>
      <c r="F719" s="2538"/>
      <c r="G719" s="2538"/>
      <c r="H719" s="2538"/>
      <c r="I719" s="2538"/>
      <c r="J719" s="2538"/>
      <c r="K719" s="2538"/>
      <c r="L719" s="2538"/>
      <c r="M719" s="2538"/>
      <c r="N719" s="2538"/>
      <c r="O719" s="2538"/>
      <c r="P719" s="2538"/>
      <c r="Q719" s="2538"/>
      <c r="R719" s="2538"/>
      <c r="S719" s="2538"/>
      <c r="T719" s="2538"/>
      <c r="U719" s="2538"/>
      <c r="V719" s="2538"/>
      <c r="W719" s="2538"/>
      <c r="X719" s="2538"/>
      <c r="Y719" s="2538"/>
      <c r="Z719" s="2538"/>
      <c r="AA719" s="2538"/>
      <c r="AB719" s="2538"/>
      <c r="AC719" s="536"/>
      <c r="AD719" s="536"/>
      <c r="AE719" s="536"/>
      <c r="AF719" s="2445" t="s">
        <v>1408</v>
      </c>
      <c r="AG719" s="2445"/>
      <c r="AH719" s="2445"/>
      <c r="AI719" s="2445"/>
      <c r="AJ719" s="2445"/>
      <c r="AK719" s="2445"/>
      <c r="AL719" s="2445"/>
      <c r="AM719" s="550"/>
      <c r="AN719" s="685"/>
    </row>
    <row r="720" spans="1:43" s="570" customFormat="1" ht="12.75" customHeight="1">
      <c r="A720" s="550"/>
      <c r="B720" s="536"/>
      <c r="C720" s="933"/>
      <c r="D720" s="536"/>
      <c r="E720" s="2538"/>
      <c r="F720" s="2538"/>
      <c r="G720" s="2538"/>
      <c r="H720" s="2538"/>
      <c r="I720" s="2538"/>
      <c r="J720" s="2538"/>
      <c r="K720" s="2538"/>
      <c r="L720" s="2538"/>
      <c r="M720" s="2538"/>
      <c r="N720" s="2538"/>
      <c r="O720" s="2538"/>
      <c r="P720" s="2538"/>
      <c r="Q720" s="2538"/>
      <c r="R720" s="2538"/>
      <c r="S720" s="2538"/>
      <c r="T720" s="2538"/>
      <c r="U720" s="2538"/>
      <c r="V720" s="2538"/>
      <c r="W720" s="2538"/>
      <c r="X720" s="2538"/>
      <c r="Y720" s="2538"/>
      <c r="Z720" s="2538"/>
      <c r="AA720" s="2538"/>
      <c r="AB720" s="2538"/>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8"/>
      <c r="F721" s="2538"/>
      <c r="G721" s="2538"/>
      <c r="H721" s="2538"/>
      <c r="I721" s="2538"/>
      <c r="J721" s="2538"/>
      <c r="K721" s="2538"/>
      <c r="L721" s="2538"/>
      <c r="M721" s="2538"/>
      <c r="N721" s="2538"/>
      <c r="O721" s="2538"/>
      <c r="P721" s="2538"/>
      <c r="Q721" s="2538"/>
      <c r="R721" s="2538"/>
      <c r="S721" s="2538"/>
      <c r="T721" s="2538"/>
      <c r="U721" s="2538"/>
      <c r="V721" s="2538"/>
      <c r="W721" s="2538"/>
      <c r="X721" s="2538"/>
      <c r="Y721" s="2538"/>
      <c r="Z721" s="2538"/>
      <c r="AA721" s="2538"/>
      <c r="AB721" s="2538"/>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29" t="s">
        <v>591</v>
      </c>
      <c r="I723" s="2529"/>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80">
        <f>VLOOKUP($H$723,$AP$720:$AQ$722,2,FALSE)</f>
        <v>0</v>
      </c>
      <c r="AK725" s="2482"/>
      <c r="AL725" s="595"/>
      <c r="AM725" s="550"/>
      <c r="AN725" s="684"/>
      <c r="AP725" s="2480"/>
      <c r="AQ725" s="2482"/>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500" t="s">
        <v>1696</v>
      </c>
      <c r="F729" s="2500"/>
      <c r="G729" s="2500"/>
      <c r="H729" s="2500"/>
      <c r="I729" s="2500"/>
      <c r="J729" s="2500"/>
      <c r="K729" s="2500"/>
      <c r="L729" s="2500"/>
      <c r="M729" s="2500"/>
      <c r="N729" s="2500"/>
      <c r="O729" s="2500"/>
      <c r="P729" s="2500"/>
      <c r="Q729" s="2500"/>
      <c r="R729" s="2500"/>
      <c r="S729" s="2500"/>
      <c r="T729" s="2500"/>
      <c r="U729" s="2500"/>
      <c r="V729" s="2500"/>
      <c r="W729" s="2500"/>
      <c r="X729" s="2500"/>
      <c r="Y729" s="2500"/>
      <c r="Z729" s="2500"/>
      <c r="AA729" s="2500"/>
      <c r="AB729" s="2500"/>
      <c r="AC729" s="536"/>
      <c r="AD729" s="536"/>
      <c r="AE729" s="536"/>
      <c r="AF729" s="2445" t="s">
        <v>1352</v>
      </c>
      <c r="AG729" s="2445"/>
      <c r="AH729" s="2445"/>
      <c r="AI729" s="2445"/>
      <c r="AJ729" s="2445"/>
      <c r="AK729" s="2445"/>
      <c r="AL729" s="2445"/>
      <c r="AM729" s="550"/>
      <c r="AN729" s="684"/>
      <c r="AT729" s="14"/>
      <c r="AU729" s="14"/>
      <c r="AV729" s="14"/>
      <c r="AW729" s="14"/>
      <c r="AX729" s="14"/>
      <c r="AY729" s="14"/>
      <c r="AZ729" s="14"/>
    </row>
    <row r="730" spans="1:81" s="570" customFormat="1">
      <c r="A730" s="550"/>
      <c r="B730" s="536"/>
      <c r="C730" s="933"/>
      <c r="D730" s="663"/>
      <c r="E730" s="2500"/>
      <c r="F730" s="2500"/>
      <c r="G730" s="2500"/>
      <c r="H730" s="2500"/>
      <c r="I730" s="2500"/>
      <c r="J730" s="2500"/>
      <c r="K730" s="2500"/>
      <c r="L730" s="2500"/>
      <c r="M730" s="2500"/>
      <c r="N730" s="2500"/>
      <c r="O730" s="2500"/>
      <c r="P730" s="2500"/>
      <c r="Q730" s="2500"/>
      <c r="R730" s="2500"/>
      <c r="S730" s="2500"/>
      <c r="T730" s="2500"/>
      <c r="U730" s="2500"/>
      <c r="V730" s="2500"/>
      <c r="W730" s="2500"/>
      <c r="X730" s="2500"/>
      <c r="Y730" s="2500"/>
      <c r="Z730" s="2500"/>
      <c r="AA730" s="2500"/>
      <c r="AB730" s="2500"/>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500" t="s">
        <v>1439</v>
      </c>
      <c r="F732" s="2500"/>
      <c r="G732" s="2500"/>
      <c r="H732" s="2500"/>
      <c r="I732" s="2500"/>
      <c r="J732" s="2500"/>
      <c r="K732" s="2500"/>
      <c r="L732" s="2500"/>
      <c r="M732" s="2500"/>
      <c r="N732" s="2500"/>
      <c r="O732" s="2500"/>
      <c r="P732" s="2500"/>
      <c r="Q732" s="2500"/>
      <c r="R732" s="2500"/>
      <c r="S732" s="2500"/>
      <c r="T732" s="2500"/>
      <c r="U732" s="2500"/>
      <c r="V732" s="2500"/>
      <c r="W732" s="2500"/>
      <c r="X732" s="2500"/>
      <c r="Y732" s="2500"/>
      <c r="Z732" s="2500"/>
      <c r="AA732" s="2500"/>
      <c r="AB732" s="2500"/>
      <c r="AC732" s="536"/>
      <c r="AD732" s="536"/>
      <c r="AE732" s="536"/>
      <c r="AF732" s="2445" t="s">
        <v>1408</v>
      </c>
      <c r="AG732" s="2445"/>
      <c r="AH732" s="2445"/>
      <c r="AI732" s="2445"/>
      <c r="AJ732" s="2445"/>
      <c r="AK732" s="2445"/>
      <c r="AL732" s="2445"/>
      <c r="AM732" s="550"/>
      <c r="AN732" s="684"/>
      <c r="AT732" s="14"/>
      <c r="AU732" s="14"/>
      <c r="AV732" s="14"/>
      <c r="AW732" s="14"/>
      <c r="AX732" s="14"/>
      <c r="AY732" s="14"/>
      <c r="AZ732" s="14"/>
    </row>
    <row r="733" spans="1:81" s="570" customFormat="1">
      <c r="A733" s="550"/>
      <c r="B733" s="536"/>
      <c r="C733" s="933"/>
      <c r="D733" s="536"/>
      <c r="E733" s="2500"/>
      <c r="F733" s="2500"/>
      <c r="G733" s="2500"/>
      <c r="H733" s="2500"/>
      <c r="I733" s="2500"/>
      <c r="J733" s="2500"/>
      <c r="K733" s="2500"/>
      <c r="L733" s="2500"/>
      <c r="M733" s="2500"/>
      <c r="N733" s="2500"/>
      <c r="O733" s="2500"/>
      <c r="P733" s="2500"/>
      <c r="Q733" s="2500"/>
      <c r="R733" s="2500"/>
      <c r="S733" s="2500"/>
      <c r="T733" s="2500"/>
      <c r="U733" s="2500"/>
      <c r="V733" s="2500"/>
      <c r="W733" s="2500"/>
      <c r="X733" s="2500"/>
      <c r="Y733" s="2500"/>
      <c r="Z733" s="2500"/>
      <c r="AA733" s="2500"/>
      <c r="AB733" s="2500"/>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9" t="s">
        <v>591</v>
      </c>
      <c r="I735" s="2529"/>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80">
        <f>VLOOKUP($H$735,$AO$666:$AP$668,2,FALSE)</f>
        <v>0</v>
      </c>
      <c r="AK737" s="2482"/>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500" t="s">
        <v>1442</v>
      </c>
      <c r="F741" s="2500"/>
      <c r="G741" s="2500"/>
      <c r="H741" s="2500"/>
      <c r="I741" s="2500"/>
      <c r="J741" s="2500"/>
      <c r="K741" s="2500"/>
      <c r="L741" s="2500"/>
      <c r="M741" s="2500"/>
      <c r="N741" s="2500"/>
      <c r="O741" s="2500"/>
      <c r="P741" s="2500"/>
      <c r="Q741" s="2500"/>
      <c r="R741" s="2500"/>
      <c r="S741" s="2500"/>
      <c r="T741" s="2500"/>
      <c r="U741" s="2500"/>
      <c r="V741" s="2500"/>
      <c r="W741" s="2500"/>
      <c r="X741" s="2500"/>
      <c r="Y741" s="2500"/>
      <c r="Z741" s="2500"/>
      <c r="AA741" s="2500"/>
      <c r="AB741" s="2500"/>
      <c r="AC741" s="536"/>
      <c r="AD741" s="536"/>
      <c r="AE741" s="536"/>
      <c r="AF741" s="2445" t="s">
        <v>1352</v>
      </c>
      <c r="AG741" s="2445"/>
      <c r="AH741" s="2445"/>
      <c r="AI741" s="2445"/>
      <c r="AJ741" s="2445"/>
      <c r="AK741" s="2445"/>
      <c r="AL741" s="2445"/>
      <c r="AM741" s="550"/>
      <c r="AN741" s="684"/>
      <c r="AT741" s="14"/>
      <c r="AU741" s="14"/>
      <c r="AV741" s="14"/>
      <c r="AW741" s="14"/>
      <c r="AX741" s="14"/>
      <c r="AY741" s="14"/>
      <c r="AZ741" s="14"/>
    </row>
    <row r="742" spans="1:81" s="570" customFormat="1">
      <c r="A742" s="550"/>
      <c r="B742" s="536"/>
      <c r="C742" s="931"/>
      <c r="D742" s="663"/>
      <c r="E742" s="2500"/>
      <c r="F742" s="2500"/>
      <c r="G742" s="2500"/>
      <c r="H742" s="2500"/>
      <c r="I742" s="2500"/>
      <c r="J742" s="2500"/>
      <c r="K742" s="2500"/>
      <c r="L742" s="2500"/>
      <c r="M742" s="2500"/>
      <c r="N742" s="2500"/>
      <c r="O742" s="2500"/>
      <c r="P742" s="2500"/>
      <c r="Q742" s="2500"/>
      <c r="R742" s="2500"/>
      <c r="S742" s="2500"/>
      <c r="T742" s="2500"/>
      <c r="U742" s="2500"/>
      <c r="V742" s="2500"/>
      <c r="W742" s="2500"/>
      <c r="X742" s="2500"/>
      <c r="Y742" s="2500"/>
      <c r="Z742" s="2500"/>
      <c r="AA742" s="2500"/>
      <c r="AB742" s="2500"/>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0"/>
      <c r="F743" s="2500"/>
      <c r="G743" s="2500"/>
      <c r="H743" s="2500"/>
      <c r="I743" s="2500"/>
      <c r="J743" s="2500"/>
      <c r="K743" s="2500"/>
      <c r="L743" s="2500"/>
      <c r="M743" s="2500"/>
      <c r="N743" s="2500"/>
      <c r="O743" s="2500"/>
      <c r="P743" s="2500"/>
      <c r="Q743" s="2500"/>
      <c r="R743" s="2500"/>
      <c r="S743" s="2500"/>
      <c r="T743" s="2500"/>
      <c r="U743" s="2500"/>
      <c r="V743" s="2500"/>
      <c r="W743" s="2500"/>
      <c r="X743" s="2500"/>
      <c r="Y743" s="2500"/>
      <c r="Z743" s="2500"/>
      <c r="AA743" s="2500"/>
      <c r="AB743" s="2500"/>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0"/>
      <c r="F744" s="2500"/>
      <c r="G744" s="2500"/>
      <c r="H744" s="2500"/>
      <c r="I744" s="2500"/>
      <c r="J744" s="2500"/>
      <c r="K744" s="2500"/>
      <c r="L744" s="2500"/>
      <c r="M744" s="2500"/>
      <c r="N744" s="2500"/>
      <c r="O744" s="2500"/>
      <c r="P744" s="2500"/>
      <c r="Q744" s="2500"/>
      <c r="R744" s="2500"/>
      <c r="S744" s="2500"/>
      <c r="T744" s="2500"/>
      <c r="U744" s="2500"/>
      <c r="V744" s="2500"/>
      <c r="W744" s="2500"/>
      <c r="X744" s="2500"/>
      <c r="Y744" s="2500"/>
      <c r="Z744" s="2500"/>
      <c r="AA744" s="2500"/>
      <c r="AB744" s="2500"/>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500" t="s">
        <v>1443</v>
      </c>
      <c r="F746" s="2500"/>
      <c r="G746" s="2500"/>
      <c r="H746" s="2500"/>
      <c r="I746" s="2500"/>
      <c r="J746" s="2500"/>
      <c r="K746" s="2500"/>
      <c r="L746" s="2500"/>
      <c r="M746" s="2500"/>
      <c r="N746" s="2500"/>
      <c r="O746" s="2500"/>
      <c r="P746" s="2500"/>
      <c r="Q746" s="2500"/>
      <c r="R746" s="2500"/>
      <c r="S746" s="2500"/>
      <c r="T746" s="2500"/>
      <c r="U746" s="2500"/>
      <c r="V746" s="2500"/>
      <c r="W746" s="2500"/>
      <c r="X746" s="2500"/>
      <c r="Y746" s="2500"/>
      <c r="Z746" s="2500"/>
      <c r="AA746" s="2500"/>
      <c r="AB746" s="575"/>
      <c r="AC746" s="536"/>
      <c r="AD746" s="536"/>
      <c r="AE746" s="536"/>
      <c r="AF746" s="2445" t="s">
        <v>1408</v>
      </c>
      <c r="AG746" s="2445"/>
      <c r="AH746" s="2445"/>
      <c r="AI746" s="2445"/>
      <c r="AJ746" s="2445"/>
      <c r="AK746" s="2445"/>
      <c r="AL746" s="2445"/>
      <c r="AM746" s="550"/>
      <c r="AN746" s="684"/>
      <c r="AO746" s="30"/>
      <c r="AP746" s="14"/>
    </row>
    <row r="747" spans="1:81" s="570" customFormat="1">
      <c r="A747" s="550"/>
      <c r="B747" s="536"/>
      <c r="C747" s="931"/>
      <c r="D747" s="663"/>
      <c r="E747" s="2500"/>
      <c r="F747" s="2500"/>
      <c r="G747" s="2500"/>
      <c r="H747" s="2500"/>
      <c r="I747" s="2500"/>
      <c r="J747" s="2500"/>
      <c r="K747" s="2500"/>
      <c r="L747" s="2500"/>
      <c r="M747" s="2500"/>
      <c r="N747" s="2500"/>
      <c r="O747" s="2500"/>
      <c r="P747" s="2500"/>
      <c r="Q747" s="2500"/>
      <c r="R747" s="2500"/>
      <c r="S747" s="2500"/>
      <c r="T747" s="2500"/>
      <c r="U747" s="2500"/>
      <c r="V747" s="2500"/>
      <c r="W747" s="2500"/>
      <c r="X747" s="2500"/>
      <c r="Y747" s="2500"/>
      <c r="Z747" s="2500"/>
      <c r="AA747" s="2500"/>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0"/>
      <c r="F748" s="2500"/>
      <c r="G748" s="2500"/>
      <c r="H748" s="2500"/>
      <c r="I748" s="2500"/>
      <c r="J748" s="2500"/>
      <c r="K748" s="2500"/>
      <c r="L748" s="2500"/>
      <c r="M748" s="2500"/>
      <c r="N748" s="2500"/>
      <c r="O748" s="2500"/>
      <c r="P748" s="2500"/>
      <c r="Q748" s="2500"/>
      <c r="R748" s="2500"/>
      <c r="S748" s="2500"/>
      <c r="T748" s="2500"/>
      <c r="U748" s="2500"/>
      <c r="V748" s="2500"/>
      <c r="W748" s="2500"/>
      <c r="X748" s="2500"/>
      <c r="Y748" s="2500"/>
      <c r="Z748" s="2500"/>
      <c r="AA748" s="2500"/>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0"/>
      <c r="F749" s="2500"/>
      <c r="G749" s="2500"/>
      <c r="H749" s="2500"/>
      <c r="I749" s="2500"/>
      <c r="J749" s="2500"/>
      <c r="K749" s="2500"/>
      <c r="L749" s="2500"/>
      <c r="M749" s="2500"/>
      <c r="N749" s="2500"/>
      <c r="O749" s="2500"/>
      <c r="P749" s="2500"/>
      <c r="Q749" s="2500"/>
      <c r="R749" s="2500"/>
      <c r="S749" s="2500"/>
      <c r="T749" s="2500"/>
      <c r="U749" s="2500"/>
      <c r="V749" s="2500"/>
      <c r="W749" s="2500"/>
      <c r="X749" s="2500"/>
      <c r="Y749" s="2500"/>
      <c r="Z749" s="2500"/>
      <c r="AA749" s="2500"/>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9" t="s">
        <v>591</v>
      </c>
      <c r="I751" s="2529"/>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80">
        <f>VLOOKUP($H$751,$AO$680:$AP$682,2,FALSE)</f>
        <v>0</v>
      </c>
      <c r="AK753" s="2482"/>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500" t="s">
        <v>1445</v>
      </c>
      <c r="F757" s="2500"/>
      <c r="G757" s="2500"/>
      <c r="H757" s="2500"/>
      <c r="I757" s="2500"/>
      <c r="J757" s="2500"/>
      <c r="K757" s="2500"/>
      <c r="L757" s="2500"/>
      <c r="M757" s="2500"/>
      <c r="N757" s="2500"/>
      <c r="O757" s="2500"/>
      <c r="P757" s="2500"/>
      <c r="Q757" s="2500"/>
      <c r="R757" s="2500"/>
      <c r="S757" s="2500"/>
      <c r="T757" s="2500"/>
      <c r="U757" s="2500"/>
      <c r="V757" s="2500"/>
      <c r="W757" s="2500"/>
      <c r="X757" s="2500"/>
      <c r="Y757" s="2500"/>
      <c r="Z757" s="2500"/>
      <c r="AA757" s="2500"/>
      <c r="AB757" s="2500"/>
      <c r="AC757" s="536"/>
      <c r="AD757" s="536"/>
      <c r="AE757" s="536"/>
      <c r="AF757" s="2445" t="s">
        <v>1408</v>
      </c>
      <c r="AG757" s="2445"/>
      <c r="AH757" s="2445"/>
      <c r="AI757" s="2445"/>
      <c r="AJ757" s="2445"/>
      <c r="AK757" s="2445"/>
      <c r="AL757" s="2445"/>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0"/>
      <c r="F758" s="2500"/>
      <c r="G758" s="2500"/>
      <c r="H758" s="2500"/>
      <c r="I758" s="2500"/>
      <c r="J758" s="2500"/>
      <c r="K758" s="2500"/>
      <c r="L758" s="2500"/>
      <c r="M758" s="2500"/>
      <c r="N758" s="2500"/>
      <c r="O758" s="2500"/>
      <c r="P758" s="2500"/>
      <c r="Q758" s="2500"/>
      <c r="R758" s="2500"/>
      <c r="S758" s="2500"/>
      <c r="T758" s="2500"/>
      <c r="U758" s="2500"/>
      <c r="V758" s="2500"/>
      <c r="W758" s="2500"/>
      <c r="X758" s="2500"/>
      <c r="Y758" s="2500"/>
      <c r="Z758" s="2500"/>
      <c r="AA758" s="2500"/>
      <c r="AB758" s="2500"/>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500" t="s">
        <v>1446</v>
      </c>
      <c r="F760" s="2500"/>
      <c r="G760" s="2500"/>
      <c r="H760" s="2500"/>
      <c r="I760" s="2500"/>
      <c r="J760" s="2500"/>
      <c r="K760" s="2500"/>
      <c r="L760" s="2500"/>
      <c r="M760" s="2500"/>
      <c r="N760" s="2500"/>
      <c r="O760" s="2500"/>
      <c r="P760" s="2500"/>
      <c r="Q760" s="2500"/>
      <c r="R760" s="2500"/>
      <c r="S760" s="2500"/>
      <c r="T760" s="2500"/>
      <c r="U760" s="2500"/>
      <c r="V760" s="2500"/>
      <c r="W760" s="2500"/>
      <c r="X760" s="2500"/>
      <c r="Y760" s="2500"/>
      <c r="Z760" s="2500"/>
      <c r="AA760" s="2500"/>
      <c r="AB760" s="2500"/>
      <c r="AC760" s="536"/>
      <c r="AD760" s="536"/>
      <c r="AE760" s="536"/>
      <c r="AF760" s="2445" t="s">
        <v>1425</v>
      </c>
      <c r="AG760" s="2445"/>
      <c r="AH760" s="2445"/>
      <c r="AI760" s="2445"/>
      <c r="AJ760" s="2445"/>
      <c r="AK760" s="2445"/>
      <c r="AL760" s="2445"/>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0"/>
      <c r="F761" s="2500"/>
      <c r="G761" s="2500"/>
      <c r="H761" s="2500"/>
      <c r="I761" s="2500"/>
      <c r="J761" s="2500"/>
      <c r="K761" s="2500"/>
      <c r="L761" s="2500"/>
      <c r="M761" s="2500"/>
      <c r="N761" s="2500"/>
      <c r="O761" s="2500"/>
      <c r="P761" s="2500"/>
      <c r="Q761" s="2500"/>
      <c r="R761" s="2500"/>
      <c r="S761" s="2500"/>
      <c r="T761" s="2500"/>
      <c r="U761" s="2500"/>
      <c r="V761" s="2500"/>
      <c r="W761" s="2500"/>
      <c r="X761" s="2500"/>
      <c r="Y761" s="2500"/>
      <c r="Z761" s="2500"/>
      <c r="AA761" s="2500"/>
      <c r="AB761" s="2500"/>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9" t="s">
        <v>509</v>
      </c>
      <c r="I763" s="2529"/>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80">
        <f>VLOOKUP($H$763,$AO$697:$AP$699,2,FALSE)</f>
        <v>1</v>
      </c>
      <c r="AK765" s="2482"/>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500" t="s">
        <v>1692</v>
      </c>
      <c r="F769" s="2500"/>
      <c r="G769" s="2500"/>
      <c r="H769" s="2500"/>
      <c r="I769" s="2500"/>
      <c r="J769" s="2500"/>
      <c r="K769" s="2500"/>
      <c r="L769" s="2500"/>
      <c r="M769" s="2500"/>
      <c r="N769" s="2500"/>
      <c r="O769" s="2500"/>
      <c r="P769" s="2500"/>
      <c r="Q769" s="2500"/>
      <c r="R769" s="2500"/>
      <c r="S769" s="2500"/>
      <c r="T769" s="2500"/>
      <c r="U769" s="2500"/>
      <c r="V769" s="2500"/>
      <c r="W769" s="2500"/>
      <c r="X769" s="2500"/>
      <c r="Y769" s="2500"/>
      <c r="Z769" s="2500"/>
      <c r="AA769" s="2500"/>
      <c r="AB769" s="2500"/>
      <c r="AC769" s="2500"/>
      <c r="AD769" s="2500"/>
      <c r="AE769" s="536"/>
      <c r="AF769" s="2445" t="s">
        <v>1408</v>
      </c>
      <c r="AG769" s="2445"/>
      <c r="AH769" s="2445"/>
      <c r="AI769" s="2445"/>
      <c r="AJ769" s="2445"/>
      <c r="AK769" s="2445"/>
      <c r="AL769" s="2445"/>
      <c r="AM769" s="613"/>
      <c r="AN769" s="684"/>
      <c r="AO769" s="550" t="s">
        <v>591</v>
      </c>
      <c r="AP769" s="673">
        <v>0</v>
      </c>
    </row>
    <row r="770" spans="1:81" s="570" customFormat="1" ht="13.7" customHeight="1">
      <c r="A770" s="550"/>
      <c r="B770" s="616"/>
      <c r="C770" s="940"/>
      <c r="D770" s="663"/>
      <c r="E770" s="2500"/>
      <c r="F770" s="2500"/>
      <c r="G770" s="2500"/>
      <c r="H770" s="2500"/>
      <c r="I770" s="2500"/>
      <c r="J770" s="2500"/>
      <c r="K770" s="2500"/>
      <c r="L770" s="2500"/>
      <c r="M770" s="2500"/>
      <c r="N770" s="2500"/>
      <c r="O770" s="2500"/>
      <c r="P770" s="2500"/>
      <c r="Q770" s="2500"/>
      <c r="R770" s="2500"/>
      <c r="S770" s="2500"/>
      <c r="T770" s="2500"/>
      <c r="U770" s="2500"/>
      <c r="V770" s="2500"/>
      <c r="W770" s="2500"/>
      <c r="X770" s="2500"/>
      <c r="Y770" s="2500"/>
      <c r="Z770" s="2500"/>
      <c r="AA770" s="2500"/>
      <c r="AB770" s="2500"/>
      <c r="AC770" s="2500"/>
      <c r="AD770" s="2500"/>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500"/>
      <c r="F771" s="2500"/>
      <c r="G771" s="2500"/>
      <c r="H771" s="2500"/>
      <c r="I771" s="2500"/>
      <c r="J771" s="2500"/>
      <c r="K771" s="2500"/>
      <c r="L771" s="2500"/>
      <c r="M771" s="2500"/>
      <c r="N771" s="2500"/>
      <c r="O771" s="2500"/>
      <c r="P771" s="2500"/>
      <c r="Q771" s="2500"/>
      <c r="R771" s="2500"/>
      <c r="S771" s="2500"/>
      <c r="T771" s="2500"/>
      <c r="U771" s="2500"/>
      <c r="V771" s="2500"/>
      <c r="W771" s="2500"/>
      <c r="X771" s="2500"/>
      <c r="Y771" s="2500"/>
      <c r="Z771" s="2500"/>
      <c r="AA771" s="2500"/>
      <c r="AB771" s="2500"/>
      <c r="AC771" s="2500"/>
      <c r="AD771" s="2500"/>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0"/>
      <c r="F772" s="2500"/>
      <c r="G772" s="2500"/>
      <c r="H772" s="2500"/>
      <c r="I772" s="2500"/>
      <c r="J772" s="2500"/>
      <c r="K772" s="2500"/>
      <c r="L772" s="2500"/>
      <c r="M772" s="2500"/>
      <c r="N772" s="2500"/>
      <c r="O772" s="2500"/>
      <c r="P772" s="2500"/>
      <c r="Q772" s="2500"/>
      <c r="R772" s="2500"/>
      <c r="S772" s="2500"/>
      <c r="T772" s="2500"/>
      <c r="U772" s="2500"/>
      <c r="V772" s="2500"/>
      <c r="W772" s="2500"/>
      <c r="X772" s="2500"/>
      <c r="Y772" s="2500"/>
      <c r="Z772" s="2500"/>
      <c r="AA772" s="2500"/>
      <c r="AB772" s="2500"/>
      <c r="AC772" s="2500"/>
      <c r="AD772" s="2500"/>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9" t="s">
        <v>1697</v>
      </c>
      <c r="F774" s="2539"/>
      <c r="G774" s="2539"/>
      <c r="H774" s="2539"/>
      <c r="I774" s="2539"/>
      <c r="J774" s="2539"/>
      <c r="K774" s="2539"/>
      <c r="L774" s="2539"/>
      <c r="M774" s="2539"/>
      <c r="N774" s="2539"/>
      <c r="O774" s="2539"/>
      <c r="P774" s="2539"/>
      <c r="Q774" s="2539"/>
      <c r="R774" s="2539"/>
      <c r="S774" s="2539"/>
      <c r="T774" s="2539"/>
      <c r="U774" s="2539"/>
      <c r="V774" s="2539"/>
      <c r="W774" s="2539"/>
      <c r="X774" s="2539"/>
      <c r="Y774" s="2539"/>
      <c r="Z774" s="2539"/>
      <c r="AA774" s="2539"/>
      <c r="AB774" s="2539"/>
      <c r="AC774" s="2539"/>
      <c r="AD774" s="2539"/>
      <c r="AE774" s="536"/>
      <c r="AF774" s="2445" t="s">
        <v>1352</v>
      </c>
      <c r="AG774" s="2445"/>
      <c r="AH774" s="2445"/>
      <c r="AI774" s="2445"/>
      <c r="AJ774" s="2445"/>
      <c r="AK774" s="2445"/>
      <c r="AL774" s="2445"/>
      <c r="AM774" s="613"/>
      <c r="AN774" s="597"/>
    </row>
    <row r="775" spans="1:81" s="550" customFormat="1" ht="12.75" customHeight="1">
      <c r="B775" s="616"/>
      <c r="C775" s="940"/>
      <c r="D775" s="663"/>
      <c r="E775" s="2539"/>
      <c r="F775" s="2539"/>
      <c r="G775" s="2539"/>
      <c r="H775" s="2539"/>
      <c r="I775" s="2539"/>
      <c r="J775" s="2539"/>
      <c r="K775" s="2539"/>
      <c r="L775" s="2539"/>
      <c r="M775" s="2539"/>
      <c r="N775" s="2539"/>
      <c r="O775" s="2539"/>
      <c r="P775" s="2539"/>
      <c r="Q775" s="2539"/>
      <c r="R775" s="2539"/>
      <c r="S775" s="2539"/>
      <c r="T775" s="2539"/>
      <c r="U775" s="2539"/>
      <c r="V775" s="2539"/>
      <c r="W775" s="2539"/>
      <c r="X775" s="2539"/>
      <c r="Y775" s="2539"/>
      <c r="Z775" s="2539"/>
      <c r="AA775" s="2539"/>
      <c r="AB775" s="2539"/>
      <c r="AC775" s="2539"/>
      <c r="AD775" s="2539"/>
      <c r="AE775" s="594"/>
      <c r="AF775" s="594"/>
      <c r="AG775" s="594"/>
      <c r="AH775" s="594"/>
      <c r="AI775" s="594"/>
      <c r="AJ775" s="594"/>
      <c r="AK775" s="594"/>
      <c r="AL775" s="594"/>
      <c r="AM775" s="613"/>
      <c r="AN775" s="597"/>
    </row>
    <row r="776" spans="1:81" s="550" customFormat="1" ht="12.75" customHeight="1">
      <c r="B776" s="616"/>
      <c r="C776" s="940"/>
      <c r="D776" s="663"/>
      <c r="E776" s="2539"/>
      <c r="F776" s="2539"/>
      <c r="G776" s="2539"/>
      <c r="H776" s="2539"/>
      <c r="I776" s="2539"/>
      <c r="J776" s="2539"/>
      <c r="K776" s="2539"/>
      <c r="L776" s="2539"/>
      <c r="M776" s="2539"/>
      <c r="N776" s="2539"/>
      <c r="O776" s="2539"/>
      <c r="P776" s="2539"/>
      <c r="Q776" s="2539"/>
      <c r="R776" s="2539"/>
      <c r="S776" s="2539"/>
      <c r="T776" s="2539"/>
      <c r="U776" s="2539"/>
      <c r="V776" s="2539"/>
      <c r="W776" s="2539"/>
      <c r="X776" s="2539"/>
      <c r="Y776" s="2539"/>
      <c r="Z776" s="2539"/>
      <c r="AA776" s="2539"/>
      <c r="AB776" s="2539"/>
      <c r="AC776" s="2539"/>
      <c r="AD776" s="2539"/>
      <c r="AE776" s="594"/>
      <c r="AF776" s="594"/>
      <c r="AG776" s="594"/>
      <c r="AH776" s="594"/>
      <c r="AI776" s="594"/>
      <c r="AJ776" s="594"/>
      <c r="AK776" s="594"/>
      <c r="AL776" s="594"/>
      <c r="AM776" s="613"/>
      <c r="AN776" s="597"/>
    </row>
    <row r="777" spans="1:81" s="550" customFormat="1" ht="12.75" customHeight="1">
      <c r="B777" s="616"/>
      <c r="C777" s="940"/>
      <c r="D777" s="663"/>
      <c r="E777" s="2539"/>
      <c r="F777" s="2539"/>
      <c r="G777" s="2539"/>
      <c r="H777" s="2539"/>
      <c r="I777" s="2539"/>
      <c r="J777" s="2539"/>
      <c r="K777" s="2539"/>
      <c r="L777" s="2539"/>
      <c r="M777" s="2539"/>
      <c r="N777" s="2539"/>
      <c r="O777" s="2539"/>
      <c r="P777" s="2539"/>
      <c r="Q777" s="2539"/>
      <c r="R777" s="2539"/>
      <c r="S777" s="2539"/>
      <c r="T777" s="2539"/>
      <c r="U777" s="2539"/>
      <c r="V777" s="2539"/>
      <c r="W777" s="2539"/>
      <c r="X777" s="2539"/>
      <c r="Y777" s="2539"/>
      <c r="Z777" s="2539"/>
      <c r="AA777" s="2539"/>
      <c r="AB777" s="2539"/>
      <c r="AC777" s="2539"/>
      <c r="AD777" s="2539"/>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9" t="s">
        <v>591</v>
      </c>
      <c r="I779" s="2529"/>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80">
        <f>VLOOKUP($H$779,$AO$769:$AP$771,2,FALSE)</f>
        <v>0</v>
      </c>
      <c r="AK781" s="2482"/>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500" t="s">
        <v>2033</v>
      </c>
      <c r="F785" s="2500"/>
      <c r="G785" s="2500"/>
      <c r="H785" s="2500"/>
      <c r="I785" s="2500"/>
      <c r="J785" s="2500"/>
      <c r="K785" s="2500"/>
      <c r="L785" s="2500"/>
      <c r="M785" s="2500"/>
      <c r="N785" s="2500"/>
      <c r="O785" s="2500"/>
      <c r="P785" s="2500"/>
      <c r="Q785" s="2500"/>
      <c r="R785" s="2500"/>
      <c r="S785" s="2500"/>
      <c r="T785" s="2500"/>
      <c r="U785" s="2500"/>
      <c r="V785" s="2500"/>
      <c r="W785" s="2500"/>
      <c r="X785" s="2500"/>
      <c r="Y785" s="2500"/>
      <c r="Z785" s="2500"/>
      <c r="AA785" s="2500"/>
      <c r="AB785" s="2500"/>
      <c r="AC785" s="2500"/>
      <c r="AD785" s="2500"/>
      <c r="AE785" s="536"/>
      <c r="AF785" s="2445" t="s">
        <v>1352</v>
      </c>
      <c r="AG785" s="2445"/>
      <c r="AH785" s="2445"/>
      <c r="AI785" s="2445"/>
      <c r="AJ785" s="2445"/>
      <c r="AK785" s="2445"/>
      <c r="AL785" s="2445"/>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500"/>
      <c r="F786" s="2500"/>
      <c r="G786" s="2500"/>
      <c r="H786" s="2500"/>
      <c r="I786" s="2500"/>
      <c r="J786" s="2500"/>
      <c r="K786" s="2500"/>
      <c r="L786" s="2500"/>
      <c r="M786" s="2500"/>
      <c r="N786" s="2500"/>
      <c r="O786" s="2500"/>
      <c r="P786" s="2500"/>
      <c r="Q786" s="2500"/>
      <c r="R786" s="2500"/>
      <c r="S786" s="2500"/>
      <c r="T786" s="2500"/>
      <c r="U786" s="2500"/>
      <c r="V786" s="2500"/>
      <c r="W786" s="2500"/>
      <c r="X786" s="2500"/>
      <c r="Y786" s="2500"/>
      <c r="Z786" s="2500"/>
      <c r="AA786" s="2500"/>
      <c r="AB786" s="2500"/>
      <c r="AC786" s="2500"/>
      <c r="AD786" s="2500"/>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0"/>
      <c r="F787" s="2500"/>
      <c r="G787" s="2500"/>
      <c r="H787" s="2500"/>
      <c r="I787" s="2500"/>
      <c r="J787" s="2500"/>
      <c r="K787" s="2500"/>
      <c r="L787" s="2500"/>
      <c r="M787" s="2500"/>
      <c r="N787" s="2500"/>
      <c r="O787" s="2500"/>
      <c r="P787" s="2500"/>
      <c r="Q787" s="2500"/>
      <c r="R787" s="2500"/>
      <c r="S787" s="2500"/>
      <c r="T787" s="2500"/>
      <c r="U787" s="2500"/>
      <c r="V787" s="2500"/>
      <c r="W787" s="2500"/>
      <c r="X787" s="2500"/>
      <c r="Y787" s="2500"/>
      <c r="Z787" s="2500"/>
      <c r="AA787" s="2500"/>
      <c r="AB787" s="2500"/>
      <c r="AC787" s="2500"/>
      <c r="AD787" s="2500"/>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0"/>
      <c r="F788" s="2500"/>
      <c r="G788" s="2500"/>
      <c r="H788" s="2500"/>
      <c r="I788" s="2500"/>
      <c r="J788" s="2500"/>
      <c r="K788" s="2500"/>
      <c r="L788" s="2500"/>
      <c r="M788" s="2500"/>
      <c r="N788" s="2500"/>
      <c r="O788" s="2500"/>
      <c r="P788" s="2500"/>
      <c r="Q788" s="2500"/>
      <c r="R788" s="2500"/>
      <c r="S788" s="2500"/>
      <c r="T788" s="2500"/>
      <c r="U788" s="2500"/>
      <c r="V788" s="2500"/>
      <c r="W788" s="2500"/>
      <c r="X788" s="2500"/>
      <c r="Y788" s="2500"/>
      <c r="Z788" s="2500"/>
      <c r="AA788" s="2500"/>
      <c r="AB788" s="2500"/>
      <c r="AC788" s="2500"/>
      <c r="AD788" s="2500"/>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9" t="s">
        <v>545</v>
      </c>
      <c r="I790" s="2529"/>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80">
        <f>VLOOKUP($H$790,$AO$784:$AP$785,2,FALSE)</f>
        <v>3</v>
      </c>
      <c r="AK792" s="2482"/>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80">
        <f>IF(($AJ$621+$AJ$640+$AJ$652+$AJ$687+$AJ$711+$AJ$725+$AJ$737+$AJ$753+$AJ$765+$AJ$781+AJ792)&gt;10,10,($AJ$621+$AJ$640+$AJ$652+$AJ$687+$AJ$711+$AJ$725+$AJ$737+$AJ$753+$AJ$765+$AJ$781+AJ792))</f>
        <v>10</v>
      </c>
      <c r="AL794" s="2481"/>
      <c r="AM794" s="2482"/>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3" t="s">
        <v>1568</v>
      </c>
      <c r="B797" s="2574"/>
      <c r="C797" s="2574"/>
      <c r="D797" s="2574"/>
      <c r="E797" s="2574"/>
      <c r="F797" s="2574"/>
      <c r="G797" s="2574"/>
      <c r="H797" s="2574"/>
      <c r="I797" s="2574"/>
      <c r="J797" s="2574"/>
      <c r="K797" s="2574"/>
      <c r="L797" s="2574"/>
      <c r="M797" s="2574"/>
      <c r="N797" s="2574"/>
      <c r="O797" s="2574"/>
      <c r="P797" s="2574"/>
      <c r="Q797" s="2574"/>
      <c r="R797" s="2574"/>
      <c r="S797" s="2574"/>
      <c r="T797" s="2574"/>
      <c r="U797" s="2574"/>
      <c r="V797" s="2574"/>
      <c r="W797" s="2574"/>
      <c r="X797" s="2574"/>
      <c r="Y797" s="2574"/>
      <c r="Z797" s="2574"/>
      <c r="AA797" s="2574"/>
      <c r="AB797" s="2574"/>
      <c r="AC797" s="2574"/>
      <c r="AD797" s="2574"/>
      <c r="AE797" s="2574"/>
      <c r="AF797" s="2574"/>
      <c r="AG797" s="2574"/>
      <c r="AH797" s="2574"/>
      <c r="AI797" s="2574"/>
      <c r="AJ797" s="2574"/>
      <c r="AK797" s="2574"/>
      <c r="AL797" s="2574"/>
      <c r="AM797" s="2574"/>
    </row>
    <row r="798" spans="1:81">
      <c r="A798" s="2575"/>
      <c r="B798" s="2575"/>
      <c r="C798" s="2575"/>
      <c r="D798" s="2575"/>
      <c r="E798" s="2575"/>
      <c r="F798" s="2575"/>
      <c r="G798" s="2575"/>
      <c r="H798" s="2575"/>
      <c r="I798" s="2575"/>
      <c r="J798" s="2575"/>
      <c r="K798" s="2575"/>
      <c r="L798" s="2575"/>
      <c r="M798" s="2575"/>
      <c r="N798" s="2575"/>
      <c r="O798" s="2575"/>
      <c r="P798" s="2575"/>
      <c r="Q798" s="2575"/>
      <c r="R798" s="2575"/>
      <c r="S798" s="2575"/>
      <c r="T798" s="2575"/>
      <c r="U798" s="2575"/>
      <c r="V798" s="2575"/>
      <c r="W798" s="2575"/>
      <c r="X798" s="2575"/>
      <c r="Y798" s="2575"/>
      <c r="Z798" s="2575"/>
      <c r="AA798" s="2575"/>
      <c r="AB798" s="2575"/>
      <c r="AC798" s="2575"/>
      <c r="AD798" s="2575"/>
      <c r="AE798" s="2575"/>
      <c r="AF798" s="2575"/>
      <c r="AG798" s="2575"/>
      <c r="AH798" s="2575"/>
      <c r="AI798" s="2575"/>
      <c r="AJ798" s="2575"/>
      <c r="AK798" s="2575"/>
      <c r="AL798" s="2575"/>
      <c r="AM798" s="2575"/>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1"/>
      <c r="B800" s="2521"/>
      <c r="C800" s="2521"/>
      <c r="D800" s="2521"/>
      <c r="E800" s="2521"/>
      <c r="F800" s="2521"/>
      <c r="G800" s="2521"/>
      <c r="H800" s="2521"/>
      <c r="I800" s="2521"/>
      <c r="J800" s="2521"/>
      <c r="K800" s="2521"/>
      <c r="L800" s="2521"/>
      <c r="M800" s="2521"/>
      <c r="N800" s="2521"/>
      <c r="O800" s="2521"/>
      <c r="P800" s="2521"/>
      <c r="Q800" s="2521"/>
      <c r="R800" s="2521"/>
      <c r="S800" s="2521"/>
      <c r="T800" s="2521"/>
      <c r="U800" s="2521"/>
      <c r="V800" s="2521"/>
      <c r="W800" s="2521"/>
      <c r="X800" s="2521"/>
      <c r="Y800" s="2521"/>
      <c r="Z800" s="2521"/>
      <c r="AA800" s="2521"/>
      <c r="AB800" s="2521"/>
      <c r="AC800" s="2521"/>
      <c r="AD800" s="2521"/>
      <c r="AE800" s="2521"/>
      <c r="AF800" s="2521"/>
      <c r="AG800" s="2521"/>
      <c r="AH800" s="2521"/>
      <c r="AI800" s="2521"/>
      <c r="AJ800" s="2521"/>
      <c r="AK800" s="2521"/>
      <c r="AL800" s="2521"/>
      <c r="AM800" s="2521"/>
      <c r="AP800" s="816"/>
      <c r="AQ800" s="816"/>
    </row>
    <row r="801" spans="1:81">
      <c r="A801" s="2521"/>
      <c r="B801" s="2521"/>
      <c r="C801" s="2521"/>
      <c r="D801" s="2521"/>
      <c r="E801" s="2521"/>
      <c r="F801" s="2521"/>
      <c r="G801" s="2521"/>
      <c r="H801" s="2521"/>
      <c r="I801" s="2521"/>
      <c r="J801" s="2521"/>
      <c r="K801" s="2521"/>
      <c r="L801" s="2521"/>
      <c r="M801" s="2521"/>
      <c r="N801" s="2521"/>
      <c r="O801" s="2521"/>
      <c r="P801" s="2521"/>
      <c r="Q801" s="2521"/>
      <c r="R801" s="2521"/>
      <c r="S801" s="2521"/>
      <c r="T801" s="2521"/>
      <c r="U801" s="2521"/>
      <c r="V801" s="2521"/>
      <c r="W801" s="2521"/>
      <c r="X801" s="2521"/>
      <c r="Y801" s="2521"/>
      <c r="Z801" s="2521"/>
      <c r="AA801" s="2521"/>
      <c r="AB801" s="2521"/>
      <c r="AC801" s="2521"/>
      <c r="AD801" s="2521"/>
      <c r="AE801" s="2521"/>
      <c r="AF801" s="2521"/>
      <c r="AG801" s="2521"/>
      <c r="AH801" s="2521"/>
      <c r="AI801" s="2521"/>
      <c r="AJ801" s="2521"/>
      <c r="AK801" s="2521"/>
      <c r="AL801" s="2521"/>
      <c r="AM801" s="252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6" t="s">
        <v>1569</v>
      </c>
      <c r="U802" s="2577"/>
      <c r="V802" s="2577"/>
      <c r="W802" s="2577"/>
      <c r="X802" s="2577"/>
      <c r="Y802" s="2578"/>
      <c r="Z802" s="2576" t="s">
        <v>1570</v>
      </c>
      <c r="AA802" s="2577"/>
      <c r="AB802" s="2577"/>
      <c r="AC802" s="2577"/>
      <c r="AD802" s="2577"/>
      <c r="AE802" s="2578"/>
      <c r="AF802" s="2576" t="s">
        <v>1571</v>
      </c>
      <c r="AG802" s="2577"/>
      <c r="AH802" s="2577"/>
      <c r="AI802" s="2577"/>
      <c r="AJ802" s="2577"/>
      <c r="AK802" s="2578"/>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9"/>
      <c r="U803" s="2580"/>
      <c r="V803" s="2580"/>
      <c r="W803" s="2580"/>
      <c r="X803" s="2580"/>
      <c r="Y803" s="2581"/>
      <c r="Z803" s="2579"/>
      <c r="AA803" s="2580"/>
      <c r="AB803" s="2580"/>
      <c r="AC803" s="2580"/>
      <c r="AD803" s="2580"/>
      <c r="AE803" s="2581"/>
      <c r="AF803" s="2579"/>
      <c r="AG803" s="2580"/>
      <c r="AH803" s="2580"/>
      <c r="AI803" s="2580"/>
      <c r="AJ803" s="2580"/>
      <c r="AK803" s="2581"/>
      <c r="AL803" s="818"/>
      <c r="AM803" s="596"/>
      <c r="AO803" s="816"/>
      <c r="AP803" s="816"/>
      <c r="AQ803" s="816"/>
    </row>
    <row r="804" spans="1:81">
      <c r="A804" s="819" t="s">
        <v>757</v>
      </c>
      <c r="B804" s="2556" t="s">
        <v>1304</v>
      </c>
      <c r="C804" s="2556"/>
      <c r="D804" s="2556"/>
      <c r="E804" s="2556"/>
      <c r="F804" s="2556"/>
      <c r="G804" s="2556"/>
      <c r="H804" s="2556"/>
      <c r="I804" s="2556"/>
      <c r="J804" s="2556"/>
      <c r="K804" s="2556"/>
      <c r="L804" s="2556"/>
      <c r="M804" s="2556"/>
      <c r="N804" s="2556"/>
      <c r="O804" s="2556"/>
      <c r="P804" s="2556"/>
      <c r="Q804" s="2556"/>
      <c r="R804" s="2556"/>
      <c r="S804" s="2557"/>
      <c r="T804" s="2558">
        <f>AK62</f>
        <v>0</v>
      </c>
      <c r="U804" s="2559"/>
      <c r="V804" s="2559"/>
      <c r="W804" s="2559"/>
      <c r="X804" s="2559"/>
      <c r="Y804" s="2560"/>
      <c r="Z804" s="2561">
        <v>20</v>
      </c>
      <c r="AA804" s="2559"/>
      <c r="AB804" s="2559"/>
      <c r="AC804" s="2559"/>
      <c r="AD804" s="2559"/>
      <c r="AE804" s="2560"/>
      <c r="AF804" s="2542">
        <f>IF(T804&gt;Z804,Z804,T804)</f>
        <v>0</v>
      </c>
      <c r="AG804" s="2542"/>
      <c r="AH804" s="2542"/>
      <c r="AI804" s="2542"/>
      <c r="AJ804" s="2542"/>
      <c r="AK804" s="2542"/>
      <c r="AL804" s="818"/>
      <c r="AM804" s="596"/>
      <c r="AO804" s="816"/>
      <c r="AP804" s="816"/>
      <c r="AQ804" s="816"/>
    </row>
    <row r="805" spans="1:81">
      <c r="A805" s="819" t="s">
        <v>1541</v>
      </c>
      <c r="B805" s="2556" t="s">
        <v>1313</v>
      </c>
      <c r="C805" s="2556"/>
      <c r="D805" s="2556"/>
      <c r="E805" s="2556"/>
      <c r="F805" s="2556"/>
      <c r="G805" s="2556"/>
      <c r="H805" s="2556"/>
      <c r="I805" s="2556"/>
      <c r="J805" s="2556"/>
      <c r="K805" s="2556"/>
      <c r="L805" s="2556"/>
      <c r="M805" s="2556"/>
      <c r="N805" s="2556"/>
      <c r="O805" s="2556"/>
      <c r="P805" s="2556"/>
      <c r="Q805" s="2556"/>
      <c r="R805" s="2556"/>
      <c r="S805" s="2557"/>
      <c r="T805" s="2558">
        <f>AK84</f>
        <v>10</v>
      </c>
      <c r="U805" s="2559"/>
      <c r="V805" s="2559"/>
      <c r="W805" s="2559"/>
      <c r="X805" s="2559"/>
      <c r="Y805" s="2560"/>
      <c r="Z805" s="2561">
        <v>10</v>
      </c>
      <c r="AA805" s="2559"/>
      <c r="AB805" s="2559"/>
      <c r="AC805" s="2559"/>
      <c r="AD805" s="2559"/>
      <c r="AE805" s="2560"/>
      <c r="AF805" s="2542">
        <f>IF(T805&gt;Z805,Z805,T805)</f>
        <v>10</v>
      </c>
      <c r="AG805" s="2542"/>
      <c r="AH805" s="2542"/>
      <c r="AI805" s="2542"/>
      <c r="AJ805" s="2542"/>
      <c r="AK805" s="2542"/>
      <c r="AL805" s="818"/>
      <c r="AM805" s="596"/>
      <c r="AO805" s="816"/>
      <c r="AP805" s="816"/>
      <c r="AQ805" s="816"/>
    </row>
    <row r="806" spans="1:81">
      <c r="A806" s="819" t="s">
        <v>1550</v>
      </c>
      <c r="B806" s="2556" t="s">
        <v>1323</v>
      </c>
      <c r="C806" s="2556"/>
      <c r="D806" s="2556"/>
      <c r="E806" s="2556"/>
      <c r="F806" s="2556"/>
      <c r="G806" s="2556"/>
      <c r="H806" s="2556"/>
      <c r="I806" s="2556"/>
      <c r="J806" s="2556"/>
      <c r="K806" s="2556"/>
      <c r="L806" s="2556"/>
      <c r="M806" s="2556"/>
      <c r="N806" s="2556"/>
      <c r="O806" s="2556"/>
      <c r="P806" s="2556"/>
      <c r="Q806" s="2556"/>
      <c r="R806" s="2556"/>
      <c r="S806" s="2557"/>
      <c r="T806" s="2558">
        <f ca="1">AK109</f>
        <v>20</v>
      </c>
      <c r="U806" s="2559"/>
      <c r="V806" s="2559"/>
      <c r="W806" s="2559"/>
      <c r="X806" s="2559"/>
      <c r="Y806" s="2560"/>
      <c r="Z806" s="2561">
        <v>20</v>
      </c>
      <c r="AA806" s="2559"/>
      <c r="AB806" s="2559"/>
      <c r="AC806" s="2559"/>
      <c r="AD806" s="2559"/>
      <c r="AE806" s="2560"/>
      <c r="AF806" s="2542">
        <f ca="1">IF(T806&gt;Z806,Z806,T806)</f>
        <v>20</v>
      </c>
      <c r="AG806" s="2542"/>
      <c r="AH806" s="2542"/>
      <c r="AI806" s="2542"/>
      <c r="AJ806" s="2542"/>
      <c r="AK806" s="2542"/>
      <c r="AL806" s="818"/>
      <c r="AM806" s="596"/>
      <c r="AO806" s="816"/>
      <c r="AP806" s="816"/>
      <c r="AQ806" s="816"/>
    </row>
    <row r="807" spans="1:81">
      <c r="A807" s="819" t="s">
        <v>1572</v>
      </c>
      <c r="B807" s="2556" t="s">
        <v>1333</v>
      </c>
      <c r="C807" s="2556"/>
      <c r="D807" s="2556"/>
      <c r="E807" s="2556"/>
      <c r="F807" s="2556"/>
      <c r="G807" s="2556"/>
      <c r="H807" s="2556"/>
      <c r="I807" s="2556"/>
      <c r="J807" s="2556"/>
      <c r="K807" s="2556"/>
      <c r="L807" s="2556"/>
      <c r="M807" s="2556"/>
      <c r="N807" s="2556"/>
      <c r="O807" s="2556"/>
      <c r="P807" s="2556"/>
      <c r="Q807" s="2556"/>
      <c r="R807" s="2556"/>
      <c r="S807" s="2557"/>
      <c r="T807" s="2558">
        <f>AK143</f>
        <v>10</v>
      </c>
      <c r="U807" s="2559"/>
      <c r="V807" s="2559"/>
      <c r="W807" s="2559"/>
      <c r="X807" s="2559"/>
      <c r="Y807" s="2560"/>
      <c r="Z807" s="2561">
        <v>10</v>
      </c>
      <c r="AA807" s="2559"/>
      <c r="AB807" s="2559"/>
      <c r="AC807" s="2559"/>
      <c r="AD807" s="2559"/>
      <c r="AE807" s="2560"/>
      <c r="AF807" s="2542">
        <f>IF(T807&gt;Z807,Z807,T807)</f>
        <v>10</v>
      </c>
      <c r="AG807" s="2542"/>
      <c r="AH807" s="2542"/>
      <c r="AI807" s="2542"/>
      <c r="AJ807" s="2542"/>
      <c r="AK807" s="2542"/>
      <c r="AL807" s="818"/>
      <c r="AM807" s="596"/>
      <c r="AO807" s="816"/>
      <c r="AP807" s="816"/>
      <c r="AQ807" s="816"/>
    </row>
    <row r="808" spans="1:81">
      <c r="A808" s="820" t="s">
        <v>1573</v>
      </c>
      <c r="B808" s="2556" t="s">
        <v>1574</v>
      </c>
      <c r="C808" s="2556"/>
      <c r="D808" s="2556"/>
      <c r="E808" s="2556"/>
      <c r="F808" s="2556"/>
      <c r="G808" s="2556"/>
      <c r="H808" s="2556"/>
      <c r="I808" s="2556"/>
      <c r="J808" s="2556"/>
      <c r="K808" s="2556"/>
      <c r="L808" s="2556"/>
      <c r="M808" s="2556"/>
      <c r="N808" s="2556"/>
      <c r="O808" s="2556"/>
      <c r="P808" s="2556"/>
      <c r="Q808" s="2556"/>
      <c r="R808" s="2556"/>
      <c r="S808" s="2557"/>
      <c r="T808" s="2582">
        <f>SUM(T809:Y810)</f>
        <v>10</v>
      </c>
      <c r="U808" s="2582"/>
      <c r="V808" s="2582"/>
      <c r="W808" s="2582"/>
      <c r="X808" s="2582"/>
      <c r="Y808" s="2582"/>
      <c r="Z808" s="2542">
        <v>10</v>
      </c>
      <c r="AA808" s="2542"/>
      <c r="AB808" s="2542"/>
      <c r="AC808" s="2542"/>
      <c r="AD808" s="2542"/>
      <c r="AE808" s="2542"/>
      <c r="AF808" s="2542">
        <f>IF(T808&gt;Z808,Z808,T808)</f>
        <v>10</v>
      </c>
      <c r="AG808" s="2542"/>
      <c r="AH808" s="2542"/>
      <c r="AI808" s="2542"/>
      <c r="AJ808" s="2542"/>
      <c r="AK808" s="2542"/>
      <c r="AL808" s="818"/>
      <c r="AM808" s="596"/>
    </row>
    <row r="809" spans="1:81">
      <c r="A809" s="535"/>
      <c r="B809" s="601"/>
      <c r="C809" s="2583" t="s">
        <v>1575</v>
      </c>
      <c r="D809" s="2583"/>
      <c r="E809" s="2583"/>
      <c r="F809" s="2583"/>
      <c r="G809" s="2583"/>
      <c r="H809" s="2583"/>
      <c r="I809" s="2583"/>
      <c r="J809" s="2583"/>
      <c r="K809" s="2583"/>
      <c r="L809" s="2583"/>
      <c r="M809" s="2583"/>
      <c r="N809" s="2583"/>
      <c r="O809" s="2583"/>
      <c r="P809" s="2583"/>
      <c r="Q809" s="2583"/>
      <c r="R809" s="2583"/>
      <c r="S809" s="2584"/>
      <c r="T809" s="2475">
        <f>AJ166</f>
        <v>7</v>
      </c>
      <c r="U809" s="2475"/>
      <c r="V809" s="2475"/>
      <c r="W809" s="2475"/>
      <c r="X809" s="2475"/>
      <c r="Y809" s="2475"/>
      <c r="Z809" s="2476">
        <v>7</v>
      </c>
      <c r="AA809" s="2476"/>
      <c r="AB809" s="2476"/>
      <c r="AC809" s="2476"/>
      <c r="AD809" s="2476"/>
      <c r="AE809" s="2476"/>
      <c r="AF809" s="2585"/>
      <c r="AG809" s="2585"/>
      <c r="AH809" s="2585"/>
      <c r="AI809" s="2585"/>
      <c r="AJ809" s="2585"/>
      <c r="AK809" s="2585"/>
      <c r="AL809" s="818"/>
      <c r="AM809" s="596"/>
    </row>
    <row r="810" spans="1:81">
      <c r="A810" s="600"/>
      <c r="B810" s="601"/>
      <c r="C810" s="2583" t="s">
        <v>1576</v>
      </c>
      <c r="D810" s="2583"/>
      <c r="E810" s="2583"/>
      <c r="F810" s="2583"/>
      <c r="G810" s="2583"/>
      <c r="H810" s="2583"/>
      <c r="I810" s="2583"/>
      <c r="J810" s="2583"/>
      <c r="K810" s="2583"/>
      <c r="L810" s="2583"/>
      <c r="M810" s="2583"/>
      <c r="N810" s="2583"/>
      <c r="O810" s="2583"/>
      <c r="P810" s="2583"/>
      <c r="Q810" s="2583"/>
      <c r="R810" s="2583"/>
      <c r="S810" s="2584"/>
      <c r="T810" s="2475">
        <f>AJ180</f>
        <v>3</v>
      </c>
      <c r="U810" s="2475"/>
      <c r="V810" s="2475"/>
      <c r="W810" s="2475"/>
      <c r="X810" s="2475"/>
      <c r="Y810" s="2475"/>
      <c r="Z810" s="2476">
        <v>3</v>
      </c>
      <c r="AA810" s="2476"/>
      <c r="AB810" s="2476"/>
      <c r="AC810" s="2476"/>
      <c r="AD810" s="2476"/>
      <c r="AE810" s="2476"/>
      <c r="AF810" s="2585"/>
      <c r="AG810" s="2585"/>
      <c r="AH810" s="2585"/>
      <c r="AI810" s="2585"/>
      <c r="AJ810" s="2585"/>
      <c r="AK810" s="2585"/>
      <c r="AL810" s="818"/>
      <c r="AM810" s="596"/>
      <c r="AO810" s="550"/>
    </row>
    <row r="811" spans="1:81">
      <c r="A811" s="820" t="s">
        <v>1361</v>
      </c>
      <c r="B811" s="2556" t="s">
        <v>1577</v>
      </c>
      <c r="C811" s="2556"/>
      <c r="D811" s="2556"/>
      <c r="E811" s="2556"/>
      <c r="F811" s="2556"/>
      <c r="G811" s="2556"/>
      <c r="H811" s="2556"/>
      <c r="I811" s="2556"/>
      <c r="J811" s="2556"/>
      <c r="K811" s="2556"/>
      <c r="L811" s="2556"/>
      <c r="M811" s="2556"/>
      <c r="N811" s="2556"/>
      <c r="O811" s="2556"/>
      <c r="P811" s="2556"/>
      <c r="Q811" s="2556"/>
      <c r="R811" s="2556"/>
      <c r="S811" s="2557"/>
      <c r="T811" s="2582">
        <f>AK191</f>
        <v>10</v>
      </c>
      <c r="U811" s="2582"/>
      <c r="V811" s="2582"/>
      <c r="W811" s="2582"/>
      <c r="X811" s="2582"/>
      <c r="Y811" s="2582"/>
      <c r="Z811" s="2542">
        <v>10</v>
      </c>
      <c r="AA811" s="2542"/>
      <c r="AB811" s="2542"/>
      <c r="AC811" s="2542"/>
      <c r="AD811" s="2542"/>
      <c r="AE811" s="2542"/>
      <c r="AF811" s="2542">
        <f>IF(T811&gt;Z811,Z811,T811)</f>
        <v>10</v>
      </c>
      <c r="AG811" s="2542"/>
      <c r="AH811" s="2542"/>
      <c r="AI811" s="2542"/>
      <c r="AJ811" s="2542"/>
      <c r="AK811" s="2542"/>
      <c r="AL811" s="818"/>
      <c r="AM811" s="596"/>
    </row>
    <row r="812" spans="1:81">
      <c r="A812" s="819" t="s">
        <v>1370</v>
      </c>
      <c r="B812" s="2556" t="s">
        <v>1371</v>
      </c>
      <c r="C812" s="2556"/>
      <c r="D812" s="2556"/>
      <c r="E812" s="2556"/>
      <c r="F812" s="2556"/>
      <c r="G812" s="2556"/>
      <c r="H812" s="2556"/>
      <c r="I812" s="2556"/>
      <c r="J812" s="2556"/>
      <c r="K812" s="2556"/>
      <c r="L812" s="2556"/>
      <c r="M812" s="2556"/>
      <c r="N812" s="2556"/>
      <c r="O812" s="2556"/>
      <c r="P812" s="2556"/>
      <c r="Q812" s="2556"/>
      <c r="R812" s="2556"/>
      <c r="S812" s="2557"/>
      <c r="T812" s="2582">
        <f>AK273</f>
        <v>8</v>
      </c>
      <c r="U812" s="2582"/>
      <c r="V812" s="2582"/>
      <c r="W812" s="2582"/>
      <c r="X812" s="2582"/>
      <c r="Y812" s="2582"/>
      <c r="Z812" s="2561">
        <v>8</v>
      </c>
      <c r="AA812" s="2559"/>
      <c r="AB812" s="2559"/>
      <c r="AC812" s="2559"/>
      <c r="AD812" s="2559"/>
      <c r="AE812" s="2560"/>
      <c r="AF812" s="2542">
        <f>IF(T812&gt;Z812,Z812,T812)</f>
        <v>8</v>
      </c>
      <c r="AG812" s="2542"/>
      <c r="AH812" s="2542"/>
      <c r="AI812" s="2542"/>
      <c r="AJ812" s="2542"/>
      <c r="AK812" s="2542"/>
      <c r="AL812" s="818"/>
      <c r="AM812" s="596"/>
    </row>
    <row r="813" spans="1:81" s="534" customFormat="1" hidden="1">
      <c r="A813" s="820" t="s">
        <v>589</v>
      </c>
      <c r="B813" s="2556" t="s">
        <v>1578</v>
      </c>
      <c r="C813" s="2556"/>
      <c r="D813" s="2556"/>
      <c r="E813" s="2556"/>
      <c r="F813" s="2556"/>
      <c r="G813" s="2556"/>
      <c r="H813" s="2556"/>
      <c r="I813" s="2556"/>
      <c r="J813" s="2556"/>
      <c r="K813" s="2556"/>
      <c r="L813" s="2556"/>
      <c r="M813" s="2556"/>
      <c r="N813" s="2556"/>
      <c r="O813" s="2556"/>
      <c r="P813" s="2556"/>
      <c r="Q813" s="2556"/>
      <c r="R813" s="2556"/>
      <c r="S813" s="2557"/>
      <c r="T813" s="2582">
        <f>IF(AK535&gt;5,5,AK535)</f>
        <v>0</v>
      </c>
      <c r="U813" s="2582"/>
      <c r="V813" s="2582"/>
      <c r="W813" s="2582"/>
      <c r="X813" s="2582"/>
      <c r="Y813" s="2582"/>
      <c r="Z813" s="2542">
        <v>5</v>
      </c>
      <c r="AA813" s="2542"/>
      <c r="AB813" s="2542"/>
      <c r="AC813" s="2542"/>
      <c r="AD813" s="2542"/>
      <c r="AE813" s="2542"/>
      <c r="AF813" s="2542">
        <f>IF(T813&gt;Z813,5,T813)</f>
        <v>0</v>
      </c>
      <c r="AG813" s="2542"/>
      <c r="AH813" s="2542"/>
      <c r="AI813" s="2542"/>
      <c r="AJ813" s="2542"/>
      <c r="AK813" s="2542"/>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6" t="s">
        <v>1579</v>
      </c>
      <c r="C814" s="2556"/>
      <c r="D814" s="2556"/>
      <c r="E814" s="2556"/>
      <c r="F814" s="2556"/>
      <c r="G814" s="2556"/>
      <c r="H814" s="2556"/>
      <c r="I814" s="2556"/>
      <c r="J814" s="2556"/>
      <c r="K814" s="2556"/>
      <c r="L814" s="2556"/>
      <c r="M814" s="2556"/>
      <c r="N814" s="2556"/>
      <c r="O814" s="2556"/>
      <c r="P814" s="2556"/>
      <c r="Q814" s="2556"/>
      <c r="R814" s="2556"/>
      <c r="S814" s="2557"/>
      <c r="T814" s="2582">
        <f>AK285</f>
        <v>10</v>
      </c>
      <c r="U814" s="2582"/>
      <c r="V814" s="2582"/>
      <c r="W814" s="2582"/>
      <c r="X814" s="2582"/>
      <c r="Y814" s="2582"/>
      <c r="Z814" s="2542">
        <v>10</v>
      </c>
      <c r="AA814" s="2542"/>
      <c r="AB814" s="2542"/>
      <c r="AC814" s="2542"/>
      <c r="AD814" s="2542"/>
      <c r="AE814" s="2542"/>
      <c r="AF814" s="2588">
        <f>IF(T814&gt;Z814,Z814,T814)</f>
        <v>10</v>
      </c>
      <c r="AG814" s="2589"/>
      <c r="AH814" s="2589"/>
      <c r="AI814" s="2589"/>
      <c r="AJ814" s="2589"/>
      <c r="AK814" s="2590"/>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6" t="s">
        <v>1381</v>
      </c>
      <c r="C815" s="2556"/>
      <c r="D815" s="2556"/>
      <c r="E815" s="2556"/>
      <c r="F815" s="2556"/>
      <c r="G815" s="2556"/>
      <c r="H815" s="2556"/>
      <c r="I815" s="2556"/>
      <c r="J815" s="2556"/>
      <c r="K815" s="2556"/>
      <c r="L815" s="2556"/>
      <c r="M815" s="2556"/>
      <c r="N815" s="2556"/>
      <c r="O815" s="2556"/>
      <c r="P815" s="2556"/>
      <c r="Q815" s="2556"/>
      <c r="R815" s="2556"/>
      <c r="S815" s="2557"/>
      <c r="T815" s="2582">
        <f>AK338</f>
        <v>10</v>
      </c>
      <c r="U815" s="2582"/>
      <c r="V815" s="2582"/>
      <c r="W815" s="2582"/>
      <c r="X815" s="2582"/>
      <c r="Y815" s="2582"/>
      <c r="Z815" s="2588">
        <v>10</v>
      </c>
      <c r="AA815" s="2589"/>
      <c r="AB815" s="2589"/>
      <c r="AC815" s="2589"/>
      <c r="AD815" s="2589"/>
      <c r="AE815" s="2590"/>
      <c r="AF815" s="2588">
        <f>IF(T815&gt;Z815,Z815,T815)</f>
        <v>10</v>
      </c>
      <c r="AG815" s="2589"/>
      <c r="AH815" s="2589"/>
      <c r="AI815" s="2589"/>
      <c r="AJ815" s="2589"/>
      <c r="AK815" s="2590"/>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5">
        <f>AK338</f>
        <v>10</v>
      </c>
      <c r="U816" s="2475"/>
      <c r="V816" s="2475"/>
      <c r="W816" s="2475"/>
      <c r="X816" s="2475"/>
      <c r="Y816" s="2475"/>
      <c r="Z816" s="2480">
        <v>20</v>
      </c>
      <c r="AA816" s="2481"/>
      <c r="AB816" s="2481"/>
      <c r="AC816" s="2481"/>
      <c r="AD816" s="2481"/>
      <c r="AE816" s="2482"/>
      <c r="AF816" s="2585"/>
      <c r="AG816" s="2585"/>
      <c r="AH816" s="2585"/>
      <c r="AI816" s="2585"/>
      <c r="AJ816" s="2585"/>
      <c r="AK816" s="2585"/>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6" t="s">
        <v>845</v>
      </c>
      <c r="C817" s="2556"/>
      <c r="D817" s="2556"/>
      <c r="E817" s="2556"/>
      <c r="F817" s="2556"/>
      <c r="G817" s="2556"/>
      <c r="H817" s="2556"/>
      <c r="I817" s="2556"/>
      <c r="J817" s="2556"/>
      <c r="K817" s="2556"/>
      <c r="L817" s="2556"/>
      <c r="M817" s="2556"/>
      <c r="N817" s="2556"/>
      <c r="O817" s="2556"/>
      <c r="P817" s="2556"/>
      <c r="Q817" s="2556"/>
      <c r="R817" s="2556"/>
      <c r="S817" s="2557"/>
      <c r="T817" s="2582">
        <f>AK469</f>
        <v>12</v>
      </c>
      <c r="U817" s="2582"/>
      <c r="V817" s="2582"/>
      <c r="W817" s="2582"/>
      <c r="X817" s="2582"/>
      <c r="Y817" s="2582"/>
      <c r="Z817" s="2588">
        <v>10</v>
      </c>
      <c r="AA817" s="2589"/>
      <c r="AB817" s="2589"/>
      <c r="AC817" s="2589"/>
      <c r="AD817" s="2589"/>
      <c r="AE817" s="2590"/>
      <c r="AF817" s="2542">
        <f>IF(T817&gt;Z817,Z817,T817)</f>
        <v>10</v>
      </c>
      <c r="AG817" s="2542"/>
      <c r="AH817" s="2542"/>
      <c r="AI817" s="2542"/>
      <c r="AJ817" s="2542"/>
      <c r="AK817" s="2542"/>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6" t="s">
        <v>1559</v>
      </c>
      <c r="C818" s="2556"/>
      <c r="D818" s="2556"/>
      <c r="E818" s="2556"/>
      <c r="F818" s="2556"/>
      <c r="G818" s="2556"/>
      <c r="H818" s="2556"/>
      <c r="I818" s="2556"/>
      <c r="J818" s="2556"/>
      <c r="K818" s="2556"/>
      <c r="L818" s="2556"/>
      <c r="M818" s="2556"/>
      <c r="N818" s="2556"/>
      <c r="O818" s="2556"/>
      <c r="P818" s="2556"/>
      <c r="Q818" s="2556"/>
      <c r="R818" s="2556"/>
      <c r="S818" s="2557"/>
      <c r="T818" s="2582">
        <f>AK559</f>
        <v>12</v>
      </c>
      <c r="U818" s="2582"/>
      <c r="V818" s="2582"/>
      <c r="W818" s="2582"/>
      <c r="X818" s="2582"/>
      <c r="Y818" s="2582"/>
      <c r="Z818" s="2588">
        <v>12</v>
      </c>
      <c r="AA818" s="2589"/>
      <c r="AB818" s="2589"/>
      <c r="AC818" s="2589"/>
      <c r="AD818" s="2589"/>
      <c r="AE818" s="2590"/>
      <c r="AF818" s="2542">
        <f>IF(T818&gt;Z818,Z818,T818)</f>
        <v>12</v>
      </c>
      <c r="AG818" s="2542"/>
      <c r="AH818" s="2542"/>
      <c r="AI818" s="2542"/>
      <c r="AJ818" s="2542"/>
      <c r="AK818" s="2542"/>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6" t="s">
        <v>1581</v>
      </c>
      <c r="C819" s="2556"/>
      <c r="D819" s="2556"/>
      <c r="E819" s="2556"/>
      <c r="F819" s="2556"/>
      <c r="G819" s="2556"/>
      <c r="H819" s="2556"/>
      <c r="I819" s="2556"/>
      <c r="J819" s="2556"/>
      <c r="K819" s="2556"/>
      <c r="L819" s="2556"/>
      <c r="M819" s="2556"/>
      <c r="N819" s="2556"/>
      <c r="O819" s="2556"/>
      <c r="P819" s="2556"/>
      <c r="Q819" s="2556"/>
      <c r="R819" s="2556"/>
      <c r="S819" s="2557"/>
      <c r="T819" s="2582">
        <f>AK794</f>
        <v>10</v>
      </c>
      <c r="U819" s="2582"/>
      <c r="V819" s="2582"/>
      <c r="W819" s="2582"/>
      <c r="X819" s="2582"/>
      <c r="Y819" s="2582"/>
      <c r="Z819" s="2588">
        <v>10</v>
      </c>
      <c r="AA819" s="2589"/>
      <c r="AB819" s="2589"/>
      <c r="AC819" s="2589"/>
      <c r="AD819" s="2589"/>
      <c r="AE819" s="2590"/>
      <c r="AF819" s="2542">
        <f>IF(T819&gt;Z819,Z819,T819)</f>
        <v>10</v>
      </c>
      <c r="AG819" s="2542"/>
      <c r="AH819" s="2542"/>
      <c r="AI819" s="2542"/>
      <c r="AJ819" s="2542"/>
      <c r="AK819" s="2542"/>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6" t="s">
        <v>1582</v>
      </c>
      <c r="B820" s="2556"/>
      <c r="C820" s="2556"/>
      <c r="D820" s="2556"/>
      <c r="E820" s="2556"/>
      <c r="F820" s="2556"/>
      <c r="G820" s="2556"/>
      <c r="H820" s="2556"/>
      <c r="I820" s="2556"/>
      <c r="J820" s="2556"/>
      <c r="K820" s="2556"/>
      <c r="L820" s="2556"/>
      <c r="M820" s="2556"/>
      <c r="N820" s="2556"/>
      <c r="O820" s="2556"/>
      <c r="P820" s="2556"/>
      <c r="Q820" s="2556"/>
      <c r="R820" s="2556"/>
      <c r="S820" s="2557"/>
      <c r="T820" s="2587"/>
      <c r="U820" s="2587"/>
      <c r="V820" s="2587"/>
      <c r="W820" s="2587"/>
      <c r="X820" s="2587"/>
      <c r="Y820" s="2587"/>
      <c r="Z820" s="2476" t="s">
        <v>1583</v>
      </c>
      <c r="AA820" s="2476"/>
      <c r="AB820" s="2476"/>
      <c r="AC820" s="2476"/>
      <c r="AD820" s="2476"/>
      <c r="AE820" s="2476"/>
      <c r="AF820" s="2588">
        <f>IF(T820&gt;0,T820,0)</f>
        <v>0</v>
      </c>
      <c r="AG820" s="2589"/>
      <c r="AH820" s="2589"/>
      <c r="AI820" s="2589"/>
      <c r="AJ820" s="2589"/>
      <c r="AK820" s="2590"/>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1" t="s">
        <v>1584</v>
      </c>
      <c r="B821" s="2592"/>
      <c r="C821" s="2592"/>
      <c r="D821" s="2592"/>
      <c r="E821" s="2592"/>
      <c r="F821" s="2592"/>
      <c r="G821" s="2592"/>
      <c r="H821" s="2592"/>
      <c r="I821" s="2592"/>
      <c r="J821" s="2592"/>
      <c r="K821" s="2592"/>
      <c r="L821" s="2592"/>
      <c r="M821" s="2592"/>
      <c r="N821" s="2592"/>
      <c r="O821" s="2592"/>
      <c r="P821" s="2592"/>
      <c r="Q821" s="2592"/>
      <c r="R821" s="2592"/>
      <c r="S821" s="2592"/>
      <c r="T821" s="2592"/>
      <c r="U821" s="2592"/>
      <c r="V821" s="2592"/>
      <c r="W821" s="2592"/>
      <c r="X821" s="2592"/>
      <c r="Y821" s="2592"/>
      <c r="Z821" s="2592"/>
      <c r="AA821" s="2592"/>
      <c r="AB821" s="2592"/>
      <c r="AC821" s="2592"/>
      <c r="AD821" s="2592"/>
      <c r="AE821" s="2593"/>
      <c r="AF821" s="2597">
        <f ca="1">SUM(AF804:AK819)-AF820</f>
        <v>120</v>
      </c>
      <c r="AG821" s="2598"/>
      <c r="AH821" s="2598"/>
      <c r="AI821" s="2598"/>
      <c r="AJ821" s="2598"/>
      <c r="AK821" s="2599"/>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4"/>
      <c r="B822" s="2595"/>
      <c r="C822" s="2595"/>
      <c r="D822" s="2595"/>
      <c r="E822" s="2595"/>
      <c r="F822" s="2595"/>
      <c r="G822" s="2595"/>
      <c r="H822" s="2595"/>
      <c r="I822" s="2595"/>
      <c r="J822" s="2595"/>
      <c r="K822" s="2595"/>
      <c r="L822" s="2595"/>
      <c r="M822" s="2595"/>
      <c r="N822" s="2595"/>
      <c r="O822" s="2595"/>
      <c r="P822" s="2595"/>
      <c r="Q822" s="2595"/>
      <c r="R822" s="2595"/>
      <c r="S822" s="2595"/>
      <c r="T822" s="2595"/>
      <c r="U822" s="2595"/>
      <c r="V822" s="2595"/>
      <c r="W822" s="2595"/>
      <c r="X822" s="2595"/>
      <c r="Y822" s="2595"/>
      <c r="Z822" s="2595"/>
      <c r="AA822" s="2595"/>
      <c r="AB822" s="2595"/>
      <c r="AC822" s="2595"/>
      <c r="AD822" s="2595"/>
      <c r="AE822" s="2596"/>
      <c r="AF822" s="2600"/>
      <c r="AG822" s="2601"/>
      <c r="AH822" s="2601"/>
      <c r="AI822" s="2601"/>
      <c r="AJ822" s="2601"/>
      <c r="AK822" s="2602"/>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27</vt:i4>
      </vt:variant>
    </vt:vector>
  </HeadingPairs>
  <TitlesOfParts>
    <vt:vector size="41"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'CalHFA Addendum'!Print_Area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Dat Ksor</cp:lastModifiedBy>
  <cp:lastPrinted>2025-05-19T19:40:25Z</cp:lastPrinted>
  <dcterms:created xsi:type="dcterms:W3CDTF">2007-12-27T18:26:28Z</dcterms:created>
  <dcterms:modified xsi:type="dcterms:W3CDTF">2025-05-19T22:29:47Z</dcterms:modified>
</cp:coreProperties>
</file>