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Merced\I Street\Financing\CDLAC\2025 R2\Draft\"/>
    </mc:Choice>
  </mc:AlternateContent>
  <xr:revisionPtr revIDLastSave="0" documentId="13_ncr:1_{8249563E-FB66-4F13-9ED6-2F38EB36C099}" xr6:coauthVersionLast="47" xr6:coauthVersionMax="47" xr10:uidLastSave="{00000000-0000-0000-0000-000000000000}"/>
  <bookViews>
    <workbookView xWindow="14400" yWindow="0" windowWidth="14400" windowHeight="15600" firstSheet="4"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AB72" i="15" l="1"/>
  <c r="AB50" i="15"/>
  <c r="Z808" i="3" l="1"/>
  <c r="C88" i="4" l="1"/>
  <c r="S65" i="4"/>
  <c r="S49" i="4"/>
  <c r="C49" i="4"/>
  <c r="C65" i="4"/>
  <c r="AO640" i="3"/>
  <c r="C94" i="4"/>
  <c r="C93" i="4"/>
  <c r="C84" i="4"/>
  <c r="C13" i="4"/>
  <c r="C45" i="4"/>
  <c r="C85" i="4"/>
  <c r="E85" i="4" s="1"/>
  <c r="M958" i="3"/>
  <c r="W853" i="3"/>
  <c r="AA648" i="3"/>
  <c r="G671" i="3"/>
  <c r="G646" i="3"/>
  <c r="G645" i="3"/>
  <c r="G644" i="3"/>
  <c r="C629" i="3"/>
  <c r="C630" i="3"/>
  <c r="C631" i="3"/>
  <c r="C632" i="3"/>
  <c r="C633" i="3"/>
  <c r="C628" i="3"/>
  <c r="Q556" i="3"/>
  <c r="Q557" i="3"/>
  <c r="Q558" i="3"/>
  <c r="Q559" i="3"/>
  <c r="O526" i="3"/>
  <c r="O529" i="3"/>
  <c r="O523" i="3"/>
  <c r="O520" i="3"/>
  <c r="G122" i="21" l="1"/>
  <c r="AD202" i="20" l="1"/>
  <c r="AD201" i="20"/>
  <c r="AD200" i="20"/>
  <c r="AD199" i="20"/>
  <c r="B200" i="20"/>
  <c r="B201" i="20"/>
  <c r="B202" i="20"/>
  <c r="B199" i="20"/>
  <c r="E103" i="4" l="1"/>
  <c r="E102" i="4"/>
  <c r="E101" i="4"/>
  <c r="E100" i="4"/>
  <c r="E99" i="4"/>
  <c r="E95" i="4"/>
  <c r="E94" i="4"/>
  <c r="E93" i="4"/>
  <c r="E92" i="4"/>
  <c r="E91" i="4"/>
  <c r="E90" i="4"/>
  <c r="E89" i="4"/>
  <c r="E88" i="4"/>
  <c r="E87" i="4"/>
  <c r="E86"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30" i="4"/>
  <c r="E29" i="4"/>
  <c r="E27" i="4"/>
  <c r="E25" i="4"/>
  <c r="E24" i="4"/>
  <c r="E23" i="4"/>
  <c r="E22" i="4"/>
  <c r="E21" i="4"/>
  <c r="E20" i="4"/>
  <c r="E19" i="4"/>
  <c r="E18" i="4"/>
  <c r="E17" i="4"/>
  <c r="E15" i="4"/>
  <c r="E14" i="4"/>
  <c r="E13" i="4"/>
  <c r="E10" i="4"/>
  <c r="E9" i="4"/>
  <c r="E7" i="4"/>
  <c r="E6" i="4"/>
  <c r="E5" i="4"/>
  <c r="AF1027" i="3"/>
  <c r="Q831" i="3"/>
  <c r="Z663" i="3"/>
  <c r="Z655" i="3"/>
  <c r="G655" i="3"/>
  <c r="Q631" i="3"/>
  <c r="Q630" i="3"/>
  <c r="Q629" i="3"/>
  <c r="Q628" i="3"/>
  <c r="Q627" i="3"/>
  <c r="AG448" i="3"/>
  <c r="AG443" i="3"/>
  <c r="AG442" i="3"/>
  <c r="AG440" i="3"/>
  <c r="I421" i="3"/>
  <c r="AA249" i="3"/>
  <c r="Z247" i="3" l="1"/>
  <c r="U247" i="3"/>
  <c r="M248" i="3"/>
  <c r="M247" i="3"/>
  <c r="M246"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O49" i="21" l="1"/>
  <c r="S45" i="21"/>
  <c r="P49" i="21" a="1"/>
  <c r="P49" i="21" s="1"/>
  <c r="U53" i="21"/>
  <c r="U46" i="21"/>
  <c r="S46" i="21"/>
  <c r="R49" i="21" a="1"/>
  <c r="R49" i="21" s="1"/>
  <c r="U49" i="21"/>
  <c r="R48" i="21" a="1"/>
  <c r="R48" i="21" s="1"/>
  <c r="P51" i="21" a="1"/>
  <c r="P51" i="21" s="1"/>
  <c r="T46" i="21"/>
  <c r="U51" i="21"/>
  <c r="U45" i="21"/>
  <c r="R51" i="21" a="1"/>
  <c r="R51" i="21" s="1"/>
  <c r="U48" i="21"/>
  <c r="T45" i="21"/>
  <c r="O51" i="21"/>
  <c r="P48" i="21" a="1"/>
  <c r="P48" i="21" s="1"/>
  <c r="T53" i="21"/>
  <c r="R53" i="21" a="1"/>
  <c r="R53" i="21" s="1"/>
  <c r="S47" i="21"/>
  <c r="R47" i="21" a="1"/>
  <c r="R47" i="21" s="1"/>
  <c r="U50" i="21"/>
  <c r="S50" i="21"/>
  <c r="T48" i="21"/>
  <c r="S52" i="21"/>
  <c r="P50" i="21" a="1"/>
  <c r="P50" i="21" s="1"/>
  <c r="S48" i="21"/>
  <c r="P52" i="21" a="1"/>
  <c r="P52" i="21" s="1"/>
  <c r="O50"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B59" i="4"/>
  <c r="C80" i="11"/>
  <c r="C81" i="11"/>
  <c r="B80" i="11"/>
  <c r="B81" i="11"/>
  <c r="I96" i="13"/>
  <c r="J96" i="13"/>
  <c r="J81" i="13"/>
  <c r="I81" i="13"/>
  <c r="G81" i="13"/>
  <c r="F81" i="13"/>
  <c r="D81" i="13"/>
  <c r="C81" i="13"/>
  <c r="H80" i="13"/>
  <c r="B80" i="13"/>
  <c r="R80" i="4"/>
  <c r="S80" i="4" s="1"/>
  <c r="E80" i="13"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E90" i="13"/>
  <c r="E87" i="13"/>
  <c r="E65" i="13"/>
  <c r="E53" i="13"/>
  <c r="E49" i="13"/>
  <c r="E47" i="13"/>
  <c r="E46" i="13"/>
  <c r="E45" i="13"/>
  <c r="E37" i="13"/>
  <c r="E30"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S93" i="4" s="1"/>
  <c r="E93" i="13" s="1"/>
  <c r="R92" i="4"/>
  <c r="S92" i="4" s="1"/>
  <c r="E92" i="13" s="1"/>
  <c r="R90" i="4"/>
  <c r="R89" i="4"/>
  <c r="R88" i="4"/>
  <c r="R87" i="4"/>
  <c r="R86" i="4"/>
  <c r="S86" i="4" s="1"/>
  <c r="E86" i="13" s="1"/>
  <c r="R85" i="4"/>
  <c r="S85" i="4" s="1"/>
  <c r="E85" i="13" s="1"/>
  <c r="R83" i="4"/>
  <c r="R76" i="4"/>
  <c r="R75" i="4"/>
  <c r="R72" i="4"/>
  <c r="R73" i="4"/>
  <c r="R74" i="4"/>
  <c r="R69" i="4"/>
  <c r="R65" i="4"/>
  <c r="R61" i="4"/>
  <c r="R60" i="4"/>
  <c r="R59" i="4"/>
  <c r="R58" i="4"/>
  <c r="R57" i="4"/>
  <c r="R56" i="4"/>
  <c r="R53" i="4"/>
  <c r="R52" i="4"/>
  <c r="S52" i="4" s="1"/>
  <c r="E52" i="13" s="1"/>
  <c r="R51" i="4"/>
  <c r="S51" i="4" s="1"/>
  <c r="E51" i="13" s="1"/>
  <c r="R50" i="4"/>
  <c r="S50" i="4" s="1"/>
  <c r="E50" i="13" s="1"/>
  <c r="R49" i="4"/>
  <c r="R48" i="4"/>
  <c r="S48" i="4" s="1"/>
  <c r="R47" i="4"/>
  <c r="R46" i="4"/>
  <c r="R45" i="4"/>
  <c r="R43" i="4"/>
  <c r="S43" i="4" s="1"/>
  <c r="E43" i="13" s="1"/>
  <c r="R41" i="4"/>
  <c r="S41" i="4" s="1"/>
  <c r="E41" i="13" s="1"/>
  <c r="R40" i="4"/>
  <c r="S40" i="4" s="1"/>
  <c r="R37" i="4"/>
  <c r="R35" i="4"/>
  <c r="S35" i="4" s="1"/>
  <c r="E35" i="13" s="1"/>
  <c r="R34" i="4"/>
  <c r="S34" i="4" s="1"/>
  <c r="E34" i="13" s="1"/>
  <c r="R33" i="4"/>
  <c r="S33" i="4" s="1"/>
  <c r="E33" i="13" s="1"/>
  <c r="R32" i="4"/>
  <c r="S32" i="4" s="1"/>
  <c r="E32" i="13" s="1"/>
  <c r="R31" i="4"/>
  <c r="S31" i="4" s="1"/>
  <c r="E31" i="13" s="1"/>
  <c r="R30" i="4"/>
  <c r="R29" i="4"/>
  <c r="S29" i="4" s="1"/>
  <c r="E29" i="13" s="1"/>
  <c r="R27" i="4"/>
  <c r="R25" i="4"/>
  <c r="R23" i="4"/>
  <c r="R22" i="4"/>
  <c r="R21" i="4"/>
  <c r="R20" i="4"/>
  <c r="R19" i="4"/>
  <c r="R18" i="4"/>
  <c r="R17" i="4"/>
  <c r="R15" i="4"/>
  <c r="R14" i="4"/>
  <c r="R13" i="4"/>
  <c r="R9"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F8" i="4"/>
  <c r="G8" i="4"/>
  <c r="G11" i="4"/>
  <c r="H8" i="4"/>
  <c r="H11"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J5" i="8" l="1"/>
  <c r="S42" i="4"/>
  <c r="E42" i="13" s="1"/>
  <c r="D36" i="11"/>
  <c r="S54" i="4"/>
  <c r="E54" i="13" s="1"/>
  <c r="S104" i="4"/>
  <c r="E104" i="13" s="1"/>
  <c r="S89" i="4"/>
  <c r="E89" i="13" s="1"/>
  <c r="E40" i="13"/>
  <c r="S38" i="4"/>
  <c r="E38" i="13" s="1"/>
  <c r="E48" i="13"/>
  <c r="B26" i="4"/>
  <c r="S81" i="4"/>
  <c r="E81" i="13" s="1"/>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B70" i="4"/>
  <c r="D102" i="11"/>
  <c r="P63" i="4"/>
  <c r="P97" i="4" s="1"/>
  <c r="P105" i="4" s="1"/>
  <c r="F63" i="4"/>
  <c r="F97" i="4" s="1"/>
  <c r="F105" i="4" s="1"/>
  <c r="I63" i="13"/>
  <c r="I97" i="13" s="1"/>
  <c r="I105" i="13" s="1"/>
  <c r="I107" i="13" s="1"/>
  <c r="C63" i="13"/>
  <c r="C97" i="13" s="1"/>
  <c r="C105" i="13" s="1"/>
  <c r="C71" i="11"/>
  <c r="R38" i="4"/>
  <c r="R70" i="4"/>
  <c r="B81" i="4"/>
  <c r="R11" i="4"/>
  <c r="G58" i="7"/>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M960" i="3" s="1"/>
  <c r="M961"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96" i="4" l="1"/>
  <c r="E96" i="13" s="1"/>
  <c r="BA1058" i="3"/>
  <c r="S63" i="4"/>
  <c r="D105" i="1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1" i="21" l="1"/>
  <c r="P21" i="21" s="1" a="1"/>
  <c r="P21" i="21" s="1"/>
  <c r="S21" i="21" s="1"/>
  <c r="AK469" i="20"/>
  <c r="T817" i="20" s="1"/>
  <c r="AF817" i="20" s="1"/>
  <c r="BE80" i="3"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11" i="7" l="1"/>
  <c r="E37" i="7" s="1"/>
  <c r="E45" i="7" s="1"/>
  <c r="T805" i="20"/>
  <c r="AF805" i="20" s="1"/>
  <c r="BE72"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P706" i="20"/>
  <c r="I4" i="7"/>
  <c r="I5" i="7" s="1"/>
  <c r="K9" i="7"/>
  <c r="AJ992" i="3"/>
  <c r="E138" i="20"/>
  <c r="E139" i="20" s="1"/>
  <c r="AK143" i="20" s="1"/>
  <c r="T807" i="20" s="1"/>
  <c r="AF807" i="20" s="1"/>
  <c r="BE74" i="3" s="1"/>
  <c r="AB991" i="3"/>
  <c r="DU802" i="3"/>
  <c r="U373" i="20" s="1"/>
  <c r="P421" i="3"/>
  <c r="I6" i="7"/>
  <c r="G7" i="7"/>
  <c r="G11" i="7" s="1"/>
  <c r="G37" i="7" s="1"/>
  <c r="M22" i="7"/>
  <c r="M35" i="7" s="1"/>
  <c r="O15" i="7"/>
  <c r="M9" i="7"/>
  <c r="O8" i="7"/>
  <c r="G27" i="21"/>
  <c r="F26" i="21"/>
  <c r="E49" i="7" l="1"/>
  <c r="AJ1029" i="3"/>
  <c r="AJ994" i="3"/>
  <c r="AJ1016" i="3"/>
  <c r="AD11" i="15"/>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8" i="7"/>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K11" i="7"/>
  <c r="K37" i="7" s="1"/>
  <c r="K45" i="7" s="1"/>
  <c r="E66" i="7"/>
  <c r="E67" i="7"/>
  <c r="O5" i="7"/>
  <c r="Q4" i="7"/>
  <c r="M7" i="7"/>
  <c r="M11" i="7" s="1"/>
  <c r="M37" i="7" s="1"/>
  <c r="O6" i="7"/>
  <c r="G67"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 r="E4" i="4"/>
  <c r="R4" i="4" s="1"/>
  <c r="R8" i="4" s="1"/>
  <c r="I8" i="4"/>
  <c r="I12" i="4" s="1"/>
  <c r="E8" i="4" l="1"/>
  <c r="I63" i="4"/>
  <c r="I97" i="4" s="1"/>
  <c r="I105" i="4" s="1"/>
  <c r="R12" i="4"/>
  <c r="R63" i="4"/>
  <c r="R97" i="4" s="1"/>
  <c r="R105" i="4" s="1"/>
  <c r="E12" i="4" l="1"/>
  <c r="E63" i="4"/>
  <c r="E97" i="4" s="1"/>
  <c r="E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<sst xmlns="http://schemas.openxmlformats.org/spreadsheetml/2006/main" count="5070" uniqueCount="2757">
  <si>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</si>
  <si>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</si>
  <si>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</si>
  <si>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</si>
  <si>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</si>
  <si>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</si>
  <si>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</si>
  <si>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</si>
  <si>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</si>
  <si>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</si>
  <si>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</si>
  <si>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</si>
  <si>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</si>
  <si>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</si>
  <si>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</si>
  <si>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</si>
  <si>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</si>
  <si>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</si>
  <si>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</si>
  <si>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</si>
  <si>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</si>
  <si>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</si>
  <si>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</si>
  <si>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</si>
  <si>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</si>
  <si>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</si>
  <si>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</si>
  <si>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</si>
  <si>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</si>
  <si>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</si>
  <si>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</si>
  <si>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</si>
  <si>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</si>
  <si>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</si>
  <si>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</si>
  <si>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</si>
  <si>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</si>
  <si>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</si>
  <si>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</si>
  <si>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</si>
  <si>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</si>
  <si>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</si>
  <si>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</si>
  <si>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</si>
  <si>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</si>
  <si>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</si>
  <si>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</si>
  <si>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</si>
  <si>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</si>
  <si>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</si>
  <si>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</si>
  <si>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</si>
  <si>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</si>
  <si>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</si>
  <si>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</si>
  <si>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</si>
  <si>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</si>
  <si>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</si>
  <si>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</si>
  <si>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</si>
  <si>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</si>
  <si>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</si>
  <si>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</si>
  <si>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</si>
  <si>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</si>
  <si>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</si>
  <si>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</si>
  <si>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</si>
  <si>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</si>
  <si>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</si>
  <si>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</si>
  <si>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</si>
  <si>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</si>
  <si>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</si>
  <si>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</si>
  <si>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</si>
  <si>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</si>
  <si>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</si>
  <si>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</si>
  <si>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</si>
  <si>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</si>
  <si>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</si>
  <si>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</si>
  <si>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</si>
  <si>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</si>
  <si>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</si>
  <si>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</si>
  <si>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</si>
  <si>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</si>
  <si>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</si>
  <si>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</si>
  <si>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</si>
  <si>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</si>
  <si>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</si>
  <si>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</si>
  <si>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</si>
  <si>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</si>
  <si>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</si>
  <si>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</si>
  <si>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</si>
  <si>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</si>
  <si>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</si>
  <si>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</si>
  <si>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</si>
  <si>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</si>
  <si>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</si>
  <si>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</si>
  <si>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</si>
  <si>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</si>
  <si>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</si>
  <si>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</si>
  <si>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</si>
  <si>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</si>
  <si>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</si>
  <si>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</si>
  <si>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</si>
  <si>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</si>
  <si>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</si>
  <si>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</si>
  <si>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</si>
  <si>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</si>
  <si>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</si>
  <si>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</si>
  <si>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</si>
  <si>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</si>
  <si>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</si>
  <si>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</si>
  <si>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</si>
  <si>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</si>
  <si>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</si>
  <si>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</si>
  <si>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</si>
  <si>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</si>
  <si>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</si>
  <si>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</si>
  <si>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</si>
  <si>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</si>
  <si>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</si>
  <si>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</si>
  <si>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</si>
  <si>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</si>
  <si>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</si>
  <si>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</si>
  <si>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</si>
  <si>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</si>
  <si>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</si>
  <si>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</si>
  <si>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</si>
  <si>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</si>
  <si>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</si>
  <si>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</si>
  <si>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</si>
  <si>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</si>
  <si>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</si>
  <si>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</si>
  <si>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</si>
  <si>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</si>
  <si>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</si>
  <si>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</si>
  <si>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</si>
  <si>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</si>
  <si>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</si>
  <si>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</si>
  <si>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</si>
  <si>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</si>
  <si>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</si>
  <si>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</si>
  <si>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</si>
  <si>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</si>
  <si>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</si>
  <si>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</si>
  <si>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</si>
  <si>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</si>
  <si>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</si>
  <si>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</si>
  <si>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</si>
  <si>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</si>
  <si>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</si>
  <si>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</si>
  <si>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</si>
  <si>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</si>
  <si>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</si>
  <si>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</si>
  <si>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</si>
  <si>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</si>
  <si>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</si>
  <si>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</si>
  <si>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</si>
  <si>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</si>
  <si>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</si>
  <si>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</si>
  <si>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</si>
  <si>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</si>
  <si>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</si>
  <si>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</si>
  <si>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</si>
  <si>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</si>
  <si>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</si>
  <si>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</si>
  <si>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</si>
  <si>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</si>
  <si>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</si>
  <si>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</si>
  <si>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</si>
  <si>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</si>
  <si>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</si>
  <si>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</si>
  <si>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</si>
  <si>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</si>
  <si>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</si>
  <si>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</si>
  <si>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</si>
  <si>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</si>
  <si>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</si>
  <si>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</si>
  <si>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</si>
  <si>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</si>
  <si>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</si>
  <si>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</si>
  <si>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</si>
  <si>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</si>
  <si>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</si>
  <si>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</si>
  <si>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</si>
  <si>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</si>
  <si>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</si>
  <si>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</si>
  <si>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</si>
  <si>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</si>
  <si>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</si>
  <si>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</si>
  <si>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</si>
  <si>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</si>
  <si>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</si>
  <si>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</si>
  <si>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</si>
  <si>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</si>
  <si>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</si>
  <si>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</si>
  <si>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</si>
  <si>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</si>
  <si>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</si>
  <si>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</si>
  <si>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</si>
  <si>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</si>
  <si>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</si>
  <si>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</si>
  <si>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</si>
  <si>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</si>
  <si>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</si>
  <si>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</si>
  <si>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</si>
  <si>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</si>
  <si>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</si>
  <si>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</si>
  <si>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</si>
  <si>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</si>
  <si>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</si>
  <si>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</si>
  <si>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</si>
  <si>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</si>
  <si>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</si>
  <si>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</si>
  <si>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</si>
  <si>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</si>
  <si>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</si>
  <si>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</si>
  <si>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</si>
  <si>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</si>
  <si>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</si>
  <si>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</si>
  <si>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</si>
  <si>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</si>
  <si>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</si>
  <si>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</si>
  <si>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</si>
  <si>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</si>
  <si>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</si>
  <si>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</si>
  <si>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</si>
  <si>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</si>
  <si>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</si>
  <si>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</si>
  <si>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</si>
  <si>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</si>
  <si>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</si>
  <si>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</si>
  <si>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</si>
  <si>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</si>
  <si>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</si>
  <si>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</si>
  <si>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</si>
  <si>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</si>
  <si>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</si>
  <si>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</si>
  <si>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</si>
  <si>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</si>
  <si>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</si>
  <si>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</si>
  <si>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</si>
  <si>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</si>
  <si>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</si>
  <si>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</si>
  <si>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</si>
  <si>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</si>
  <si>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</si>
  <si>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</si>
  <si>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</si>
  <si>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</si>
  <si>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</si>
  <si>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</si>
  <si>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</si>
  <si>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</si>
  <si>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</si>
  <si>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</si>
  <si>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</si>
  <si>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</si>
  <si>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</si>
  <si>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</si>
  <si>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</si>
  <si>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</si>
  <si>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</si>
  <si>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</si>
  <si>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</si>
  <si>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</si>
  <si>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</si>
  <si>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</si>
  <si>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</si>
  <si>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</si>
  <si>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</si>
  <si>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</si>
  <si>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</si>
  <si>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</si>
  <si>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</si>
  <si>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</si>
  <si>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</si>
  <si>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</si>
  <si>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</si>
  <si>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</si>
  <si>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</si>
  <si>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</si>
  <si>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</si>
  <si>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</si>
  <si>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</si>
  <si>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</si>
  <si>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</si>
  <si>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</si>
  <si>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</si>
  <si>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</si>
  <si>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</si>
  <si>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</si>
  <si>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</si>
  <si>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</si>
  <si>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</si>
  <si>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</si>
  <si>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</si>
  <si>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</si>
  <si>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</si>
  <si>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</si>
  <si>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</si>
  <si>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</si>
  <si>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</si>
  <si>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</si>
  <si>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</si>
  <si>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</si>
  <si>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</si>
  <si>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</si>
  <si>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</si>
  <si>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</si>
  <si>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</si>
  <si>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</si>
  <si>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</si>
  <si>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</si>
  <si>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</si>
  <si>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</si>
  <si>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</si>
  <si>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</si>
  <si>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</si>
  <si>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</si>
  <si>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</si>
  <si>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</si>
  <si>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</si>
  <si>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</si>
  <si>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</si>
  <si>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</si>
  <si>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</si>
  <si>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</si>
  <si>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</si>
  <si>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</si>
  <si>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</si>
  <si>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</si>
  <si>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</si>
  <si>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</si>
  <si>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</si>
  <si>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</si>
  <si>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</si>
  <si>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</si>
  <si>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</si>
  <si>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</si>
  <si>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</si>
  <si>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</si>
  <si>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</si>
  <si>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</si>
  <si>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</si>
  <si>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</si>
  <si>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</si>
  <si>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</si>
  <si>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</si>
  <si>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</si>
  <si>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</si>
  <si>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</si>
  <si>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</si>
  <si>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</si>
  <si>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</si>
  <si>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</si>
  <si>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</si>
  <si>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</si>
  <si>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</si>
  <si>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</si>
  <si>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</si>
  <si>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</si>
  <si>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</si>
  <si>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</si>
  <si>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</si>
  <si>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</si>
  <si>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</si>
  <si>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</si>
  <si>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</si>
  <si>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</si>
  <si>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</si>
  <si>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</si>
  <si>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</si>
  <si>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</si>
  <si>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</si>
  <si>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</si>
  <si>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</si>
  <si>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</si>
  <si>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</si>
  <si>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</si>
  <si>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</si>
  <si>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</si>
  <si>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</si>
  <si>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</si>
  <si>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</si>
  <si>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</si>
  <si>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</si>
  <si>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</si>
  <si>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</si>
  <si>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</si>
  <si>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</si>
  <si>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</si>
  <si>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</si>
  <si>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</si>
  <si>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</si>
  <si>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</si>
  <si>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</si>
  <si>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</si>
  <si>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</si>
  <si>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</si>
  <si>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</si>
  <si>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</si>
  <si>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</si>
  <si>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</si>
  <si>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</si>
  <si>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</si>
  <si>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</si>
  <si>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</si>
  <si>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</si>
  <si>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</si>
  <si>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</si>
  <si>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</si>
  <si>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</si>
  <si>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</si>
  <si>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</si>
  <si>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</si>
  <si>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</si>
  <si>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</si>
  <si>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</si>
  <si>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</si>
  <si>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</si>
  <si>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</si>
  <si>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</si>
  <si>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</si>
  <si>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</si>
  <si>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</si>
  <si>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</si>
  <si>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</si>
  <si>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</si>
  <si>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</si>
  <si>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</si>
  <si>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</si>
  <si>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</si>
  <si>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</si>
  <si>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</si>
  <si>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</si>
  <si>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</si>
  <si>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</si>
  <si>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</si>
  <si>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</si>
  <si>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</si>
  <si>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</si>
  <si>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</si>
  <si>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</si>
  <si>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</si>
  <si>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</si>
  <si>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</si>
  <si>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</si>
  <si>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</si>
  <si>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</si>
  <si>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</si>
  <si>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</si>
  <si>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</si>
  <si>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</si>
  <si>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</si>
  <si>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</si>
  <si>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</si>
  <si>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</si>
  <si>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</si>
  <si>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</si>
  <si>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</si>
  <si>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</si>
  <si>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</si>
  <si>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</si>
  <si>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</si>
  <si>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</si>
  <si>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</si>
  <si>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</si>
  <si>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</si>
  <si>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</si>
  <si>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</si>
  <si>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</si>
  <si>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</si>
  <si>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</si>
  <si>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</si>
  <si>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</si>
  <si>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</si>
  <si>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</si>
  <si>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</si>
  <si>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</si>
  <si>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</si>
  <si>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</si>
  <si>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</si>
  <si>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</si>
  <si>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</si>
  <si>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</si>
  <si>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</si>
  <si>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</si>
  <si>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</si>
  <si>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</si>
  <si>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</si>
  <si>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</si>
  <si>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</si>
  <si>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</si>
  <si>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</si>
  <si>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</si>
  <si>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</si>
  <si>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</si>
  <si>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</si>
  <si>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</si>
  <si>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</si>
  <si>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</si>
  <si>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</si>
  <si>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</si>
  <si>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</si>
  <si>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</si>
  <si>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</si>
  <si>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</si>
  <si>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</si>
  <si>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</si>
  <si>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</si>
  <si>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</si>
  <si>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</si>
  <si>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</si>
  <si>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</si>
  <si>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</si>
  <si>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</si>
  <si>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</si>
  <si>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</si>
  <si>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</si>
  <si>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</si>
  <si>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</si>
  <si>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</si>
  <si>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</si>
  <si>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</si>
  <si>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</si>
  <si>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</si>
  <si>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</si>
  <si>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</si>
  <si>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</si>
  <si>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</si>
  <si>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</si>
  <si>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</si>
  <si>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</si>
  <si>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</si>
  <si>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</si>
  <si>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</si>
  <si>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</si>
  <si>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</si>
  <si>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</si>
  <si>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</si>
  <si>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</si>
  <si>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</si>
  <si>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</si>
  <si>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</si>
  <si>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</si>
  <si>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</si>
  <si>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</si>
  <si>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</si>
  <si>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</si>
  <si>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</si>
  <si>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</si>
  <si>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</si>
  <si>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</si>
  <si>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</si>
  <si>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</si>
  <si>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</si>
  <si>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</si>
  <si>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</si>
  <si>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</si>
  <si>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</si>
  <si>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</si>
  <si>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</si>
  <si>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</si>
  <si>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</si>
  <si>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</si>
  <si>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</si>
  <si>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</si>
  <si>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</si>
  <si>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</si>
  <si>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</si>
  <si>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</si>
  <si>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</si>
  <si>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</si>
  <si>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</si>
  <si>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</si>
  <si>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</si>
  <si>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</si>
  <si>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</si>
  <si>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</si>
  <si>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</si>
  <si>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</si>
  <si>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</si>
  <si>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</si>
  <si>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</si>
  <si>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</si>
  <si>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</si>
  <si>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</si>
  <si>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</si>
  <si>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</si>
  <si>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</si>
  <si>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</si>
  <si>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</si>
  <si>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</si>
  <si>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</si>
  <si>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</si>
  <si>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</si>
  <si>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</si>
  <si>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</si>
  <si>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</si>
  <si>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</si>
  <si>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</si>
  <si>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</si>
  <si>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</si>
  <si>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</si>
  <si>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</si>
  <si>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</si>
  <si>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</si>
  <si>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</si>
  <si>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</si>
  <si>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</si>
  <si>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</si>
  <si>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</si>
  <si>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</si>
  <si>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</si>
  <si>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</si>
  <si>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</si>
  <si>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</si>
  <si>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</si>
  <si>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</si>
  <si>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</si>
  <si>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</si>
  <si>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</si>
  <si>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</si>
  <si>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</si>
  <si>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</si>
  <si>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</si>
  <si>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</si>
  <si>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</si>
  <si>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</si>
  <si>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</si>
  <si>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</si>
  <si>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</si>
  <si>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</si>
  <si>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</si>
  <si>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</si>
  <si>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</si>
  <si>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</si>
  <si>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</si>
  <si>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</si>
  <si>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</si>
  <si>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</si>
  <si>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</si>
  <si>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</si>
  <si>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</si>
  <si>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</si>
  <si>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</si>
  <si>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</si>
  <si>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</si>
  <si>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</si>
  <si>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</si>
  <si>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</si>
  <si>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</si>
  <si>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</si>
  <si>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</si>
  <si>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</si>
  <si>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</si>
  <si>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</si>
  <si>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</si>
  <si>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</si>
  <si>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</si>
  <si>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</si>
  <si>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</si>
  <si>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</si>
  <si>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</si>
  <si>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</si>
  <si>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</si>
  <si>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</si>
  <si>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</si>
  <si>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</si>
  <si>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</si>
  <si>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</si>
  <si>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</si>
  <si>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</si>
  <si>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</si>
  <si>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</si>
  <si>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</si>
  <si>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</si>
  <si>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</si>
  <si>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</si>
  <si>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</si>
  <si>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</si>
  <si>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</si>
  <si>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</si>
  <si>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</si>
  <si>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</si>
  <si>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</si>
  <si>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</si>
  <si>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</si>
  <si>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</si>
  <si>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</si>
  <si>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</si>
  <si>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</si>
  <si>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</si>
  <si>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</si>
  <si>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</si>
  <si>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</si>
  <si>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</si>
  <si>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</si>
  <si>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</si>
  <si>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</si>
  <si>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</si>
  <si>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</si>
  <si>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</si>
  <si>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</si>
  <si>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</si>
  <si>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</si>
  <si>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</si>
  <si>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</si>
  <si>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</si>
  <si>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</si>
  <si>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</si>
  <si>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</si>
  <si>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</si>
  <si>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</si>
  <si>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</si>
  <si>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</si>
  <si>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</si>
  <si>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</si>
  <si>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</si>
  <si>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</si>
  <si>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</si>
  <si>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</si>
  <si>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</si>
  <si>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</si>
  <si>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</si>
  <si>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</si>
  <si>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</si>
  <si>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</si>
  <si>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</si>
  <si>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</si>
  <si>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</si>
  <si>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</si>
  <si>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</si>
  <si>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</si>
  <si>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</si>
  <si>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</si>
  <si>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</si>
  <si>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</si>
  <si>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</si>
  <si>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</si>
  <si>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</si>
  <si>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</si>
  <si>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</si>
  <si>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</si>
  <si>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</si>
  <si>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</si>
  <si>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</si>
  <si>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</si>
  <si>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</si>
  <si>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</si>
  <si>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</si>
  <si>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</si>
  <si>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</si>
  <si>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</si>
  <si>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</si>
  <si>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</si>
  <si>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</si>
  <si>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</si>
  <si>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</si>
  <si>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</si>
  <si>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</si>
  <si>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</si>
  <si>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</si>
  <si>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</si>
  <si>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</si>
  <si>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</si>
  <si>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</si>
  <si>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</si>
  <si>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</si>
  <si>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</si>
  <si>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</si>
  <si>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</si>
  <si>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</si>
  <si>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</si>
  <si>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</si>
  <si>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</si>
  <si>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</si>
  <si>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</si>
  <si>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</si>
  <si>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</si>
  <si>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</si>
  <si>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</si>
  <si>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</si>
  <si>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</si>
  <si>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</si>
  <si>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</si>
  <si>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</si>
  <si>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</si>
  <si>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</si>
  <si>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</si>
  <si>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</si>
  <si>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</si>
  <si>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</si>
  <si>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</si>
  <si>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</si>
  <si>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</si>
  <si>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</si>
  <si>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</si>
  <si>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</si>
  <si>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</si>
  <si>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</si>
  <si>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</si>
  <si>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</si>
  <si>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</si>
  <si>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</si>
  <si>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</si>
  <si>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</si>
  <si>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</si>
  <si>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</si>
  <si>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</si>
  <si>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</si>
  <si>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</si>
  <si>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</si>
  <si>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</si>
  <si>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</si>
  <si>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</si>
  <si>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</si>
  <si>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</si>
  <si>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</si>
  <si>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</si>
  <si>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</si>
  <si>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</si>
  <si>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</si>
  <si>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</si>
  <si>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</si>
  <si>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</si>
  <si>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</si>
  <si>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</si>
  <si>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</si>
  <si>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</si>
  <si>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</si>
  <si>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</si>
  <si>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</si>
  <si>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</si>
  <si>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</si>
  <si>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</si>
  <si>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</si>
  <si>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</si>
  <si>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</si>
  <si>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</si>
  <si>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</si>
  <si>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</si>
  <si>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</si>
  <si>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</si>
  <si>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</si>
  <si>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</si>
  <si>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</si>
  <si>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</si>
  <si>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</si>
  <si>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</si>
  <si>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</si>
  <si>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</si>
  <si>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</si>
  <si>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</si>
  <si>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</si>
  <si>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</si>
  <si>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</si>
  <si>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</si>
  <si>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</si>
  <si>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</si>
  <si>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</si>
  <si>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</si>
  <si>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</si>
  <si>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</si>
  <si>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</si>
  <si>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</si>
  <si>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</si>
  <si>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</si>
  <si>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</si>
  <si>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</si>
  <si>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</si>
  <si>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</si>
  <si>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</si>
  <si>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</si>
  <si>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</si>
  <si>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</si>
  <si>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</si>
  <si>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</si>
  <si>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</si>
  <si>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</si>
  <si>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</si>
  <si>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</si>
  <si>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</si>
  <si>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</si>
  <si>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</si>
  <si>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</si>
  <si>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</si>
  <si>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</si>
  <si>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</si>
  <si>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</si>
  <si>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</si>
  <si>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</si>
  <si>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</si>
  <si>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</si>
  <si>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</si>
  <si>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</si>
  <si>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</si>
  <si>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</si>
  <si>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</si>
  <si>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</si>
  <si>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</si>
  <si>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</si>
  <si>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</si>
  <si>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</si>
  <si>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</si>
  <si>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</si>
  <si>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</si>
  <si>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</si>
  <si>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</si>
  <si>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</si>
  <si>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</si>
  <si>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</si>
  <si>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</si>
  <si>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</si>
  <si>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</si>
  <si>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</si>
  <si>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</si>
  <si>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</si>
  <si>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</si>
  <si>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</si>
  <si>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</si>
  <si>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</si>
  <si>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</si>
  <si>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</si>
  <si>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</si>
  <si>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</si>
  <si>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</si>
  <si>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</si>
  <si>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</si>
  <si>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</si>
  <si>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</si>
  <si>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</si>
  <si>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</si>
  <si>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</si>
  <si>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</si>
  <si>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</si>
  <si>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</si>
  <si>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</si>
  <si>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</si>
  <si>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</si>
  <si>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</si>
  <si>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</si>
  <si>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</si>
  <si>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</si>
  <si>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</si>
  <si>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</si>
  <si>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</si>
  <si>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</si>
  <si>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</si>
  <si>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</si>
  <si>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</si>
  <si>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</si>
  <si>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</si>
  <si>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</si>
  <si>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</si>
  <si>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</si>
  <si>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</si>
  <si>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</si>
  <si>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</si>
  <si>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</si>
  <si>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</si>
  <si>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</si>
  <si>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</si>
  <si>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</si>
  <si>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</si>
  <si>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</si>
  <si>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</si>
  <si>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</si>
  <si>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</si>
  <si>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</si>
  <si>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</si>
  <si>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</si>
  <si>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</si>
  <si>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</si>
  <si>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</si>
  <si>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</si>
  <si>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</si>
  <si>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</si>
  <si>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</si>
  <si>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</si>
  <si>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</si>
  <si>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</si>
  <si>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</si>
  <si>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</si>
  <si>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</si>
  <si>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</si>
  <si>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</si>
  <si>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</si>
  <si>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</si>
  <si>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</si>
  <si>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</si>
  <si>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</si>
  <si>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</si>
  <si>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</si>
  <si>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</si>
  <si>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</si>
  <si>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</si>
  <si>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</si>
  <si>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</si>
  <si>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</si>
  <si>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</si>
  <si>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</si>
  <si>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</si>
  <si>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</si>
  <si>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</si>
  <si>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</si>
  <si>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</si>
  <si>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</si>
  <si>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</si>
  <si>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</si>
  <si>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</si>
  <si>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</si>
  <si>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</si>
  <si>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</si>
  <si>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</si>
  <si>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</si>
  <si>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</si>
  <si>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</si>
  <si>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</si>
  <si>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</si>
  <si>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</si>
  <si>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</si>
  <si>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</si>
  <si>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</si>
  <si>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</si>
  <si>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</si>
  <si>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</si>
  <si>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</si>
  <si>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</si>
  <si>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</si>
  <si>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</si>
  <si>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</si>
  <si>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</si>
  <si>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</si>
  <si>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</si>
  <si>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</si>
  <si>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</si>
  <si>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</si>
  <si>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</si>
  <si>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</si>
  <si>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</si>
  <si>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</si>
  <si>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</si>
  <si>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</si>
  <si>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</si>
  <si>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</si>
  <si>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</si>
  <si>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</si>
  <si>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</si>
  <si>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</si>
  <si>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</si>
  <si>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</si>
  <si>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</si>
  <si>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</si>
  <si>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</si>
  <si>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</si>
  <si>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</si>
  <si>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</si>
  <si>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</si>
  <si>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</si>
  <si>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</si>
  <si>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</si>
  <si>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</si>
  <si>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</si>
  <si>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</si>
  <si>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</si>
  <si>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</si>
  <si>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</si>
  <si>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</si>
  <si>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</si>
  <si>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</si>
  <si>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</si>
  <si>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</si>
  <si>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</si>
  <si>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</si>
  <si>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</si>
  <si>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</si>
  <si>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</si>
  <si>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</si>
  <si>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</si>
  <si>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</si>
  <si>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</si>
  <si>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</si>
  <si>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</si>
  <si>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</si>
  <si>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</si>
  <si>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</si>
  <si>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</si>
  <si>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</si>
  <si>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</si>
  <si>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</si>
  <si>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</si>
  <si>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</si>
  <si>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</si>
  <si>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</si>
  <si>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</si>
  <si>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</si>
  <si>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</si>
  <si>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</si>
  <si>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</si>
  <si>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</si>
  <si>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</si>
  <si>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</si>
  <si>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</si>
  <si>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</si>
  <si>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</si>
  <si>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</si>
  <si>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</si>
  <si>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</si>
  <si>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</si>
  <si>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</si>
  <si>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</si>
  <si>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</si>
  <si>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</si>
  <si>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</si>
  <si>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</si>
  <si>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</si>
  <si>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</si>
  <si>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</si>
  <si>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</si>
  <si>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</si>
  <si>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</si>
  <si>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</si>
  <si>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</si>
  <si>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</si>
  <si>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</si>
  <si>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</si>
  <si>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</si>
  <si>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</si>
  <si>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</si>
  <si>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</si>
  <si>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</si>
  <si>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</si>
  <si>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</si>
  <si>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</si>
  <si>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</si>
  <si>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</si>
  <si>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</si>
  <si>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</si>
  <si>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</si>
  <si>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</si>
  <si>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</si>
  <si>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</si>
  <si>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</si>
  <si>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</si>
  <si>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</si>
  <si>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</si>
  <si>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</si>
  <si>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</si>
  <si>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</si>
  <si>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</si>
  <si>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</si>
  <si>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</si>
  <si>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</si>
  <si>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</si>
  <si>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</si>
  <si>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</si>
  <si>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</si>
  <si>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</si>
  <si>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</si>
  <si>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</si>
  <si>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</si>
  <si>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</si>
  <si>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</si>
  <si>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</si>
  <si>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</si>
  <si>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</si>
  <si>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</si>
  <si>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</si>
  <si>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</si>
  <si>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</si>
  <si>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</si>
  <si>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</si>
  <si>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</si>
  <si>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</si>
  <si>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</si>
  <si>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</si>
  <si>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</si>
  <si>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</si>
  <si>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</si>
  <si>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</si>
  <si>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</si>
  <si>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</si>
  <si>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</si>
  <si>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</si>
  <si>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</si>
  <si>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</si>
  <si>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</si>
  <si>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</si>
  <si>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</si>
  <si>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</si>
  <si>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</si>
  <si>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</si>
  <si>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</si>
  <si>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</si>
  <si>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</si>
  <si>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</si>
  <si>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</si>
  <si>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</si>
  <si>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</si>
  <si>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</si>
  <si>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</si>
  <si>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</si>
  <si>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</si>
  <si>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</si>
  <si>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</si>
  <si>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</si>
  <si>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</si>
  <si>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</si>
  <si>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</si>
  <si>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</si>
  <si>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</si>
  <si>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</si>
  <si>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</si>
  <si>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</si>
  <si>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</si>
  <si>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</si>
  <si>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</si>
  <si>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</si>
  <si>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</si>
  <si>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</si>
  <si>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</si>
  <si>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</si>
  <si>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</si>
  <si>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</si>
  <si>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</si>
  <si>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</si>
  <si>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</si>
  <si>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</si>
  <si>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</si>
  <si>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</si>
  <si>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</si>
  <si>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</si>
  <si>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</si>
  <si>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</si>
  <si>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</si>
  <si>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</si>
  <si>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</si>
  <si>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</si>
  <si>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</si>
  <si>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</si>
  <si>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</si>
  <si>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</si>
  <si>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</si>
  <si>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</si>
  <si>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</si>
  <si>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</si>
  <si>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</si>
  <si>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</si>
  <si>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</si>
  <si>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</si>
  <si>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</si>
  <si>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</si>
  <si>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</si>
  <si>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</si>
  <si>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</si>
  <si>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</si>
  <si>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</si>
  <si>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</si>
  <si>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</si>
  <si>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</si>
  <si>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</si>
  <si>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</si>
  <si>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</si>
  <si>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</si>
  <si>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</si>
  <si>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</si>
  <si>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</si>
  <si>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</si>
  <si>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</si>
  <si>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</si>
  <si>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</si>
  <si>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</si>
  <si>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</si>
  <si>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</si>
  <si>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</si>
  <si>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</si>
  <si>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</si>
  <si>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</si>
  <si>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</si>
  <si>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</si>
  <si>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</si>
  <si>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</si>
  <si>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</si>
  <si>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</si>
  <si>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</si>
  <si>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</si>
  <si>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</si>
  <si>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</si>
  <si>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</si>
  <si>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</si>
  <si>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</si>
  <si>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</si>
  <si>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</si>
  <si>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</si>
  <si>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</si>
  <si>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</si>
  <si>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</si>
  <si>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</si>
  <si>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</si>
  <si>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</si>
  <si>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</si>
  <si>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</si>
  <si>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</si>
  <si>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</si>
  <si>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</si>
  <si>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</si>
  <si>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</si>
  <si>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</si>
  <si>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</si>
  <si>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</si>
  <si>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</si>
  <si>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</si>
  <si>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</si>
  <si>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</si>
  <si>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</si>
  <si>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</si>
  <si>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</si>
  <si>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</si>
  <si>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</si>
  <si>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</si>
  <si>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</si>
  <si>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</si>
  <si>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</si>
  <si>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</si>
  <si>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</si>
  <si>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</si>
  <si>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</si>
  <si>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</si>
  <si>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</si>
  <si>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</si>
  <si>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</si>
  <si>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</si>
  <si>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</si>
  <si>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</si>
  <si>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</si>
  <si>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</si>
  <si>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</si>
  <si>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</si>
  <si>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</si>
  <si>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</si>
  <si>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</si>
  <si>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</si>
  <si>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</si>
  <si>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</si>
  <si>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</si>
  <si>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</si>
  <si>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</si>
  <si>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</si>
  <si>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</si>
  <si>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</si>
  <si>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</si>
  <si>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</si>
  <si>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</si>
  <si>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</si>
  <si>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</si>
  <si>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</si>
  <si>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</si>
  <si>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</si>
  <si>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</si>
  <si>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</si>
  <si>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</si>
  <si>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</si>
  <si>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</si>
  <si>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</si>
  <si>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</si>
  <si>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</si>
  <si>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</si>
  <si>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</si>
  <si>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</si>
  <si>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</si>
  <si>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</si>
  <si>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</si>
  <si>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</si>
  <si>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</si>
  <si>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</si>
  <si>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</si>
  <si>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</si>
  <si>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</si>
  <si>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</si>
  <si>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</si>
  <si>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</si>
  <si>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</si>
  <si>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</si>
  <si>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</si>
  <si>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</si>
  <si>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</si>
  <si>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</si>
  <si>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</si>
  <si>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</si>
  <si>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</si>
  <si>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</si>
  <si>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</si>
  <si>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</si>
  <si>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</si>
  <si>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</si>
  <si>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</si>
  <si>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</si>
  <si>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</si>
  <si>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</si>
  <si>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</si>
  <si>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</si>
  <si>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</si>
  <si>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</si>
  <si>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</si>
  <si>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</si>
  <si>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</si>
  <si>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</si>
  <si>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</si>
  <si>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</si>
  <si>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</si>
  <si>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</si>
  <si>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</si>
  <si>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</si>
  <si>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</si>
  <si>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</si>
  <si>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</si>
  <si>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</si>
  <si>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</si>
  <si>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</si>
  <si>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</si>
  <si>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</si>
  <si>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</si>
  <si>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</si>
  <si>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</si>
  <si>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</si>
  <si>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</si>
  <si>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</si>
  <si>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</si>
  <si>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</si>
  <si>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</si>
  <si>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</si>
  <si>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</si>
  <si>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</si>
  <si>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</si>
  <si>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</si>
  <si>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</si>
  <si>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</si>
  <si>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</si>
  <si>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</si>
  <si>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</si>
  <si>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</si>
  <si>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</si>
  <si>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</si>
  <si>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</si>
  <si>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</si>
  <si>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</si>
  <si>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</si>
  <si>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</si>
  <si>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</si>
  <si>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</si>
  <si>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</si>
  <si>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</si>
  <si>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</si>
  <si>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</si>
  <si>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</si>
  <si>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</si>
  <si>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</si>
  <si>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</si>
  <si>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</si>
  <si>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</si>
  <si>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</si>
  <si>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</si>
  <si>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</si>
  <si>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</si>
  <si>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</si>
  <si>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</si>
  <si>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</si>
  <si>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</si>
  <si>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</si>
  <si>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</si>
  <si>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</si>
  <si>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</si>
  <si>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</si>
  <si>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</si>
  <si>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</si>
  <si>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</si>
  <si>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</si>
  <si>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</si>
  <si>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</si>
  <si>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</si>
  <si>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</si>
  <si>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</si>
  <si>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</si>
  <si>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</si>
  <si>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</si>
  <si>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</si>
  <si>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</si>
  <si>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</si>
  <si>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</si>
  <si>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</si>
  <si>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</si>
  <si>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</si>
  <si>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</si>
  <si>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</si>
  <si>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</si>
  <si>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</si>
  <si>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</si>
  <si>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</si>
  <si>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</si>
  <si>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</si>
  <si>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</si>
  <si>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</si>
  <si>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</si>
  <si>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</si>
  <si>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</si>
  <si>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</si>
  <si>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</si>
  <si>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</si>
  <si>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</si>
  <si>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</si>
  <si>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</si>
  <si>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</si>
  <si>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</si>
  <si>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</si>
  <si>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</si>
  <si>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</si>
  <si>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</si>
  <si>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</si>
  <si>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</si>
  <si>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</si>
  <si>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</si>
  <si>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</si>
  <si>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</si>
  <si>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</si>
  <si>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</si>
  <si>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</si>
  <si>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</si>
  <si>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</si>
  <si>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</si>
  <si>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</si>
  <si>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</si>
  <si>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</si>
  <si>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</si>
  <si>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</si>
  <si>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</si>
  <si>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</si>
  <si>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</si>
  <si>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</si>
  <si>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</si>
  <si>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</si>
  <si>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</si>
  <si>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</si>
  <si>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</si>
  <si>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</si>
  <si>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</si>
  <si>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</si>
  <si>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</si>
  <si>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</si>
  <si>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</si>
  <si>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</si>
  <si>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</si>
  <si>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</si>
  <si>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</si>
  <si>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</si>
  <si>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</si>
  <si>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</si>
  <si>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</si>
  <si>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</si>
  <si>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</si>
  <si>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</si>
  <si>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</si>
  <si>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</si>
  <si>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</si>
  <si>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</si>
  <si>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</si>
  <si>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</si>
  <si>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</si>
  <si>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</si>
  <si>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</si>
  <si>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</si>
  <si>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</si>
  <si>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</si>
  <si>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</si>
  <si>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</si>
  <si>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</si>
  <si>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</si>
  <si>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</si>
  <si>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</si>
  <si>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</si>
  <si>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</si>
  <si>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</si>
  <si>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</si>
  <si>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</si>
  <si>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</si>
  <si>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</si>
  <si>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</si>
  <si>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</si>
  <si>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</si>
  <si>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</si>
  <si>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</si>
  <si>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</si>
  <si>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</si>
  <si>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</si>
  <si>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</si>
  <si>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</si>
  <si>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</si>
  <si>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</si>
  <si>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</si>
  <si>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</si>
  <si>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</si>
  <si>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</si>
  <si>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</si>
  <si>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</si>
  <si>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</si>
  <si>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</si>
  <si>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</si>
  <si>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</si>
  <si>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</si>
  <si>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</si>
  <si>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</si>
  <si>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</si>
  <si>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</si>
  <si>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</si>
  <si>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</si>
  <si>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</si>
  <si>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</si>
  <si>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</si>
  <si>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</si>
  <si>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</si>
  <si>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</si>
  <si>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</si>
  <si>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</si>
  <si>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</si>
  <si>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</si>
  <si>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</si>
  <si>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</si>
  <si>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</si>
  <si>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</si>
  <si>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</si>
  <si>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</si>
  <si>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</si>
  <si>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</si>
  <si>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</si>
  <si>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</si>
  <si>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</si>
  <si>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</si>
  <si>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</si>
  <si>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</si>
  <si>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</si>
  <si>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</si>
  <si>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</si>
  <si>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</si>
  <si>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</si>
  <si>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</si>
  <si>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</si>
  <si>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</si>
  <si>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</si>
  <si>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</si>
  <si>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</si>
  <si>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</si>
  <si>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</si>
  <si>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</si>
  <si>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</si>
  <si>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</si>
  <si>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</si>
  <si>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</si>
  <si>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</si>
  <si>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</si>
  <si>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</si>
  <si>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</si>
  <si>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</si>
  <si>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</si>
  <si>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</si>
  <si>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</si>
  <si>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</si>
  <si>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</si>
  <si>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</si>
  <si>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</si>
  <si>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</si>
  <si>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</si>
  <si>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</si>
  <si>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</si>
  <si>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</si>
  <si>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</si>
  <si>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</si>
  <si>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</si>
  <si>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</si>
  <si>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</si>
  <si>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</si>
  <si>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</si>
  <si>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</si>
  <si>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</si>
  <si>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</si>
  <si>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</si>
  <si>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</si>
  <si>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</si>
  <si>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</si>
  <si>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</si>
  <si>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</si>
  <si>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</si>
  <si>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</si>
  <si>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</si>
  <si>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</si>
  <si>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</si>
  <si>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</si>
  <si>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</si>
  <si>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</si>
  <si>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</si>
  <si>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</si>
  <si>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</si>
  <si>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</si>
  <si>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</si>
  <si>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</si>
  <si>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</si>
  <si>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</si>
  <si>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</si>
  <si>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</si>
  <si>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</si>
  <si>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</si>
  <si>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</si>
  <si>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</si>
  <si>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</si>
  <si>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</si>
  <si>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</si>
  <si>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</si>
  <si>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</si>
  <si>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</si>
  <si>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</si>
  <si>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</si>
  <si>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</si>
  <si>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</si>
  <si>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</si>
  <si>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</si>
  <si>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</si>
  <si>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</si>
  <si>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</si>
  <si>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</si>
  <si>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</si>
  <si>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</si>
  <si>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</si>
  <si>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</si>
  <si>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</si>
  <si>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</si>
  <si>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</si>
  <si>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</si>
  <si>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</si>
  <si>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</si>
  <si>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</si>
  <si>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</si>
  <si>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</si>
  <si>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</si>
  <si>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</si>
  <si>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</si>
  <si>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</si>
  <si>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</si>
  <si>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</si>
  <si>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</si>
  <si>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</si>
  <si>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</si>
  <si>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</si>
  <si>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</si>
  <si>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</si>
  <si>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</si>
  <si>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</si>
  <si>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</si>
  <si>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</si>
  <si>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</si>
  <si>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</si>
  <si>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</si>
  <si>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</si>
  <si>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</si>
  <si>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</si>
  <si>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</si>
  <si>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</si>
  <si>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</si>
  <si>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</si>
  <si>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</si>
  <si>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</si>
  <si>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</si>
  <si>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</si>
  <si>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</si>
  <si>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</si>
  <si>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</si>
  <si>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</si>
  <si>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</si>
  <si>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</si>
  <si>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</si>
  <si>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</si>
  <si>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</si>
  <si>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</si>
  <si>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</si>
  <si>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</si>
  <si>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</si>
  <si>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</si>
  <si>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</si>
  <si>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</si>
  <si>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</si>
  <si>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</si>
  <si>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</si>
  <si>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</si>
  <si>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</si>
  <si>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</si>
  <si>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</si>
  <si>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</si>
  <si>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</si>
  <si>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</si>
  <si>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</si>
  <si>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</si>
  <si>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</si>
  <si>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</si>
  <si>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</si>
  <si>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</si>
  <si>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</si>
  <si>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</si>
  <si>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</si>
  <si>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</si>
  <si>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</si>
  <si>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</si>
  <si>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</si>
  <si>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</si>
  <si>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</si>
  <si>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</si>
  <si>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</si>
  <si>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</si>
  <si>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</si>
  <si>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</si>
  <si>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</si>
  <si>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</si>
  <si>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</si>
  <si>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</si>
  <si>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</si>
  <si>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</si>
  <si>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</si>
  <si>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</si>
  <si>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</si>
  <si>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</si>
  <si>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</si>
  <si>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</si>
  <si>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</si>
  <si>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</si>
  <si>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</si>
  <si>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</si>
  <si>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</si>
  <si>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</si>
  <si>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</si>
  <si>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</si>
  <si>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</si>
  <si>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</si>
  <si>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</si>
  <si>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</si>
  <si>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</si>
  <si>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</si>
  <si>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</si>
  <si>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</si>
  <si>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</si>
  <si>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</si>
  <si>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</si>
  <si>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</si>
  <si>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</si>
  <si>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</si>
  <si>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</si>
  <si>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</si>
  <si>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</si>
  <si>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</si>
  <si>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</si>
  <si>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</si>
  <si>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</si>
  <si>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</si>
  <si>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</si>
  <si>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</si>
  <si>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</si>
  <si>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</si>
  <si>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</si>
  <si>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</si>
  <si>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</si>
  <si>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</si>
  <si>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</si>
  <si>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</si>
  <si>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</si>
  <si>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</si>
  <si>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</si>
  <si>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</si>
  <si>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</si>
  <si>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</si>
  <si>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</si>
  <si>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</si>
  <si>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</si>
  <si>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</si>
  <si>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</si>
  <si>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</si>
  <si>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</si>
  <si>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</si>
  <si>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</si>
  <si>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</si>
  <si>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</si>
  <si>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</si>
  <si>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</si>
  <si>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</si>
  <si>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</si>
  <si>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</si>
  <si>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</si>
  <si>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</si>
  <si>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</si>
  <si>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</si>
  <si>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</si>
  <si>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</si>
  <si>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</si>
  <si>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</si>
  <si>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</si>
  <si>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</si>
  <si>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</si>
  <si>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</si>
  <si>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</si>
  <si>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</si>
  <si>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</si>
  <si>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</si>
  <si>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</si>
  <si>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</si>
  <si>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</si>
  <si>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</si>
  <si>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</si>
  <si>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</si>
  <si>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</si>
  <si>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</si>
  <si>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</si>
  <si>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</si>
  <si>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</si>
  <si>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</si>
  <si>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</si>
  <si>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</si>
  <si>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</si>
  <si>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</si>
  <si>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</si>
  <si>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</si>
  <si>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</si>
  <si>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</si>
  <si>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</si>
  <si>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</si>
  <si>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</si>
  <si>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</si>
  <si>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</si>
  <si>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</si>
  <si>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</si>
  <si>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</si>
  <si>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</si>
  <si>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</si>
  <si>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</si>
  <si>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</si>
  <si>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</si>
  <si>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</si>
  <si>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</si>
  <si>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</si>
  <si>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</si>
  <si>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</si>
  <si>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</si>
  <si>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</si>
  <si>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</si>
  <si>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</si>
  <si>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</si>
  <si>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</si>
  <si>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</si>
  <si>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</si>
  <si>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</si>
  <si>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</si>
  <si>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</si>
  <si>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</si>
  <si>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</si>
  <si>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</si>
  <si>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</si>
  <si>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</si>
  <si>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</si>
  <si>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</si>
  <si>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</si>
  <si>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</si>
  <si>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</si>
  <si>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</si>
  <si>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</si>
  <si>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</si>
  <si>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</si>
  <si>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</si>
  <si>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</si>
  <si>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</si>
  <si>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</si>
  <si>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</si>
  <si>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</si>
  <si>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</si>
  <si>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</si>
  <si>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</si>
  <si>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</si>
  <si>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</si>
  <si>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</si>
  <si>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</si>
  <si>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</si>
  <si>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</si>
  <si>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</si>
  <si>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</si>
  <si>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</si>
  <si>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</si>
  <si>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</si>
  <si>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</si>
  <si>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</si>
  <si>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</si>
  <si>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</si>
  <si>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</si>
  <si>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</si>
  <si>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</si>
  <si>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</si>
  <si>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</si>
  <si>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</si>
  <si>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</si>
  <si>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</si>
  <si>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</si>
  <si>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</si>
  <si>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</si>
  <si>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</si>
  <si>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</si>
  <si>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</si>
  <si>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</si>
  <si>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</si>
  <si>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</si>
  <si>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</si>
  <si>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</si>
  <si>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</si>
  <si>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</si>
  <si>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</si>
  <si>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</si>
  <si>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</si>
  <si>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</si>
  <si>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</si>
  <si>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</si>
  <si>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</si>
  <si>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</si>
  <si>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</si>
  <si>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</si>
  <si>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</si>
  <si>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</si>
  <si>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</si>
  <si>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</si>
  <si>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</si>
  <si>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</si>
  <si>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</si>
  <si>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</si>
  <si>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</si>
  <si>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</si>
  <si>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</si>
  <si>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</si>
  <si>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</si>
  <si>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</si>
  <si>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</si>
  <si>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</si>
  <si>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</si>
  <si>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</si>
  <si>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</si>
  <si>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</si>
  <si>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</si>
  <si>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</si>
  <si>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</si>
  <si>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</si>
  <si>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</si>
  <si>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</si>
  <si>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</si>
  <si>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</si>
  <si>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</si>
  <si>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</si>
  <si>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</si>
  <si>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</si>
  <si>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</si>
  <si>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</si>
  <si>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</si>
  <si>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</si>
  <si>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</si>
  <si>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</si>
  <si>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</si>
  <si>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</si>
  <si>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</si>
  <si>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</si>
  <si>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</si>
  <si>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</si>
  <si>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</si>
  <si>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</si>
  <si>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</si>
  <si>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</si>
  <si>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</si>
  <si>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</si>
  <si>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</si>
  <si>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</si>
  <si>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</si>
  <si>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</si>
  <si>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</si>
  <si>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</si>
  <si>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</si>
  <si>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</si>
  <si>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</si>
  <si>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</si>
  <si>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</si>
  <si>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</si>
  <si>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</si>
  <si>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</si>
  <si>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</si>
  <si>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</si>
  <si>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</si>
  <si>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</si>
  <si>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</si>
  <si>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</si>
  <si>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</si>
  <si>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</si>
  <si>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</si>
  <si>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</si>
  <si>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</si>
  <si>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</si>
  <si>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</si>
  <si>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</si>
  <si>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</si>
  <si>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</si>
  <si>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</si>
  <si>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</si>
  <si>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</si>
  <si>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</si>
  <si>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</si>
  <si>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</si>
  <si>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</si>
  <si>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</si>
  <si>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</si>
  <si>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</si>
  <si>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</si>
  <si>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</si>
  <si>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</si>
  <si>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</si>
  <si>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</si>
  <si>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</si>
  <si>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</si>
  <si>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</si>
  <si>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</si>
  <si>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</si>
  <si>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</si>
  <si>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</si>
  <si>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</si>
  <si>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</si>
  <si>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</si>
  <si>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</si>
  <si>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</si>
  <si>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</si>
  <si>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</si>
  <si>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</si>
  <si>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</si>
  <si>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</si>
  <si>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</si>
  <si>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</si>
  <si>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</si>
  <si>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</si>
  <si>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</si>
  <si>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</si>
  <si>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</si>
  <si>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</si>
  <si>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</si>
  <si>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</si>
  <si>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</si>
  <si>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</si>
  <si>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</si>
  <si>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</si>
  <si>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</si>
  <si>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</si>
  <si>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</si>
  <si>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</si>
  <si>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</si>
  <si>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</si>
  <si>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</si>
  <si>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</si>
  <si>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</si>
  <si>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</si>
  <si>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</si>
  <si>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</si>
  <si>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</si>
  <si>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</si>
  <si>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</si>
  <si>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</si>
  <si>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</si>
  <si>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</si>
  <si>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</si>
  <si>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</si>
  <si>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</si>
  <si>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</si>
  <si>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</si>
  <si>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</si>
  <si>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</si>
  <si>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</si>
  <si>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</si>
  <si>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</si>
  <si>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</si>
  <si>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</si>
  <si>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</si>
  <si>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</si>
  <si>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</si>
  <si>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</si>
  <si>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</si>
  <si>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</si>
  <si>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</si>
  <si>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</si>
  <si>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</si>
  <si>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</si>
  <si>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</si>
  <si>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</si>
  <si>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</si>
  <si>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</si>
  <si>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</si>
  <si>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</si>
  <si>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</si>
  <si>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</si>
  <si>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</si>
  <si>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</si>
  <si>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</si>
  <si>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</si>
  <si>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</si>
  <si>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</si>
  <si>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</si>
  <si>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</si>
  <si>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</si>
  <si>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</si>
  <si>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</si>
  <si>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</si>
  <si>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</si>
  <si>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</si>
  <si>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</si>
  <si>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</si>
  <si>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</si>
  <si>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</si>
  <si>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</si>
  <si>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</si>
  <si>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</si>
  <si>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</si>
  <si>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</si>
  <si>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</si>
  <si>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</si>
  <si>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</si>
  <si>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</si>
  <si>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</si>
  <si>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</si>
  <si>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</si>
  <si>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</si>
  <si>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</si>
  <si>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</si>
  <si>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</si>
  <si>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</si>
  <si>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</si>
  <si>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</si>
  <si>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</si>
  <si>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</si>
  <si>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</si>
  <si>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</si>
  <si>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</si>
  <si>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</si>
  <si>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</si>
  <si>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</si>
  <si>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</si>
  <si>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</si>
  <si>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</si>
  <si>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</si>
  <si>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</si>
  <si>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</si>
  <si>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</si>
  <si>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</si>
  <si>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</si>
  <si>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</si>
  <si>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</si>
  <si>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</si>
  <si>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</si>
  <si>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</si>
  <si>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</si>
  <si>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</si>
  <si>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</si>
  <si>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</si>
  <si>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</si>
  <si>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</si>
  <si>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</si>
  <si>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</si>
  <si>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</si>
  <si>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</si>
  <si>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</si>
  <si>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</si>
  <si>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</si>
  <si>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</si>
  <si>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</si>
  <si>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</si>
  <si>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</si>
  <si>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</si>
  <si>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</si>
  <si>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</si>
  <si>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</si>
  <si>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</si>
  <si>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</si>
  <si>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</si>
  <si>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</si>
  <si>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</si>
  <si>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</si>
  <si>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</si>
  <si>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</si>
  <si>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</si>
  <si>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</si>
  <si>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</si>
  <si>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</si>
  <si>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</si>
  <si>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</si>
  <si>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</si>
  <si>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</si>
  <si>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</si>
  <si>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</si>
  <si>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</si>
  <si>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</si>
  <si>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</si>
  <si>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</si>
  <si>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</si>
  <si>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</si>
  <si>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</si>
  <si>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</si>
  <si>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</si>
  <si>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</si>
  <si>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</si>
  <si>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</si>
  <si>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</si>
  <si>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</si>
  <si>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</si>
  <si>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</si>
  <si>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</si>
  <si>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</si>
  <si>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</si>
  <si>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</si>
  <si>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</si>
  <si>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</si>
  <si>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</si>
  <si>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</si>
  <si>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</si>
  <si>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</si>
  <si>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</si>
  <si>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</si>
  <si>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</si>
  <si>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</si>
  <si>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</si>
  <si>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</si>
  <si>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</si>
  <si>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</si>
  <si>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</si>
  <si>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</si>
  <si>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</si>
  <si>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</si>
  <si>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</si>
  <si>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</si>
  <si>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</si>
  <si>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</si>
  <si>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</si>
  <si>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</si>
  <si>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</si>
  <si>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</si>
  <si>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</si>
  <si>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</si>
  <si>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</si>
  <si>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</si>
  <si>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</si>
  <si>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</si>
  <si>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</si>
  <si>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</si>
  <si>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</si>
  <si>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</si>
  <si>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</si>
  <si>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</si>
  <si>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</si>
  <si>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</si>
  <si>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</si>
  <si>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</si>
  <si>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</si>
  <si>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</si>
  <si>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</si>
  <si>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</si>
  <si>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</si>
  <si>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</si>
  <si>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</si>
  <si>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</si>
  <si>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</si>
  <si>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</si>
  <si>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</si>
  <si>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</si>
  <si>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</si>
  <si>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</si>
  <si>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</si>
  <si>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</si>
  <si>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</si>
  <si>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</si>
  <si>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</si>
  <si>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</si>
  <si>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</si>
  <si>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</si>
  <si>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</si>
  <si>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</si>
  <si>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</si>
  <si>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</si>
  <si>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</si>
  <si>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</si>
  <si>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</si>
  <si>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</si>
  <si>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</si>
  <si>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</si>
  <si>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</si>
  <si>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</si>
  <si>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</si>
  <si>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</si>
  <si>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</si>
  <si>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</si>
  <si>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</si>
  <si>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</si>
  <si>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</si>
  <si>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</si>
  <si>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</si>
  <si>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</si>
  <si>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</si>
  <si>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</si>
  <si>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</si>
  <si>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</si>
  <si>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</si>
  <si>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</si>
  <si>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</si>
  <si>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</si>
  <si>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</si>
  <si>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</si>
  <si>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</si>
  <si>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</si>
  <si>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</si>
  <si>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</si>
  <si>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</si>
  <si>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</si>
  <si>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</si>
  <si>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</si>
  <si>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</si>
  <si>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</si>
  <si>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</si>
  <si>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</si>
  <si>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</si>
  <si>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</si>
  <si>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</si>
  <si>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</si>
  <si>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</si>
  <si>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</si>
  <si>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</si>
  <si>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</si>
  <si>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</si>
  <si>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</si>
  <si>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</si>
  <si>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</si>
  <si>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</si>
  <si>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</si>
  <si>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</si>
  <si>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</si>
  <si>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</si>
  <si>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</si>
  <si>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</si>
  <si>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</si>
  <si>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</si>
  <si>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</si>
  <si>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</si>
  <si>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</si>
  <si>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</si>
  <si>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</si>
  <si>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</si>
  <si>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</si>
  <si>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</si>
  <si>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</si>
  <si>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</si>
  <si>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</si>
  <si>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</si>
  <si>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</si>
  <si>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</si>
  <si>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</si>
  <si>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</si>
  <si>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</si>
  <si>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</si>
  <si>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</si>
  <si>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</si>
  <si>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</si>
  <si>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</si>
  <si>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</si>
  <si>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</si>
  <si>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</si>
  <si>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</si>
  <si>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</si>
  <si>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</si>
  <si>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</si>
  <si>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</si>
  <si>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</si>
  <si>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</si>
  <si>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</si>
  <si>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</si>
  <si>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</si>
  <si>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</si>
  <si>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</si>
  <si>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</si>
  <si>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</si>
  <si>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</si>
  <si>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</si>
  <si>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</si>
  <si>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</si>
  <si>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</si>
  <si>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</si>
  <si>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</si>
  <si>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</si>
  <si>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</si>
  <si>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</si>
  <si>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</si>
  <si>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</si>
  <si>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</si>
  <si>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</si>
  <si>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</si>
  <si>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</si>
  <si>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</si>
  <si>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</si>
  <si>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</si>
  <si>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</si>
  <si>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</si>
  <si>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</si>
  <si>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</si>
  <si>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</si>
  <si>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</si>
  <si>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</si>
  <si>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</si>
  <si>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</si>
  <si>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</si>
  <si>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</si>
  <si>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</si>
  <si>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</si>
  <si>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</si>
  <si>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</si>
  <si>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</si>
  <si>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</si>
  <si>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</si>
  <si>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</si>
  <si>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</si>
  <si>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</si>
  <si>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</si>
  <si>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</si>
  <si>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</si>
  <si>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</si>
  <si>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</si>
  <si>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</si>
  <si>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</si>
  <si>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</si>
  <si>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</si>
  <si>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</si>
  <si>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</si>
  <si>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</si>
  <si>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</si>
  <si>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</si>
  <si>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</si>
  <si>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</si>
  <si>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</si>
  <si>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</si>
  <si>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</si>
  <si>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</si>
  <si>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</si>
  <si>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</si>
  <si>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</si>
  <si>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</si>
  <si>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</si>
  <si>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</si>
  <si>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</si>
  <si>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3590 Elm Avenue</t>
  </si>
  <si>
    <t>Long Beach</t>
  </si>
  <si>
    <t xml:space="preserve">CA </t>
  </si>
  <si>
    <t>CA</t>
  </si>
  <si>
    <t>Linc Housing Corporation</t>
  </si>
  <si>
    <t>Long Beach, CA 90807</t>
  </si>
  <si>
    <t>Anders Plett</t>
  </si>
  <si>
    <t>562-684-1131</t>
  </si>
  <si>
    <t>aplett@linchousing.org</t>
  </si>
  <si>
    <t xml:space="preserve">Gubb &amp; Barshay LLP										</t>
  </si>
  <si>
    <t>235 Montgomery Street, Ste. 1110</t>
  </si>
  <si>
    <t>San Francisco, CA 94104</t>
  </si>
  <si>
    <t>Henry Loh II</t>
  </si>
  <si>
    <t>415-354-3618</t>
  </si>
  <si>
    <t>hloh@gubbandbarshay.com</t>
  </si>
  <si>
    <t>Holthouse Carlin &amp; Van Trigt LLP</t>
  </si>
  <si>
    <t>400 W Ventura Blvd., Suite #250</t>
  </si>
  <si>
    <t>Camarillo, CA 93010</t>
  </si>
  <si>
    <t>David Bierhorst</t>
  </si>
  <si>
    <t>805-374-8555</t>
  </si>
  <si>
    <t>805-413-1749</t>
  </si>
  <si>
    <t xml:space="preserve">California Housing Partnership Corporation										</t>
  </si>
  <si>
    <t xml:space="preserve">49 Stevenson St, Ste 500										</t>
  </si>
  <si>
    <t xml:space="preserve">San Francisco, CA 94105										</t>
  </si>
  <si>
    <t xml:space="preserve">2499 W. Shaw Ave., Ste. 103										</t>
  </si>
  <si>
    <t xml:space="preserve">Fresno, CA 93711										</t>
  </si>
  <si>
    <t xml:space="preserve">Oke Johnson										</t>
  </si>
  <si>
    <t>WinnResidential</t>
  </si>
  <si>
    <t xml:space="preserve">559-489-9930					</t>
  </si>
  <si>
    <t xml:space="preserve">okejohnson@winnco.com										</t>
  </si>
  <si>
    <t>Linc Housing Corporation (as Sole Member and Manager of Linc I Street Apts LLC, the Managing General Partner of Linc I Street Apts, LP)</t>
  </si>
  <si>
    <t>I Street, Merced</t>
  </si>
  <si>
    <t>19th</t>
  </si>
  <si>
    <t>May</t>
  </si>
  <si>
    <t>City of Merced</t>
  </si>
  <si>
    <t>Scott McBride</t>
  </si>
  <si>
    <t>678 West 18th Street</t>
  </si>
  <si>
    <t>(209) 385-6834</t>
  </si>
  <si>
    <t>mcbrides@cityofmerced.org</t>
  </si>
  <si>
    <t>1823 &amp; 1815 I Street, 205 &amp; 211 W. 18th St., 202 W. 19th St.</t>
  </si>
  <si>
    <t>031-074-010, 031-074-011, 031-074-009, 031-074-008, &amp; 031-074-012</t>
  </si>
  <si>
    <t>40%/60%</t>
  </si>
  <si>
    <t>Joey Shields</t>
  </si>
  <si>
    <t>562-684-1100</t>
  </si>
  <si>
    <t xml:space="preserve">Linc I Street Apts LLC </t>
  </si>
  <si>
    <t>Managing GP</t>
  </si>
  <si>
    <t>Not Applicable</t>
  </si>
  <si>
    <t>jshields@linchousing.org</t>
  </si>
  <si>
    <t>Senior Project Manager</t>
  </si>
  <si>
    <t>BSB Design, Inc</t>
  </si>
  <si>
    <t>970 W 190th Street, Suite 250</t>
  </si>
  <si>
    <t>Torrance, CA 90502</t>
  </si>
  <si>
    <t xml:space="preserve">Jim Williams </t>
  </si>
  <si>
    <t xml:space="preserve">310-217-8885 </t>
  </si>
  <si>
    <t>jwilliams@bsbdesign.com</t>
  </si>
  <si>
    <t>TBD</t>
  </si>
  <si>
    <t>Raymond James Housing Investments, Inc.</t>
  </si>
  <si>
    <t>5420 La Jolla Blvd., #B104</t>
  </si>
  <si>
    <t>La Jolla, CA 92037</t>
  </si>
  <si>
    <t>Kevin Kilbane</t>
  </si>
  <si>
    <t>216-509-1342</t>
  </si>
  <si>
    <t>kevin.kilbane@raymondjames.com</t>
  </si>
  <si>
    <t>daveb@hcvt.com</t>
  </si>
  <si>
    <t>Chad Horsford</t>
  </si>
  <si>
    <t>‪(415) 433-6804</t>
  </si>
  <si>
    <t xml:space="preserve">chorsford@chpc.net  </t>
  </si>
  <si>
    <t>Buss-Shelger Associates</t>
  </si>
  <si>
    <t>970 W. 190ths St., Suite 350</t>
  </si>
  <si>
    <t>Ronald L. Buss</t>
  </si>
  <si>
    <t>213-388-7272</t>
  </si>
  <si>
    <t>213-254-9032</t>
  </si>
  <si>
    <t>bussshelger@pacbell.net</t>
  </si>
  <si>
    <t>Kinetic Valuation Group</t>
  </si>
  <si>
    <t>3901 S 47th St, Suite 144</t>
  </si>
  <si>
    <t>Omaha, NE 98144</t>
  </si>
  <si>
    <t>Hunter Hanson</t>
  </si>
  <si>
    <t>712-592-0296</t>
  </si>
  <si>
    <t>hunter@kvgteam.com</t>
  </si>
  <si>
    <t>678 West 18th Street, Merced, CA 95340</t>
  </si>
  <si>
    <t>Inner City Infill Site</t>
  </si>
  <si>
    <t>Not applicable</t>
  </si>
  <si>
    <t>Residential</t>
  </si>
  <si>
    <t>R4 Multi-Family Residential Zone (unlimited density, AB1763)</t>
  </si>
  <si>
    <t>Density Bonus, 31 bonus units and State Density Bonus laws eliminates parking requirements since development is within one half-mile of public transit.</t>
  </si>
  <si>
    <t>40' per code, 44' with Density Bonus</t>
  </si>
  <si>
    <t>Entitlements</t>
  </si>
  <si>
    <t>Construction Loan</t>
  </si>
  <si>
    <t>Variable</t>
  </si>
  <si>
    <t>Alliance Housing Fund</t>
  </si>
  <si>
    <t>Fixed</t>
  </si>
  <si>
    <t>REAP: Regional Competitiveness Grant</t>
  </si>
  <si>
    <t>City of Merced PLHA</t>
  </si>
  <si>
    <t>Impact Fee Waiver</t>
  </si>
  <si>
    <t>Tax Credit Equity</t>
  </si>
  <si>
    <t>Cost Deferred Until Completion</t>
  </si>
  <si>
    <t>530 West 16th Street, Suite B</t>
  </si>
  <si>
    <t>Kristynn Sullivan</t>
  </si>
  <si>
    <t>(209) 381-5300</t>
  </si>
  <si>
    <t>Construction/Permanent</t>
  </si>
  <si>
    <t>333 Bush Street, Suite 2700</t>
  </si>
  <si>
    <t>Sara Perez</t>
  </si>
  <si>
    <t>(415) 616-2597</t>
  </si>
  <si>
    <t>5420 La Jolla Blvd, B 104</t>
  </si>
  <si>
    <t>La Jolla, CA 92307</t>
  </si>
  <si>
    <t>(216) 509-1342</t>
  </si>
  <si>
    <t>3590 Elm Ave</t>
  </si>
  <si>
    <t>(562) 564-1131</t>
  </si>
  <si>
    <t>Costs Deferral</t>
  </si>
  <si>
    <t>Permanent Loan</t>
  </si>
  <si>
    <t>Permanent</t>
  </si>
  <si>
    <t>Fee Waiver</t>
  </si>
  <si>
    <t>Merced Irrigation District Electric Charge, Air Conditioning</t>
  </si>
  <si>
    <t xml:space="preserve">Housing Authority of County of Merced </t>
  </si>
  <si>
    <t>REAP: Regional Competitiveness Grant, Alliance Housing Fund Grant</t>
  </si>
  <si>
    <t xml:space="preserve">Housing Authority of the County of Merced </t>
  </si>
  <si>
    <t>Project-based vouchers (PBVs)</t>
  </si>
  <si>
    <t>Project-based Section 8 from the Housing Authority of the County of Merced</t>
  </si>
  <si>
    <t>62+</t>
  </si>
  <si>
    <t>California Municipal Finance Authority</t>
  </si>
  <si>
    <t>2111 Palomar Airport Road, Suite 320</t>
  </si>
  <si>
    <t>Carlsbad, CA 92011</t>
  </si>
  <si>
    <t>Anthony Stubbs</t>
  </si>
  <si>
    <t>760-930-1333</t>
  </si>
  <si>
    <t>astubbs@cmfa-ca.com</t>
  </si>
  <si>
    <t>300 South Grand Avenue suite 3110</t>
  </si>
  <si>
    <t xml:space="preserve">Los Angeles </t>
  </si>
  <si>
    <t xml:space="preserve">Hao Li </t>
  </si>
  <si>
    <t>(213) 239-1914</t>
  </si>
  <si>
    <t>Construction</t>
  </si>
  <si>
    <t>Donated Land</t>
  </si>
  <si>
    <t>Taxable Construction Loan</t>
  </si>
  <si>
    <t>562-647-1131</t>
  </si>
  <si>
    <t>Misc. Admin</t>
  </si>
  <si>
    <t>Franchise Tax Boards</t>
  </si>
  <si>
    <t>City of Merced-Value of Donated Land</t>
  </si>
  <si>
    <t>Green, Prevailing Wage Monitoring</t>
  </si>
  <si>
    <t>Deputy Inspections, Utility Fees</t>
  </si>
  <si>
    <t>Security</t>
  </si>
  <si>
    <t>We anticipate this project to be all seniors (55-62+), with 27 of those units being set aside for Older Adults in Need of Supportive Services.</t>
  </si>
  <si>
    <t>1 bedroom</t>
  </si>
  <si>
    <t>City of Merced - Land Donation</t>
  </si>
  <si>
    <t>City of Merced - Impact Fee Waiver</t>
  </si>
  <si>
    <t>Senior VP of Housing Development</t>
  </si>
  <si>
    <t>Provided</t>
  </si>
  <si>
    <t>SOFR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</si>
</sst>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0"/>
      <name val="Courier"/>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19668">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169" fontId="186"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cellStyleXfs>
  <cellXfs count="2699">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0" fillId="0" borderId="0" xfId="0" applyAlignment="1">
      <alignment horizontal="center"/>
    </xf>
    <xf numFmtId="0" fontId="17" fillId="0" borderId="0" xfId="543" applyAlignment="1">
      <alignment wrapText="1"/>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2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6" xfId="0" applyBorder="1" applyAlignment="1">
      <alignment horizontal="left"/>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17" fillId="5" borderId="4" xfId="0" applyFont="1" applyFill="1" applyBorder="1" applyAlignment="1" applyProtection="1">
      <alignment wrapText="1"/>
      <protection locked="0"/>
    </xf>
    <xf numFmtId="0" fontId="24" fillId="0" borderId="11" xfId="0" applyFont="1" applyBorder="1" applyAlignment="1">
      <alignment horizontal="center" vertical="center" wrapText="1"/>
    </xf>
    <xf numFmtId="0" fontId="17" fillId="5" borderId="4" xfId="0" applyFont="1" applyFill="1" applyBorder="1" applyAlignment="1" applyProtection="1">
      <alignment horizontal="left"/>
      <protection locked="0"/>
    </xf>
    <xf numFmtId="0" fontId="26" fillId="2" borderId="11" xfId="0" applyFont="1" applyFill="1" applyBorder="1" applyAlignment="1">
      <alignment horizontal="center"/>
    </xf>
    <xf numFmtId="0" fontId="26" fillId="45" borderId="11" xfId="0" applyFont="1" applyFill="1" applyBorder="1" applyAlignment="1">
      <alignment horizont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0" borderId="11" xfId="543" applyBorder="1" applyAlignment="1">
      <alignment horizontal="center"/>
    </xf>
    <xf numFmtId="0" fontId="0" fillId="0" borderId="11" xfId="0" applyBorder="1" applyAlignment="1">
      <alignment horizontal="center"/>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17" fillId="5" borderId="11" xfId="0" applyFont="1" applyFill="1" applyBorder="1" applyAlignment="1" applyProtection="1">
      <alignment horizontal="left" vertical="center" wrapText="1"/>
      <protection locked="0"/>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0" borderId="11" xfId="0" applyFont="1"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6" fillId="0" borderId="3" xfId="0" applyFont="1" applyBorder="1" applyAlignment="1">
      <alignment horizontal="center"/>
    </xf>
    <xf numFmtId="0" fontId="26" fillId="0" borderId="5" xfId="0" applyFont="1" applyBorder="1" applyAlignment="1">
      <alignment horizontal="center"/>
    </xf>
    <xf numFmtId="0" fontId="26" fillId="0" borderId="4" xfId="0" applyFont="1" applyBorder="1" applyAlignment="1">
      <alignment horizontal="center"/>
    </xf>
    <xf numFmtId="0" fontId="17"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0" fillId="0" borderId="9" xfId="0" applyBorder="1" applyAlignment="1">
      <alignment horizontal="left"/>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17" fillId="0" borderId="11" xfId="543" applyNumberFormat="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1" fontId="26" fillId="5" borderId="11" xfId="0" applyNumberFormat="1" applyFont="1" applyFill="1" applyBorder="1" applyAlignment="1" applyProtection="1">
      <alignment horizontal="center"/>
      <protection locked="0"/>
    </xf>
    <xf numFmtId="0" fontId="24"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6" fillId="0" borderId="11" xfId="0" applyFont="1" applyBorder="1" applyAlignment="1">
      <alignment horizontal="center" vertical="top" wrapText="1"/>
    </xf>
    <xf numFmtId="0" fontId="24" fillId="0" borderId="0" xfId="0" applyFont="1" applyAlignment="1">
      <alignment horizontal="center" vertic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7" fillId="43" borderId="11" xfId="0"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4" fillId="0" borderId="6" xfId="0" applyFont="1" applyBorder="1" applyAlignment="1">
      <alignment horizontal="center"/>
    </xf>
    <xf numFmtId="9" fontId="17" fillId="5" borderId="3" xfId="0" applyNumberFormat="1" applyFont="1" applyFill="1" applyBorder="1" applyAlignment="1" applyProtection="1">
      <alignment horizontal="right"/>
      <protection locked="0"/>
    </xf>
    <xf numFmtId="0" fontId="17" fillId="0" borderId="3" xfId="0" applyFont="1" applyBorder="1"/>
    <xf numFmtId="0" fontId="17" fillId="0" borderId="4" xfId="0" applyFont="1" applyBorder="1"/>
    <xf numFmtId="0" fontId="17" fillId="0" borderId="5" xfId="0" applyFont="1" applyBorder="1"/>
    <xf numFmtId="168" fontId="0" fillId="5" borderId="11"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0" fillId="5" borderId="11" xfId="0" applyNumberFormat="1" applyFill="1" applyBorder="1" applyProtection="1">
      <protection locked="0"/>
    </xf>
    <xf numFmtId="0" fontId="26" fillId="0" borderId="3" xfId="0" applyFont="1" applyBorder="1" applyAlignment="1">
      <alignment horizontal="left"/>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0" fontId="24" fillId="0" borderId="7"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166" fontId="17" fillId="5" borderId="4" xfId="0" applyNumberFormat="1" applyFont="1" applyFill="1" applyBorder="1" applyAlignment="1" applyProtection="1">
      <alignment horizontal="left"/>
      <protection locked="0"/>
    </xf>
    <xf numFmtId="0" fontId="24" fillId="0" borderId="11" xfId="0" applyFont="1" applyBorder="1" applyAlignment="1">
      <alignment horizontal="center" vertical="center"/>
    </xf>
    <xf numFmtId="10" fontId="0" fillId="5" borderId="4" xfId="0" applyNumberFormat="1" applyFill="1" applyBorder="1" applyAlignment="1" applyProtection="1">
      <alignment horizontal="center"/>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14" fontId="17"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0" fillId="0" borderId="12" xfId="0" applyBorder="1" applyAlignment="1">
      <alignment horizontal="center"/>
    </xf>
    <xf numFmtId="0" fontId="17" fillId="5" borderId="11" xfId="0" applyFont="1" applyFill="1" applyBorder="1" applyAlignment="1" applyProtection="1">
      <alignmen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72" fontId="24" fillId="0" borderId="11" xfId="0" applyNumberFormat="1" applyFont="1" applyBorder="1" applyAlignment="1">
      <alignment horizontal="center" vertical="center" wrapText="1"/>
    </xf>
    <xf numFmtId="0" fontId="17"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2" fontId="0" fillId="0" borderId="6" xfId="0" applyNumberFormat="1" applyBorder="1" applyAlignment="1">
      <alignment horizontal="center"/>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17" fillId="0" borderId="3" xfId="0" applyFont="1" applyBorder="1" applyAlignment="1">
      <alignment horizontal="left"/>
    </xf>
    <xf numFmtId="0" fontId="0" fillId="0" borderId="5" xfId="0" applyBorder="1" applyAlignment="1">
      <alignment horizontal="left"/>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3" fontId="26" fillId="5" borderId="11" xfId="0" applyNumberFormat="1" applyFont="1" applyFill="1" applyBorder="1" applyAlignment="1" applyProtection="1">
      <alignment horizontal="center"/>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7" fillId="0" borderId="0" xfId="543" applyNumberFormat="1" applyAlignment="1">
      <alignment horizontal="right"/>
    </xf>
    <xf numFmtId="168" fontId="0" fillId="0" borderId="11" xfId="0" applyNumberFormat="1" applyBorder="1"/>
    <xf numFmtId="0" fontId="26"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9" fontId="17" fillId="0" borderId="0" xfId="543" applyNumberFormat="1" applyAlignment="1">
      <alignment horizontal="center" vertical="center"/>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0" fontId="24"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6" fillId="0" borderId="0" xfId="0" applyNumberFormat="1" applyFont="1" applyAlignment="1">
      <alignment horizontal="center" vertical="center" wrapText="1"/>
    </xf>
    <xf numFmtId="0" fontId="17" fillId="0" borderId="4" xfId="0" applyFont="1" applyBorder="1" applyAlignment="1">
      <alignment horizontal="left"/>
    </xf>
    <xf numFmtId="0" fontId="17" fillId="0" borderId="5" xfId="0"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6" fillId="5" borderId="4" xfId="0" applyNumberFormat="1" applyFont="1" applyFill="1" applyBorder="1" applyAlignment="1" applyProtection="1">
      <alignment horizontal="right"/>
      <protection locked="0"/>
    </xf>
    <xf numFmtId="0" fontId="17" fillId="5" borderId="3" xfId="0" applyFont="1" applyFill="1" applyBorder="1" applyAlignment="1" applyProtection="1">
      <alignment horizontal="left" vertical="center" wrapText="1"/>
      <protection locked="0"/>
    </xf>
    <xf numFmtId="0" fontId="17" fillId="5" borderId="4" xfId="0" applyFont="1" applyFill="1" applyBorder="1" applyAlignment="1" applyProtection="1">
      <alignment horizontal="left" vertical="center" wrapText="1"/>
      <protection locked="0"/>
    </xf>
    <xf numFmtId="0" fontId="17" fillId="5" borderId="5" xfId="0" applyFont="1" applyFill="1" applyBorder="1" applyAlignment="1" applyProtection="1">
      <alignment horizontal="left" vertical="center" wrapText="1"/>
      <protection locked="0"/>
    </xf>
    <xf numFmtId="0" fontId="24" fillId="0" borderId="9" xfId="0" applyFont="1" applyBorder="1" applyAlignment="1">
      <alignment horizontal="center"/>
    </xf>
    <xf numFmtId="168" fontId="17"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166" fontId="17"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166" fontId="17" fillId="5" borderId="6" xfId="0" applyNumberFormat="1"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17" fillId="5" borderId="0" xfId="244" applyFont="1" applyFill="1" applyBorder="1" applyAlignment="1" applyProtection="1">
      <alignment horizontal="left"/>
      <protection locked="0"/>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168" fontId="26" fillId="0" borderId="11" xfId="0" applyNumberFormat="1" applyFont="1" applyBorder="1" applyAlignment="1">
      <alignment horizontal="center"/>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0" fontId="26" fillId="0" borderId="11" xfId="0" applyNumberFormat="1" applyFont="1" applyBorder="1" applyAlignment="1">
      <alignment horizontal="center"/>
    </xf>
    <xf numFmtId="172" fontId="0" fillId="5" borderId="6" xfId="0" applyNumberFormat="1" applyFill="1" applyBorder="1" applyAlignment="1" applyProtection="1">
      <alignment horizontal="center"/>
      <protection locked="0"/>
    </xf>
    <xf numFmtId="168" fontId="26" fillId="5" borderId="6" xfId="0" applyNumberFormat="1" applyFont="1" applyFill="1" applyBorder="1" applyAlignment="1" applyProtection="1">
      <alignment horizontal="right"/>
      <protection locked="0"/>
    </xf>
    <xf numFmtId="0" fontId="36" fillId="5" borderId="6" xfId="0" applyFont="1" applyFill="1" applyBorder="1" applyAlignment="1" applyProtection="1">
      <alignment horizontal="left"/>
      <protection locked="0"/>
    </xf>
    <xf numFmtId="0" fontId="17" fillId="5" borderId="3" xfId="0" applyFont="1" applyFill="1" applyBorder="1" applyAlignment="1" applyProtection="1">
      <alignment horizontal="center"/>
      <protection locked="0"/>
    </xf>
    <xf numFmtId="0" fontId="0" fillId="5" borderId="4" xfId="0" applyFill="1" applyBorder="1" applyAlignment="1" applyProtection="1">
      <alignment horizontal="right"/>
      <protection locked="0"/>
    </xf>
    <xf numFmtId="0" fontId="26" fillId="5" borderId="11" xfId="0" applyFont="1" applyFill="1" applyBorder="1" applyAlignment="1" applyProtection="1">
      <alignment horizontal="center"/>
      <protection locked="0"/>
    </xf>
    <xf numFmtId="1" fontId="26" fillId="5" borderId="6" xfId="0" applyNumberFormat="1" applyFont="1" applyFill="1" applyBorder="1" applyAlignment="1" applyProtection="1">
      <alignment horizontal="right"/>
      <protection locked="0"/>
    </xf>
    <xf numFmtId="1" fontId="26" fillId="5" borderId="11" xfId="0" quotePrefix="1" applyNumberFormat="1" applyFon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0" fontId="17" fillId="43" borderId="4" xfId="0" applyFont="1" applyFill="1" applyBorder="1" applyAlignment="1" applyProtection="1">
      <alignment horizontal="left" wrapText="1"/>
      <protection locked="0"/>
    </xf>
    <xf numFmtId="0" fontId="26" fillId="5" borderId="4" xfId="0"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17"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3" fontId="26" fillId="0" borderId="11" xfId="0" applyNumberFormat="1" applyFont="1" applyBorder="1" applyAlignment="1">
      <alignment horizontal="center"/>
    </xf>
    <xf numFmtId="0" fontId="0" fillId="0" borderId="6" xfId="0" applyBorder="1" applyAlignment="1" applyProtection="1">
      <alignment horizontal="center"/>
      <protection locked="0"/>
    </xf>
    <xf numFmtId="3" fontId="0" fillId="0" borderId="6" xfId="0" applyNumberFormat="1" applyBorder="1" applyAlignment="1">
      <alignment horizontal="right"/>
    </xf>
    <xf numFmtId="178" fontId="26" fillId="5" borderId="4" xfId="0" applyNumberFormat="1" applyFont="1" applyFill="1" applyBorder="1" applyAlignment="1" applyProtection="1">
      <alignment horizontal="right"/>
      <protection locked="0"/>
    </xf>
    <xf numFmtId="168" fontId="17"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4" fillId="0" borderId="10" xfId="0" applyFont="1" applyBorder="1" applyAlignment="1">
      <alignment horizontal="center"/>
    </xf>
    <xf numFmtId="0" fontId="0" fillId="43" borderId="10" xfId="0" applyFill="1" applyBorder="1" applyAlignment="1" applyProtection="1">
      <alignment horizontal="left"/>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7" fillId="5" borderId="114" xfId="0" applyFont="1" applyFill="1" applyBorder="1" applyAlignment="1" applyProtection="1">
      <alignment horizontal="left"/>
      <protection locked="0"/>
    </xf>
    <xf numFmtId="0" fontId="0" fillId="5" borderId="114" xfId="0" applyFill="1" applyBorder="1" applyAlignment="1" applyProtection="1">
      <alignment horizontal="left"/>
      <protection locked="0"/>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0" fontId="17" fillId="5" borderId="4" xfId="1192" applyFill="1" applyBorder="1" applyAlignment="1" applyProtection="1">
      <alignment horizontal="left"/>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19668">
    <cellStyle name="20% - Accent1" xfId="1" builtinId="30" customBuiltin="1"/>
    <cellStyle name="20% - Accent1 10" xfId="4504" xr:uid="{00000000-0005-0000-0000-000001000000}"/>
    <cellStyle name="20% - Accent1 10 2" xfId="12954" xr:uid="{3F461594-D99D-4A82-8DD8-81691DF50FF0}"/>
    <cellStyle name="20% - Accent1 11" xfId="17177" xr:uid="{D6C85C5C-E6D8-4BCF-BB61-0DCADD62BF5C}"/>
    <cellStyle name="20% - Accent1 12" xfId="18010" xr:uid="{831AA162-4F44-4042-BCF9-77E499ADE220}"/>
    <cellStyle name="20% - Accent1 13" xfId="18839" xr:uid="{0F8E88E0-13F2-4127-99C8-BB3041FCC879}"/>
    <cellStyle name="20% - Accent1 14" xfId="8736" xr:uid="{5196C95A-FCDC-453D-9C8B-3274E5A42B41}"/>
    <cellStyle name="20% - Accent1 2" xfId="2" xr:uid="{00000000-0005-0000-0000-000002000000}"/>
    <cellStyle name="20% - Accent1 2 10" xfId="17178" xr:uid="{B03673F9-1A89-4558-BAE5-2175F97F7764}"/>
    <cellStyle name="20% - Accent1 2 11" xfId="18011" xr:uid="{B88DD279-C85E-487A-9BD1-BCF5E95B460E}"/>
    <cellStyle name="20% - Accent1 2 12" xfId="18840" xr:uid="{D8885AF4-DA12-4170-873E-92540305BC93}"/>
    <cellStyle name="20% - Accent1 2 13" xfId="8737" xr:uid="{D7B3C4F4-9F6F-47A6-B229-11D7DE800F36}"/>
    <cellStyle name="20% - Accent1 2 2" xfId="3" xr:uid="{00000000-0005-0000-0000-000003000000}"/>
    <cellStyle name="20% - Accent1 2 2 10" xfId="18012" xr:uid="{A7326584-B91A-4DE1-8C20-F711427C63ED}"/>
    <cellStyle name="20% - Accent1 2 2 11" xfId="18841" xr:uid="{E7FA08CA-8F7B-497E-AD34-BAF178A5C043}"/>
    <cellStyle name="20% - Accent1 2 2 12" xfId="8738" xr:uid="{034711D6-8E8C-4252-99FE-133D3A3EB3A2}"/>
    <cellStyle name="20% - Accent1 2 2 2" xfId="4" xr:uid="{00000000-0005-0000-0000-000004000000}"/>
    <cellStyle name="20% - Accent1 2 2 2 10" xfId="18842" xr:uid="{AC057953-5C42-4D05-A364-095CDFD555ED}"/>
    <cellStyle name="20% - Accent1 2 2 2 11" xfId="8739" xr:uid="{14C66EDF-1715-4810-AE51-FD21DCDAE9F4}"/>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CC844D35-5773-43A1-8C71-3E3EA676806C}"/>
    <cellStyle name="20% - Accent1 2 2 2 2 2 3" xfId="11298" xr:uid="{90A286B9-FECE-4302-B750-64A7DD75C300}"/>
    <cellStyle name="20% - Accent1 2 2 2 2 3" xfId="4921" xr:uid="{00000000-0005-0000-0000-000008000000}"/>
    <cellStyle name="20% - Accent1 2 2 2 2 3 2" xfId="13371" xr:uid="{F5A15DE5-8212-4875-BB01-904AAEF591C5}"/>
    <cellStyle name="20% - Accent1 2 2 2 2 4" xfId="17597" xr:uid="{45B89263-D04E-40FA-AE07-08CADA2E6EAE}"/>
    <cellStyle name="20% - Accent1 2 2 2 2 5" xfId="18429" xr:uid="{D8724D57-4DE3-4322-9FB2-8322AB03AEA1}"/>
    <cellStyle name="20% - Accent1 2 2 2 2 6" xfId="19258" xr:uid="{5C8DC481-D3B2-4F2C-8693-8C35BDB936C7}"/>
    <cellStyle name="20% - Accent1 2 2 2 2 7" xfId="9153" xr:uid="{FA947AB0-95B4-4EA7-A3EB-AE1BEC373105}"/>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18B3AD1C-1A6F-4A94-B85B-8256999B9220}"/>
    <cellStyle name="20% - Accent1 2 2 2 3 2 3" xfId="11711" xr:uid="{3A91BB5E-BEB6-42BF-ADE7-F4D0AAD0805D}"/>
    <cellStyle name="20% - Accent1 2 2 2 3 3" xfId="5334" xr:uid="{00000000-0005-0000-0000-00000C000000}"/>
    <cellStyle name="20% - Accent1 2 2 2 3 3 2" xfId="13784" xr:uid="{1B2FA84E-BF94-4DCF-AA7C-7DED65274A1A}"/>
    <cellStyle name="20% - Accent1 2 2 2 3 4" xfId="9566" xr:uid="{68784A1A-B54F-4EBE-8505-265895B79AA8}"/>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3B0B61AF-9CE0-46C0-ACBE-A3661C759596}"/>
    <cellStyle name="20% - Accent1 2 2 2 4 2 3" xfId="12124" xr:uid="{918E9901-7E00-4ED7-9882-23C5E2560EB8}"/>
    <cellStyle name="20% - Accent1 2 2 2 4 3" xfId="5747" xr:uid="{00000000-0005-0000-0000-000010000000}"/>
    <cellStyle name="20% - Accent1 2 2 2 4 3 2" xfId="14197" xr:uid="{B83D76CB-43A5-49B7-8314-4DB801902A58}"/>
    <cellStyle name="20% - Accent1 2 2 2 4 4" xfId="9979" xr:uid="{B3E7C6E7-3A74-4478-A357-0F6F8957EE7D}"/>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CF4119B6-EC6A-4475-8B2F-0F8132BBC7F4}"/>
    <cellStyle name="20% - Accent1 2 2 2 5 2 3" xfId="12537" xr:uid="{C500C7FF-C91C-472E-80CD-513920D76867}"/>
    <cellStyle name="20% - Accent1 2 2 2 5 3" xfId="6160" xr:uid="{00000000-0005-0000-0000-000014000000}"/>
    <cellStyle name="20% - Accent1 2 2 2 5 3 2" xfId="14610" xr:uid="{66492718-6563-4E67-95C7-ADD6EAE78E7C}"/>
    <cellStyle name="20% - Accent1 2 2 2 5 4" xfId="10392" xr:uid="{EAE23BAA-50AC-4E5D-8978-68D7E2D9654E}"/>
    <cellStyle name="20% - Accent1 2 2 2 6" xfId="2267" xr:uid="{00000000-0005-0000-0000-000015000000}"/>
    <cellStyle name="20% - Accent1 2 2 2 6 2" xfId="6573" xr:uid="{00000000-0005-0000-0000-000016000000}"/>
    <cellStyle name="20% - Accent1 2 2 2 6 2 2" xfId="15023" xr:uid="{FA8A6715-A935-455C-8A56-CB461FC63FCD}"/>
    <cellStyle name="20% - Accent1 2 2 2 6 3" xfId="10805" xr:uid="{A5719B1C-075B-4E53-BF61-9E7B923C39C9}"/>
    <cellStyle name="20% - Accent1 2 2 2 7" xfId="4507" xr:uid="{00000000-0005-0000-0000-000017000000}"/>
    <cellStyle name="20% - Accent1 2 2 2 7 2" xfId="12957" xr:uid="{BD84564C-3BC7-4D43-971E-20BCB7669397}"/>
    <cellStyle name="20% - Accent1 2 2 2 8" xfId="17180" xr:uid="{C2F66668-6993-4600-9C6E-4F7C331528C4}"/>
    <cellStyle name="20% - Accent1 2 2 2 9" xfId="18013" xr:uid="{B8CB14F1-2DE7-4F3E-8323-C9EDA6E1EAFC}"/>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DD8DA28C-8B5A-4F98-9217-FB0C2D77E169}"/>
    <cellStyle name="20% - Accent1 2 2 3 2 3" xfId="11297" xr:uid="{107C0409-AEA0-4A54-BA16-1285E18B1121}"/>
    <cellStyle name="20% - Accent1 2 2 3 3" xfId="4920" xr:uid="{00000000-0005-0000-0000-00001B000000}"/>
    <cellStyle name="20% - Accent1 2 2 3 3 2" xfId="13370" xr:uid="{B4698C28-F570-4C05-BA0D-AECB66732C7B}"/>
    <cellStyle name="20% - Accent1 2 2 3 4" xfId="17596" xr:uid="{5ABFF661-9FB8-4627-81F2-BF8BF49FE2F2}"/>
    <cellStyle name="20% - Accent1 2 2 3 5" xfId="18428" xr:uid="{DB905B17-146B-4712-BFD4-26B5F8FF2A1B}"/>
    <cellStyle name="20% - Accent1 2 2 3 6" xfId="19257" xr:uid="{3EC97586-37CE-40C7-87DF-380DC2B4BEAB}"/>
    <cellStyle name="20% - Accent1 2 2 3 7" xfId="9152" xr:uid="{FE258437-2887-4E48-9E2B-5367FAF18E9D}"/>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04954014-3279-403A-B912-7E2B0996E141}"/>
    <cellStyle name="20% - Accent1 2 2 4 2 3" xfId="11710" xr:uid="{64F6DC3D-862D-4EDF-BD71-27AC2830E9A3}"/>
    <cellStyle name="20% - Accent1 2 2 4 3" xfId="5333" xr:uid="{00000000-0005-0000-0000-00001F000000}"/>
    <cellStyle name="20% - Accent1 2 2 4 3 2" xfId="13783" xr:uid="{142E1605-BE7B-4597-A63D-74502A6B4E4C}"/>
    <cellStyle name="20% - Accent1 2 2 4 4" xfId="9565" xr:uid="{82DAFB3B-9860-4FA8-9034-3FDC935D9F22}"/>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582E664D-8EEF-4C59-A7B7-B87DE88E1D30}"/>
    <cellStyle name="20% - Accent1 2 2 5 2 3" xfId="12123" xr:uid="{722B1304-35CE-41EE-A3E9-6B66BD55B1BD}"/>
    <cellStyle name="20% - Accent1 2 2 5 3" xfId="5746" xr:uid="{00000000-0005-0000-0000-000023000000}"/>
    <cellStyle name="20% - Accent1 2 2 5 3 2" xfId="14196" xr:uid="{228A3C70-C98F-4410-B923-8CA0EAEB55FF}"/>
    <cellStyle name="20% - Accent1 2 2 5 4" xfId="9978" xr:uid="{E697A464-8BF1-40F8-8182-BB91BECE4AFD}"/>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5D17A378-2FE6-4A27-86C5-8E93D4BA79A2}"/>
    <cellStyle name="20% - Accent1 2 2 6 2 3" xfId="12536" xr:uid="{36B15703-E7FC-48D1-9640-A2F33FC6D775}"/>
    <cellStyle name="20% - Accent1 2 2 6 3" xfId="6159" xr:uid="{00000000-0005-0000-0000-000027000000}"/>
    <cellStyle name="20% - Accent1 2 2 6 3 2" xfId="14609" xr:uid="{170ECB9E-CE32-4106-83CE-96ACF72B1A57}"/>
    <cellStyle name="20% - Accent1 2 2 6 4" xfId="10391" xr:uid="{4D2027C6-D0B0-4825-A621-0E9C76E3B929}"/>
    <cellStyle name="20% - Accent1 2 2 7" xfId="2266" xr:uid="{00000000-0005-0000-0000-000028000000}"/>
    <cellStyle name="20% - Accent1 2 2 7 2" xfId="6572" xr:uid="{00000000-0005-0000-0000-000029000000}"/>
    <cellStyle name="20% - Accent1 2 2 7 2 2" xfId="15022" xr:uid="{B08B5937-DA84-4F7C-9C0F-5DCF1A22A62C}"/>
    <cellStyle name="20% - Accent1 2 2 7 3" xfId="10804" xr:uid="{3824BB60-6140-478F-9ACA-A76D02C3DCDE}"/>
    <cellStyle name="20% - Accent1 2 2 8" xfId="4506" xr:uid="{00000000-0005-0000-0000-00002A000000}"/>
    <cellStyle name="20% - Accent1 2 2 8 2" xfId="12956" xr:uid="{3B1C3D83-057A-41A3-8A8C-12DB279EB7FB}"/>
    <cellStyle name="20% - Accent1 2 2 9" xfId="17179" xr:uid="{7B18F3E3-ED60-4C90-BF44-F193DC29143A}"/>
    <cellStyle name="20% - Accent1 2 3" xfId="5" xr:uid="{00000000-0005-0000-0000-00002B000000}"/>
    <cellStyle name="20% - Accent1 2 3 10" xfId="18843" xr:uid="{C1BF1F83-E18C-4EC9-A2F8-7C62C033A20F}"/>
    <cellStyle name="20% - Accent1 2 3 11" xfId="8740" xr:uid="{79827AA8-A52B-4C71-9C22-6275B33536F4}"/>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484DAD1D-CAAD-4DC3-955B-C7EF9A603269}"/>
    <cellStyle name="20% - Accent1 2 3 2 2 3" xfId="11299" xr:uid="{6DA57008-8803-43CF-8E41-1C9F949F5A93}"/>
    <cellStyle name="20% - Accent1 2 3 2 3" xfId="4922" xr:uid="{00000000-0005-0000-0000-00002F000000}"/>
    <cellStyle name="20% - Accent1 2 3 2 3 2" xfId="13372" xr:uid="{2A799029-603F-49D0-B108-7076973708F0}"/>
    <cellStyle name="20% - Accent1 2 3 2 4" xfId="17598" xr:uid="{DF3BC9CD-3FDD-462B-9C03-C8A2859E03FA}"/>
    <cellStyle name="20% - Accent1 2 3 2 5" xfId="18430" xr:uid="{7B454774-C472-4E28-8BBE-E2A35457A4CE}"/>
    <cellStyle name="20% - Accent1 2 3 2 6" xfId="19259" xr:uid="{A4758C39-3316-4E3C-A40C-DD2D20AA1291}"/>
    <cellStyle name="20% - Accent1 2 3 2 7" xfId="9154" xr:uid="{550E7F58-683F-4F38-A640-D7FE3BCEEEB2}"/>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B5EA07D4-FEF1-45CD-8F3E-623F193C530A}"/>
    <cellStyle name="20% - Accent1 2 3 3 2 3" xfId="11712" xr:uid="{2F364773-EC5B-4113-ABF4-6E5A127AA353}"/>
    <cellStyle name="20% - Accent1 2 3 3 3" xfId="5335" xr:uid="{00000000-0005-0000-0000-000033000000}"/>
    <cellStyle name="20% - Accent1 2 3 3 3 2" xfId="13785" xr:uid="{8B508824-D8ED-4010-A5E7-B8CBBFE309F5}"/>
    <cellStyle name="20% - Accent1 2 3 3 4" xfId="9567" xr:uid="{F94ABA62-FAE8-41FE-9636-608432B9C218}"/>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FFE44B8F-A368-4C21-BF49-4E25166B7BC1}"/>
    <cellStyle name="20% - Accent1 2 3 4 2 3" xfId="12125" xr:uid="{4CE18625-1433-457F-8A85-7827E3AE4DFA}"/>
    <cellStyle name="20% - Accent1 2 3 4 3" xfId="5748" xr:uid="{00000000-0005-0000-0000-000037000000}"/>
    <cellStyle name="20% - Accent1 2 3 4 3 2" xfId="14198" xr:uid="{F3E06218-DF94-4E74-93EC-84F8894F6D7F}"/>
    <cellStyle name="20% - Accent1 2 3 4 4" xfId="9980" xr:uid="{DFA74AB8-D032-4EED-8D38-A8EEA60BD0D1}"/>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81AAE3ED-A50C-40B6-A051-85068588BDB9}"/>
    <cellStyle name="20% - Accent1 2 3 5 2 3" xfId="12538" xr:uid="{A7785986-A483-49C0-9CD8-3CA70F6283D0}"/>
    <cellStyle name="20% - Accent1 2 3 5 3" xfId="6161" xr:uid="{00000000-0005-0000-0000-00003B000000}"/>
    <cellStyle name="20% - Accent1 2 3 5 3 2" xfId="14611" xr:uid="{5DADE55F-C78E-46D1-8F7D-A5755B146028}"/>
    <cellStyle name="20% - Accent1 2 3 5 4" xfId="10393" xr:uid="{7389AC61-4D28-48F6-94BE-279689CD6715}"/>
    <cellStyle name="20% - Accent1 2 3 6" xfId="2268" xr:uid="{00000000-0005-0000-0000-00003C000000}"/>
    <cellStyle name="20% - Accent1 2 3 6 2" xfId="6574" xr:uid="{00000000-0005-0000-0000-00003D000000}"/>
    <cellStyle name="20% - Accent1 2 3 6 2 2" xfId="15024" xr:uid="{4DFB239C-A121-4B08-91FE-D777F0BB62E3}"/>
    <cellStyle name="20% - Accent1 2 3 6 3" xfId="10806" xr:uid="{ED49C4ED-9275-4BFA-BB96-7F976D9650BC}"/>
    <cellStyle name="20% - Accent1 2 3 7" xfId="4508" xr:uid="{00000000-0005-0000-0000-00003E000000}"/>
    <cellStyle name="20% - Accent1 2 3 7 2" xfId="12958" xr:uid="{866518F3-3709-4040-B180-F3476014373F}"/>
    <cellStyle name="20% - Accent1 2 3 8" xfId="17181" xr:uid="{484F504A-EC87-4B10-AF22-297126E4219B}"/>
    <cellStyle name="20% - Accent1 2 3 9" xfId="18014" xr:uid="{486DA3C7-7A5C-4737-A243-A87756DA6416}"/>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2440292D-B4F9-4AED-AD7A-FC07E9F76E4D}"/>
    <cellStyle name="20% - Accent1 2 4 2 3" xfId="11296" xr:uid="{F253F40C-80FA-4E07-8648-D38D1538D7B6}"/>
    <cellStyle name="20% - Accent1 2 4 3" xfId="4919" xr:uid="{00000000-0005-0000-0000-000042000000}"/>
    <cellStyle name="20% - Accent1 2 4 3 2" xfId="13369" xr:uid="{50D40C26-6D55-49E7-B282-A7F0544DCD9F}"/>
    <cellStyle name="20% - Accent1 2 4 4" xfId="17595" xr:uid="{4C420645-31A7-4482-B58D-9A66AF5D9F09}"/>
    <cellStyle name="20% - Accent1 2 4 5" xfId="18427" xr:uid="{9FCE594A-4758-485D-8279-34090B06390A}"/>
    <cellStyle name="20% - Accent1 2 4 6" xfId="19256" xr:uid="{A748F9A5-128D-432B-A6B3-D1032CBA0003}"/>
    <cellStyle name="20% - Accent1 2 4 7" xfId="9151" xr:uid="{0E7D793C-4040-40F6-AE73-5CF05FAEF35C}"/>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5F824D30-D6CC-4E27-AE18-F135BC98576F}"/>
    <cellStyle name="20% - Accent1 2 5 2 3" xfId="11709" xr:uid="{C15E389D-AA1D-4792-AEF4-402556C8DEC1}"/>
    <cellStyle name="20% - Accent1 2 5 3" xfId="5332" xr:uid="{00000000-0005-0000-0000-000046000000}"/>
    <cellStyle name="20% - Accent1 2 5 3 2" xfId="13782" xr:uid="{8070B30C-B9C5-4D58-A3A8-3082727ED76B}"/>
    <cellStyle name="20% - Accent1 2 5 4" xfId="9564" xr:uid="{FB7A0AA4-2120-41A8-9EB8-47F29609B05F}"/>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DD918D4D-7E54-45E9-BF05-BA314B352229}"/>
    <cellStyle name="20% - Accent1 2 6 2 3" xfId="12122" xr:uid="{02A91FDD-DA63-401A-931D-FB1538325E07}"/>
    <cellStyle name="20% - Accent1 2 6 3" xfId="5745" xr:uid="{00000000-0005-0000-0000-00004A000000}"/>
    <cellStyle name="20% - Accent1 2 6 3 2" xfId="14195" xr:uid="{425C87EB-0891-48FE-8B9A-878EA331C558}"/>
    <cellStyle name="20% - Accent1 2 6 4" xfId="9977" xr:uid="{3FC41E2B-8ED6-432A-9447-31061490EC3F}"/>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DFF28CD0-4610-44C9-BD38-CFA6759989EF}"/>
    <cellStyle name="20% - Accent1 2 7 2 3" xfId="12535" xr:uid="{B5EEA333-EA31-4884-B663-2ABB892DF88F}"/>
    <cellStyle name="20% - Accent1 2 7 3" xfId="6158" xr:uid="{00000000-0005-0000-0000-00004E000000}"/>
    <cellStyle name="20% - Accent1 2 7 3 2" xfId="14608" xr:uid="{59FB36B8-3E07-49F2-B067-039C969F0E6E}"/>
    <cellStyle name="20% - Accent1 2 7 4" xfId="10390" xr:uid="{850D6505-3013-4009-B298-768FD734E640}"/>
    <cellStyle name="20% - Accent1 2 8" xfId="2265" xr:uid="{00000000-0005-0000-0000-00004F000000}"/>
    <cellStyle name="20% - Accent1 2 8 2" xfId="6571" xr:uid="{00000000-0005-0000-0000-000050000000}"/>
    <cellStyle name="20% - Accent1 2 8 2 2" xfId="15021" xr:uid="{D2B9C08A-3BD7-4A4D-B2DE-D55CC3626669}"/>
    <cellStyle name="20% - Accent1 2 8 3" xfId="10803" xr:uid="{C6A71A66-A46D-48F1-946F-D7693E194271}"/>
    <cellStyle name="20% - Accent1 2 9" xfId="4505" xr:uid="{00000000-0005-0000-0000-000051000000}"/>
    <cellStyle name="20% - Accent1 2 9 2" xfId="12955" xr:uid="{5C55F6DF-7576-40B7-B69C-21AC885173F8}"/>
    <cellStyle name="20% - Accent1 3" xfId="6" xr:uid="{00000000-0005-0000-0000-000052000000}"/>
    <cellStyle name="20% - Accent1 3 10" xfId="18015" xr:uid="{56FB97E3-E052-4E36-B107-5DEFD77849C2}"/>
    <cellStyle name="20% - Accent1 3 11" xfId="18844" xr:uid="{918BC5B9-451F-4801-8281-C74E0DDFFDDB}"/>
    <cellStyle name="20% - Accent1 3 12" xfId="8741" xr:uid="{96D5417C-E240-4EBB-B474-E2D002A9BECC}"/>
    <cellStyle name="20% - Accent1 3 2" xfId="7" xr:uid="{00000000-0005-0000-0000-000053000000}"/>
    <cellStyle name="20% - Accent1 3 2 10" xfId="18845" xr:uid="{01E23638-0D06-41D7-952D-BAD39CE64DBB}"/>
    <cellStyle name="20% - Accent1 3 2 11" xfId="8742" xr:uid="{E7FF630C-2807-4EAA-BB1F-90F7D35CEBB4}"/>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ADE0CCFE-AF15-416A-9E17-43900F3B3708}"/>
    <cellStyle name="20% - Accent1 3 2 2 2 3" xfId="11301" xr:uid="{6931D810-EAF3-404C-B822-0157A4F78465}"/>
    <cellStyle name="20% - Accent1 3 2 2 3" xfId="4924" xr:uid="{00000000-0005-0000-0000-000057000000}"/>
    <cellStyle name="20% - Accent1 3 2 2 3 2" xfId="13374" xr:uid="{D4F43432-0107-4325-879D-B444CFAA87CB}"/>
    <cellStyle name="20% - Accent1 3 2 2 4" xfId="17600" xr:uid="{E004623F-85C6-4AC8-A59C-CCAB3AFC239E}"/>
    <cellStyle name="20% - Accent1 3 2 2 5" xfId="18432" xr:uid="{31BF8017-0466-4A49-8A6A-E74FE64460E2}"/>
    <cellStyle name="20% - Accent1 3 2 2 6" xfId="19261" xr:uid="{BA90ABC6-B169-4BDB-A215-A32D83B8A4BE}"/>
    <cellStyle name="20% - Accent1 3 2 2 7" xfId="9156" xr:uid="{1EE4D880-14B3-4102-8993-8B09D74B27C5}"/>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01F8839D-1662-4ECC-A45F-359B37E988B3}"/>
    <cellStyle name="20% - Accent1 3 2 3 2 3" xfId="11714" xr:uid="{3F966795-B406-4E45-9227-F137FF4D9C26}"/>
    <cellStyle name="20% - Accent1 3 2 3 3" xfId="5337" xr:uid="{00000000-0005-0000-0000-00005B000000}"/>
    <cellStyle name="20% - Accent1 3 2 3 3 2" xfId="13787" xr:uid="{1EED355C-1F82-46A4-B2A2-ACE941B076C0}"/>
    <cellStyle name="20% - Accent1 3 2 3 4" xfId="9569" xr:uid="{48C99415-8B6F-4171-A4C7-9320E2977353}"/>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1FF216BB-CEA8-499F-9FD6-5D58D6A39822}"/>
    <cellStyle name="20% - Accent1 3 2 4 2 3" xfId="12127" xr:uid="{DCAE8FAE-7A26-4504-91E8-2A7EC7460EFB}"/>
    <cellStyle name="20% - Accent1 3 2 4 3" xfId="5750" xr:uid="{00000000-0005-0000-0000-00005F000000}"/>
    <cellStyle name="20% - Accent1 3 2 4 3 2" xfId="14200" xr:uid="{995E3F66-D0D0-4D11-9C48-7EDDC351F11E}"/>
    <cellStyle name="20% - Accent1 3 2 4 4" xfId="9982" xr:uid="{B7AC67B7-C427-4C1A-A3A3-0B153E77F29E}"/>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E96A9E30-DF6B-4B2C-B7FD-0AE5AED16691}"/>
    <cellStyle name="20% - Accent1 3 2 5 2 3" xfId="12540" xr:uid="{ECE7D46A-1B2A-4C45-95E6-052C831D95C6}"/>
    <cellStyle name="20% - Accent1 3 2 5 3" xfId="6163" xr:uid="{00000000-0005-0000-0000-000063000000}"/>
    <cellStyle name="20% - Accent1 3 2 5 3 2" xfId="14613" xr:uid="{3882C7B6-7B1C-4563-802B-3319227B6479}"/>
    <cellStyle name="20% - Accent1 3 2 5 4" xfId="10395" xr:uid="{71AD0D98-2E46-45F8-8CB4-5E00883D8592}"/>
    <cellStyle name="20% - Accent1 3 2 6" xfId="2270" xr:uid="{00000000-0005-0000-0000-000064000000}"/>
    <cellStyle name="20% - Accent1 3 2 6 2" xfId="6576" xr:uid="{00000000-0005-0000-0000-000065000000}"/>
    <cellStyle name="20% - Accent1 3 2 6 2 2" xfId="15026" xr:uid="{28859902-E678-4D88-95BA-8399E8482356}"/>
    <cellStyle name="20% - Accent1 3 2 6 3" xfId="10808" xr:uid="{98EA891D-EC56-4A73-BE9D-F134CE1511B3}"/>
    <cellStyle name="20% - Accent1 3 2 7" xfId="4510" xr:uid="{00000000-0005-0000-0000-000066000000}"/>
    <cellStyle name="20% - Accent1 3 2 7 2" xfId="12960" xr:uid="{8C2DD234-3236-492E-BC71-0F203B4D1B6C}"/>
    <cellStyle name="20% - Accent1 3 2 8" xfId="17183" xr:uid="{0916414A-A42C-4446-B940-2475DD55DD74}"/>
    <cellStyle name="20% - Accent1 3 2 9" xfId="18016" xr:uid="{70C5DFFA-D617-4620-B0BB-A91F3F999B3F}"/>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560A4E2E-7C44-41DE-8722-95CC23509307}"/>
    <cellStyle name="20% - Accent1 3 3 2 3" xfId="11300" xr:uid="{8E1471EF-6B7C-4141-80F4-986D5E8F63D6}"/>
    <cellStyle name="20% - Accent1 3 3 3" xfId="4923" xr:uid="{00000000-0005-0000-0000-00006A000000}"/>
    <cellStyle name="20% - Accent1 3 3 3 2" xfId="13373" xr:uid="{6C720EE5-59DF-48BD-A962-2AED95269976}"/>
    <cellStyle name="20% - Accent1 3 3 4" xfId="17599" xr:uid="{B8A57BE2-21F6-42F8-A3C4-E81B0B17E1CE}"/>
    <cellStyle name="20% - Accent1 3 3 5" xfId="18431" xr:uid="{2142C983-54CA-48BB-AC0F-8215B92C1DA9}"/>
    <cellStyle name="20% - Accent1 3 3 6" xfId="19260" xr:uid="{923AE77E-D3C6-462C-B33F-EE709B18798C}"/>
    <cellStyle name="20% - Accent1 3 3 7" xfId="9155" xr:uid="{7C6FA108-A6DC-482D-B929-003EE623FE53}"/>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DD716483-8198-4466-BD59-F12816A2A948}"/>
    <cellStyle name="20% - Accent1 3 4 2 3" xfId="11713" xr:uid="{3ADCD7F8-2E21-4AC1-BF04-92D77B8E0B51}"/>
    <cellStyle name="20% - Accent1 3 4 3" xfId="5336" xr:uid="{00000000-0005-0000-0000-00006E000000}"/>
    <cellStyle name="20% - Accent1 3 4 3 2" xfId="13786" xr:uid="{FA378E09-32BD-460D-8BB8-10E7242502DD}"/>
    <cellStyle name="20% - Accent1 3 4 4" xfId="9568" xr:uid="{9038E760-4CF4-4237-B54B-FE31AB2C1766}"/>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5F66A029-E14C-43D3-B3BC-A6DAA28BD227}"/>
    <cellStyle name="20% - Accent1 3 5 2 3" xfId="12126" xr:uid="{4368DDF8-5273-4407-B938-5165B4FCEE28}"/>
    <cellStyle name="20% - Accent1 3 5 3" xfId="5749" xr:uid="{00000000-0005-0000-0000-000072000000}"/>
    <cellStyle name="20% - Accent1 3 5 3 2" xfId="14199" xr:uid="{F6386C5E-F680-4BEC-B2CE-DEF5D76FED2C}"/>
    <cellStyle name="20% - Accent1 3 5 4" xfId="9981" xr:uid="{6F390E14-8A3D-4190-81CA-9D29A6B47849}"/>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46F09D50-8129-403C-96FB-D3E1A3D7C18F}"/>
    <cellStyle name="20% - Accent1 3 6 2 3" xfId="12539" xr:uid="{B2CF86C3-2501-4442-9F4E-89B1AB9CA9EE}"/>
    <cellStyle name="20% - Accent1 3 6 3" xfId="6162" xr:uid="{00000000-0005-0000-0000-000076000000}"/>
    <cellStyle name="20% - Accent1 3 6 3 2" xfId="14612" xr:uid="{E4AEE85C-1830-4D70-9525-42842367BA8D}"/>
    <cellStyle name="20% - Accent1 3 6 4" xfId="10394" xr:uid="{1474E31F-A314-4F68-9287-E8B03C111DAC}"/>
    <cellStyle name="20% - Accent1 3 7" xfId="2269" xr:uid="{00000000-0005-0000-0000-000077000000}"/>
    <cellStyle name="20% - Accent1 3 7 2" xfId="6575" xr:uid="{00000000-0005-0000-0000-000078000000}"/>
    <cellStyle name="20% - Accent1 3 7 2 2" xfId="15025" xr:uid="{20DF73A5-6BED-4B70-AA9F-C44EEDA07A3C}"/>
    <cellStyle name="20% - Accent1 3 7 3" xfId="10807" xr:uid="{2C438F9E-46B9-4EC4-BEBE-DF2A37BA8501}"/>
    <cellStyle name="20% - Accent1 3 8" xfId="4509" xr:uid="{00000000-0005-0000-0000-000079000000}"/>
    <cellStyle name="20% - Accent1 3 8 2" xfId="12959" xr:uid="{5BA2C303-37AF-4F0C-8668-B7D8F52D908C}"/>
    <cellStyle name="20% - Accent1 3 9" xfId="17182" xr:uid="{25844E64-50E5-4011-B762-54EA7E64A139}"/>
    <cellStyle name="20% - Accent1 4" xfId="8" xr:uid="{00000000-0005-0000-0000-00007A000000}"/>
    <cellStyle name="20% - Accent1 4 10" xfId="18846" xr:uid="{B7AC2BC4-37BE-4F24-B62A-2BAEAC7B4A22}"/>
    <cellStyle name="20% - Accent1 4 11" xfId="8743" xr:uid="{4EEA3AA2-DE8D-4962-ACEC-06D39FAEA8C2}"/>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C18BBC9B-CD14-4C86-ADCC-FE0624B5FBB4}"/>
    <cellStyle name="20% - Accent1 4 2 2 3" xfId="11302" xr:uid="{7323987C-EB8E-4D75-8630-DFEC2FBEA4E8}"/>
    <cellStyle name="20% - Accent1 4 2 3" xfId="4925" xr:uid="{00000000-0005-0000-0000-00007E000000}"/>
    <cellStyle name="20% - Accent1 4 2 3 2" xfId="13375" xr:uid="{645ADEC3-EF5E-43FE-AC0F-55D9EB79E0F4}"/>
    <cellStyle name="20% - Accent1 4 2 4" xfId="17601" xr:uid="{54ABFA3F-0AEE-4F81-BACC-C0C55D1F2AB6}"/>
    <cellStyle name="20% - Accent1 4 2 5" xfId="18433" xr:uid="{6C0A4974-31DB-45C4-A048-3EC8495E5E13}"/>
    <cellStyle name="20% - Accent1 4 2 6" xfId="19262" xr:uid="{A57AEC88-EAD6-45FB-BBF6-7DB7A539D71C}"/>
    <cellStyle name="20% - Accent1 4 2 7" xfId="9157" xr:uid="{ECD641D5-DC80-412A-88F8-8C719B19A46B}"/>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CD4C36E0-AB77-4DC9-8435-6EF35EE736FD}"/>
    <cellStyle name="20% - Accent1 4 3 2 3" xfId="11715" xr:uid="{D3249299-DBF8-444B-B19B-B5CF64A70AD4}"/>
    <cellStyle name="20% - Accent1 4 3 3" xfId="5338" xr:uid="{00000000-0005-0000-0000-000082000000}"/>
    <cellStyle name="20% - Accent1 4 3 3 2" xfId="13788" xr:uid="{FC2C72A1-DA04-4C52-9295-CA84C9CC75DD}"/>
    <cellStyle name="20% - Accent1 4 3 4" xfId="9570" xr:uid="{741A3074-F06B-4DB9-ACA1-DECF9A12B4F4}"/>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66C9A41B-A0D8-4DFD-9A21-2BACC5558DCA}"/>
    <cellStyle name="20% - Accent1 4 4 2 3" xfId="12128" xr:uid="{DBE3D0D7-15D9-40EA-A297-0B4F28CB1A5F}"/>
    <cellStyle name="20% - Accent1 4 4 3" xfId="5751" xr:uid="{00000000-0005-0000-0000-000086000000}"/>
    <cellStyle name="20% - Accent1 4 4 3 2" xfId="14201" xr:uid="{A8691D98-315F-40C3-BE92-BD44F95905FC}"/>
    <cellStyle name="20% - Accent1 4 4 4" xfId="9983" xr:uid="{58EA4BF2-38C7-45D4-BBBD-41C2D0EC51DF}"/>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404F791B-EED6-45DE-B89A-D06DCA67EB63}"/>
    <cellStyle name="20% - Accent1 4 5 2 3" xfId="12541" xr:uid="{CE5FAE5D-D77E-48C7-841F-9AA8102AFCF4}"/>
    <cellStyle name="20% - Accent1 4 5 3" xfId="6164" xr:uid="{00000000-0005-0000-0000-00008A000000}"/>
    <cellStyle name="20% - Accent1 4 5 3 2" xfId="14614" xr:uid="{B129C5D7-37E0-471F-AA5D-7C622CDFFB29}"/>
    <cellStyle name="20% - Accent1 4 5 4" xfId="10396" xr:uid="{3A57ADC8-F39D-4531-9DB9-7A1F310AD812}"/>
    <cellStyle name="20% - Accent1 4 6" xfId="2271" xr:uid="{00000000-0005-0000-0000-00008B000000}"/>
    <cellStyle name="20% - Accent1 4 6 2" xfId="6577" xr:uid="{00000000-0005-0000-0000-00008C000000}"/>
    <cellStyle name="20% - Accent1 4 6 2 2" xfId="15027" xr:uid="{EF4EA26B-29B1-4737-8597-872491D24543}"/>
    <cellStyle name="20% - Accent1 4 6 3" xfId="10809" xr:uid="{DDC4408C-B496-43CD-B2CC-9C59FF306477}"/>
    <cellStyle name="20% - Accent1 4 7" xfId="4511" xr:uid="{00000000-0005-0000-0000-00008D000000}"/>
    <cellStyle name="20% - Accent1 4 7 2" xfId="12961" xr:uid="{D4F0165F-BD39-456B-9D07-26D6BE797FDC}"/>
    <cellStyle name="20% - Accent1 4 8" xfId="17184" xr:uid="{EAA258EB-BBF8-4821-B102-459B9BE27373}"/>
    <cellStyle name="20% - Accent1 4 9" xfId="18017" xr:uid="{99DD4663-AF5A-4AB4-82C7-E8A9A9E09C36}"/>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23A25644-7A80-492E-9893-FA8460F11544}"/>
    <cellStyle name="20% - Accent1 5 2 3" xfId="11295" xr:uid="{BC64CE85-F26C-4850-8434-26130A4E1880}"/>
    <cellStyle name="20% - Accent1 5 3" xfId="4918" xr:uid="{00000000-0005-0000-0000-000091000000}"/>
    <cellStyle name="20% - Accent1 5 3 2" xfId="13368" xr:uid="{8F6535DF-8E88-427C-B470-21ACAF010A11}"/>
    <cellStyle name="20% - Accent1 5 4" xfId="17594" xr:uid="{B2534397-5621-4A47-858B-957F94185563}"/>
    <cellStyle name="20% - Accent1 5 5" xfId="18426" xr:uid="{BE3EE28A-D951-4937-ADCD-551E6985E857}"/>
    <cellStyle name="20% - Accent1 5 6" xfId="19255" xr:uid="{D687B779-640C-4385-8215-F715695F8488}"/>
    <cellStyle name="20% - Accent1 5 7" xfId="9150" xr:uid="{123393E2-1BAB-42EB-9EB1-0ABB04A499A9}"/>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0FCE51BB-2B94-4210-8970-378F48D84FB6}"/>
    <cellStyle name="20% - Accent1 6 2 3" xfId="11708" xr:uid="{4A5C7CA5-BA40-4BEF-9B9E-C99B64B60F05}"/>
    <cellStyle name="20% - Accent1 6 3" xfId="5331" xr:uid="{00000000-0005-0000-0000-000095000000}"/>
    <cellStyle name="20% - Accent1 6 3 2" xfId="13781" xr:uid="{AC334540-87EC-4C55-9C2D-CAB36A54E646}"/>
    <cellStyle name="20% - Accent1 6 4" xfId="9563" xr:uid="{5B2B3DF9-07A6-43C4-A3E8-09A15FD8F5AE}"/>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E325BA3D-7F0C-4EAC-92E1-8FBEB343D8C6}"/>
    <cellStyle name="20% - Accent1 7 2 3" xfId="12121" xr:uid="{F2188EDD-97B8-403E-A4E6-8BAB9B06B634}"/>
    <cellStyle name="20% - Accent1 7 3" xfId="5744" xr:uid="{00000000-0005-0000-0000-000099000000}"/>
    <cellStyle name="20% - Accent1 7 3 2" xfId="14194" xr:uid="{341C42D3-4056-407A-84EF-52D12872AB70}"/>
    <cellStyle name="20% - Accent1 7 4" xfId="9976" xr:uid="{8C0F7419-E075-40DC-A37C-FE065FA765A8}"/>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686D5414-1180-4D37-983F-336D02E376A3}"/>
    <cellStyle name="20% - Accent1 8 2 3" xfId="12534" xr:uid="{D96E9330-77C3-4AC5-A3C8-ADBE0C8751D1}"/>
    <cellStyle name="20% - Accent1 8 3" xfId="6157" xr:uid="{00000000-0005-0000-0000-00009D000000}"/>
    <cellStyle name="20% - Accent1 8 3 2" xfId="14607" xr:uid="{91678196-728A-4386-9BE7-171771F54E74}"/>
    <cellStyle name="20% - Accent1 8 4" xfId="10389" xr:uid="{BEE7AF50-1165-4656-90ED-E9C1E2CD6D67}"/>
    <cellStyle name="20% - Accent1 9" xfId="2264" xr:uid="{00000000-0005-0000-0000-00009E000000}"/>
    <cellStyle name="20% - Accent1 9 2" xfId="6570" xr:uid="{00000000-0005-0000-0000-00009F000000}"/>
    <cellStyle name="20% - Accent1 9 2 2" xfId="15020" xr:uid="{901BE50D-5CFA-4EE1-8F30-CD28ECBFDF59}"/>
    <cellStyle name="20% - Accent1 9 3" xfId="10802" xr:uid="{A30FAA20-FF8E-435C-901A-05C4FA4D7FC1}"/>
    <cellStyle name="20% - Accent2" xfId="9" builtinId="34" customBuiltin="1"/>
    <cellStyle name="20% - Accent2 10" xfId="4512" xr:uid="{00000000-0005-0000-0000-0000A1000000}"/>
    <cellStyle name="20% - Accent2 10 2" xfId="12962" xr:uid="{9864CBFE-A302-4346-AD38-2D603FD976A1}"/>
    <cellStyle name="20% - Accent2 11" xfId="17185" xr:uid="{FC71B4F2-5FCC-4855-A8A6-0B1946B09EAC}"/>
    <cellStyle name="20% - Accent2 12" xfId="18018" xr:uid="{47A291A7-B425-4833-96E8-FB772A7A9E64}"/>
    <cellStyle name="20% - Accent2 13" xfId="18847" xr:uid="{B9F897F8-18D6-40EF-AF5C-DA7B4D89B128}"/>
    <cellStyle name="20% - Accent2 14" xfId="8744" xr:uid="{99C4ACEA-EDDB-4CC1-A45E-F8A41A2AE800}"/>
    <cellStyle name="20% - Accent2 2" xfId="10" xr:uid="{00000000-0005-0000-0000-0000A2000000}"/>
    <cellStyle name="20% - Accent2 2 10" xfId="17186" xr:uid="{E8B0FACD-7ABC-417C-901D-2967D6286BA4}"/>
    <cellStyle name="20% - Accent2 2 11" xfId="18019" xr:uid="{0CD81CAE-A91F-4CAC-97D8-ABC80EDAAFE6}"/>
    <cellStyle name="20% - Accent2 2 12" xfId="18848" xr:uid="{592992B0-60D4-4129-97F9-4D4A5AAB9D70}"/>
    <cellStyle name="20% - Accent2 2 13" xfId="8745" xr:uid="{131EA81E-6C32-44C0-B26B-610AADC74346}"/>
    <cellStyle name="20% - Accent2 2 2" xfId="11" xr:uid="{00000000-0005-0000-0000-0000A3000000}"/>
    <cellStyle name="20% - Accent2 2 2 10" xfId="18020" xr:uid="{B43D08E2-6F54-4C92-826D-5ED5A0098094}"/>
    <cellStyle name="20% - Accent2 2 2 11" xfId="18849" xr:uid="{7DBF8631-124F-4460-9CB6-D1C0A1817E90}"/>
    <cellStyle name="20% - Accent2 2 2 12" xfId="8746" xr:uid="{FE5B0A6E-CD35-405C-BA9D-A420D1473A40}"/>
    <cellStyle name="20% - Accent2 2 2 2" xfId="12" xr:uid="{00000000-0005-0000-0000-0000A4000000}"/>
    <cellStyle name="20% - Accent2 2 2 2 10" xfId="18850" xr:uid="{CBFB601F-6502-4610-B908-E92BCE1948FE}"/>
    <cellStyle name="20% - Accent2 2 2 2 11" xfId="8747" xr:uid="{04A624E3-A135-44F8-9F2E-E931BC7E9ECC}"/>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FEEBB994-CEC3-4077-B2E1-622760788294}"/>
    <cellStyle name="20% - Accent2 2 2 2 2 2 3" xfId="11306" xr:uid="{DCBA80FF-7BE0-4617-B2FE-03D24DB7071C}"/>
    <cellStyle name="20% - Accent2 2 2 2 2 3" xfId="4929" xr:uid="{00000000-0005-0000-0000-0000A8000000}"/>
    <cellStyle name="20% - Accent2 2 2 2 2 3 2" xfId="13379" xr:uid="{5459E78B-4167-4326-8622-9A2E60534598}"/>
    <cellStyle name="20% - Accent2 2 2 2 2 4" xfId="17605" xr:uid="{4F53F97C-2D1B-4463-845A-3990AABB95E7}"/>
    <cellStyle name="20% - Accent2 2 2 2 2 5" xfId="18437" xr:uid="{27A7E3E4-CDE9-498C-9CCD-5AE6C0314695}"/>
    <cellStyle name="20% - Accent2 2 2 2 2 6" xfId="19266" xr:uid="{9951D2C2-0169-4371-B2AF-BA6E927BA0BF}"/>
    <cellStyle name="20% - Accent2 2 2 2 2 7" xfId="9161" xr:uid="{56AC7011-ECB8-41E8-A531-8E78DA66994A}"/>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45C1EE3E-6400-4F6B-8568-41D3E6A46DC0}"/>
    <cellStyle name="20% - Accent2 2 2 2 3 2 3" xfId="11719" xr:uid="{AF07F73F-F2A6-44C8-B244-139380E35397}"/>
    <cellStyle name="20% - Accent2 2 2 2 3 3" xfId="5342" xr:uid="{00000000-0005-0000-0000-0000AC000000}"/>
    <cellStyle name="20% - Accent2 2 2 2 3 3 2" xfId="13792" xr:uid="{C9143625-C00D-4DA4-83C2-8A51E0DE2887}"/>
    <cellStyle name="20% - Accent2 2 2 2 3 4" xfId="9574" xr:uid="{6AF4067B-C501-4DA7-A565-C230854901C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056F5FFC-C1B2-4A35-AB43-DD5A31FFB6D4}"/>
    <cellStyle name="20% - Accent2 2 2 2 4 2 3" xfId="12132" xr:uid="{63B9318A-5DA7-40C8-B501-997868D13917}"/>
    <cellStyle name="20% - Accent2 2 2 2 4 3" xfId="5755" xr:uid="{00000000-0005-0000-0000-0000B0000000}"/>
    <cellStyle name="20% - Accent2 2 2 2 4 3 2" xfId="14205" xr:uid="{95ED21DD-BB34-416B-9C46-5AF89CACB557}"/>
    <cellStyle name="20% - Accent2 2 2 2 4 4" xfId="9987" xr:uid="{F05D0D5D-B605-4D25-B8C2-FE99538FACA5}"/>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F7D84911-EF08-4E21-B711-8DA0EEF2B485}"/>
    <cellStyle name="20% - Accent2 2 2 2 5 2 3" xfId="12545" xr:uid="{2FE78D88-DF70-4F8B-B133-AF18319AD764}"/>
    <cellStyle name="20% - Accent2 2 2 2 5 3" xfId="6168" xr:uid="{00000000-0005-0000-0000-0000B4000000}"/>
    <cellStyle name="20% - Accent2 2 2 2 5 3 2" xfId="14618" xr:uid="{6BDC0DE1-E36B-4424-8D7C-29F30DD99C6B}"/>
    <cellStyle name="20% - Accent2 2 2 2 5 4" xfId="10400" xr:uid="{86BCD79D-8D92-45D5-830A-9374612F6C9B}"/>
    <cellStyle name="20% - Accent2 2 2 2 6" xfId="2275" xr:uid="{00000000-0005-0000-0000-0000B5000000}"/>
    <cellStyle name="20% - Accent2 2 2 2 6 2" xfId="6581" xr:uid="{00000000-0005-0000-0000-0000B6000000}"/>
    <cellStyle name="20% - Accent2 2 2 2 6 2 2" xfId="15031" xr:uid="{651A4A56-8EDD-479E-916E-DBF40D214671}"/>
    <cellStyle name="20% - Accent2 2 2 2 6 3" xfId="10813" xr:uid="{29370830-DAF1-4976-B5E5-8C5B489EAB4B}"/>
    <cellStyle name="20% - Accent2 2 2 2 7" xfId="4515" xr:uid="{00000000-0005-0000-0000-0000B7000000}"/>
    <cellStyle name="20% - Accent2 2 2 2 7 2" xfId="12965" xr:uid="{AAD78691-7B48-455C-9841-71537A181C53}"/>
    <cellStyle name="20% - Accent2 2 2 2 8" xfId="17188" xr:uid="{A4F233EB-1098-43AA-8A46-D63738CEFA21}"/>
    <cellStyle name="20% - Accent2 2 2 2 9" xfId="18021" xr:uid="{A7F89B32-6E6D-4BB4-9025-4301D558E2DB}"/>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622F7AFD-D718-49F2-91AD-47F6EA46BF08}"/>
    <cellStyle name="20% - Accent2 2 2 3 2 3" xfId="11305" xr:uid="{11F67501-0FE6-4D1A-A58D-F94A1F312354}"/>
    <cellStyle name="20% - Accent2 2 2 3 3" xfId="4928" xr:uid="{00000000-0005-0000-0000-0000BB000000}"/>
    <cellStyle name="20% - Accent2 2 2 3 3 2" xfId="13378" xr:uid="{AC4F5167-5AB9-42E0-AF7B-9F11D6CA0A2B}"/>
    <cellStyle name="20% - Accent2 2 2 3 4" xfId="17604" xr:uid="{5B2845D3-C235-4D56-A8EA-EAAB9A83361C}"/>
    <cellStyle name="20% - Accent2 2 2 3 5" xfId="18436" xr:uid="{00E15320-1C8C-40B0-B709-7E4DCA01BC6C}"/>
    <cellStyle name="20% - Accent2 2 2 3 6" xfId="19265" xr:uid="{6A784E1E-AFC6-4637-B5AC-33DCEB4383DF}"/>
    <cellStyle name="20% - Accent2 2 2 3 7" xfId="9160" xr:uid="{FA7E00EC-BAC1-470B-903E-C81C2CE723E1}"/>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3722E744-05FC-4579-8C4D-156462742CCA}"/>
    <cellStyle name="20% - Accent2 2 2 4 2 3" xfId="11718" xr:uid="{6E6D6563-719A-4CA1-91E5-4FE487C531AC}"/>
    <cellStyle name="20% - Accent2 2 2 4 3" xfId="5341" xr:uid="{00000000-0005-0000-0000-0000BF000000}"/>
    <cellStyle name="20% - Accent2 2 2 4 3 2" xfId="13791" xr:uid="{89C50316-0BE2-41BA-800D-516D0088CAA5}"/>
    <cellStyle name="20% - Accent2 2 2 4 4" xfId="9573" xr:uid="{4667D8D0-28CF-41FE-AFD6-23D58C1D5D5A}"/>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48CF5602-B40C-436D-8B27-DC9007731964}"/>
    <cellStyle name="20% - Accent2 2 2 5 2 3" xfId="12131" xr:uid="{C60B3D1E-73EE-4B73-8E1D-61657CD4D46F}"/>
    <cellStyle name="20% - Accent2 2 2 5 3" xfId="5754" xr:uid="{00000000-0005-0000-0000-0000C3000000}"/>
    <cellStyle name="20% - Accent2 2 2 5 3 2" xfId="14204" xr:uid="{0D7AD198-F678-4F9E-B151-6CFDB89DC9A9}"/>
    <cellStyle name="20% - Accent2 2 2 5 4" xfId="9986" xr:uid="{267999DD-D943-49E2-B28B-BDC3685FB265}"/>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0EADDBEE-5FFB-4E68-A861-77551C7E9356}"/>
    <cellStyle name="20% - Accent2 2 2 6 2 3" xfId="12544" xr:uid="{3B19A13B-A9CC-4B6D-8570-19A21DF88FA4}"/>
    <cellStyle name="20% - Accent2 2 2 6 3" xfId="6167" xr:uid="{00000000-0005-0000-0000-0000C7000000}"/>
    <cellStyle name="20% - Accent2 2 2 6 3 2" xfId="14617" xr:uid="{059CFEC2-0D4D-469C-95C3-2350CD75AC27}"/>
    <cellStyle name="20% - Accent2 2 2 6 4" xfId="10399" xr:uid="{EE179A91-2B46-4821-B986-FE4275E3F005}"/>
    <cellStyle name="20% - Accent2 2 2 7" xfId="2274" xr:uid="{00000000-0005-0000-0000-0000C8000000}"/>
    <cellStyle name="20% - Accent2 2 2 7 2" xfId="6580" xr:uid="{00000000-0005-0000-0000-0000C9000000}"/>
    <cellStyle name="20% - Accent2 2 2 7 2 2" xfId="15030" xr:uid="{8CFCC8E3-45F3-4A4E-A9B3-F706CD328085}"/>
    <cellStyle name="20% - Accent2 2 2 7 3" xfId="10812" xr:uid="{04D591A0-2D11-4A8C-BAD5-41B8639D707A}"/>
    <cellStyle name="20% - Accent2 2 2 8" xfId="4514" xr:uid="{00000000-0005-0000-0000-0000CA000000}"/>
    <cellStyle name="20% - Accent2 2 2 8 2" xfId="12964" xr:uid="{D24CDB86-61E3-4067-87AC-D5CFE9FC8F52}"/>
    <cellStyle name="20% - Accent2 2 2 9" xfId="17187" xr:uid="{7008BF09-277C-43E5-B2A0-EA10F722A3F2}"/>
    <cellStyle name="20% - Accent2 2 3" xfId="13" xr:uid="{00000000-0005-0000-0000-0000CB000000}"/>
    <cellStyle name="20% - Accent2 2 3 10" xfId="18851" xr:uid="{05EAB5CA-4ECD-4B65-98FA-7008BAF94AC6}"/>
    <cellStyle name="20% - Accent2 2 3 11" xfId="8748" xr:uid="{44B532FA-A592-4807-9EEE-429C4C305E57}"/>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ABC71B94-3FE7-4FEF-83AB-200DF84D3066}"/>
    <cellStyle name="20% - Accent2 2 3 2 2 3" xfId="11307" xr:uid="{4CA4C60F-4A7B-4AFC-89C6-87CFD35D48DF}"/>
    <cellStyle name="20% - Accent2 2 3 2 3" xfId="4930" xr:uid="{00000000-0005-0000-0000-0000CF000000}"/>
    <cellStyle name="20% - Accent2 2 3 2 3 2" xfId="13380" xr:uid="{97A9BC4A-D1F0-4545-91BC-5E404E64937A}"/>
    <cellStyle name="20% - Accent2 2 3 2 4" xfId="17606" xr:uid="{1BD5E0E1-5121-4481-AF24-49FCC8B60F15}"/>
    <cellStyle name="20% - Accent2 2 3 2 5" xfId="18438" xr:uid="{3AECEDB3-297E-4587-977F-53DE896FCBB8}"/>
    <cellStyle name="20% - Accent2 2 3 2 6" xfId="19267" xr:uid="{42E43B90-4AE9-4B7F-91A8-4A0FAD78574A}"/>
    <cellStyle name="20% - Accent2 2 3 2 7" xfId="9162" xr:uid="{1DC16F5E-CA7D-4DC6-923E-D23C8A41637E}"/>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3F4A9DB8-C8DE-4D95-A836-104E11D152BF}"/>
    <cellStyle name="20% - Accent2 2 3 3 2 3" xfId="11720" xr:uid="{5A46EB05-3835-4B7B-A228-ACD02818E077}"/>
    <cellStyle name="20% - Accent2 2 3 3 3" xfId="5343" xr:uid="{00000000-0005-0000-0000-0000D3000000}"/>
    <cellStyle name="20% - Accent2 2 3 3 3 2" xfId="13793" xr:uid="{14E6B0C6-933C-4FF6-AEC6-F39057AB4BC5}"/>
    <cellStyle name="20% - Accent2 2 3 3 4" xfId="9575" xr:uid="{937D3859-327E-4A68-A91F-0D2E4EC7DB12}"/>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1213A27B-FE77-40BB-BA74-22545F7EE907}"/>
    <cellStyle name="20% - Accent2 2 3 4 2 3" xfId="12133" xr:uid="{319801D9-CC2A-424E-816A-5C38D86658AB}"/>
    <cellStyle name="20% - Accent2 2 3 4 3" xfId="5756" xr:uid="{00000000-0005-0000-0000-0000D7000000}"/>
    <cellStyle name="20% - Accent2 2 3 4 3 2" xfId="14206" xr:uid="{2A2886B9-C1A3-48AA-947B-89058FD5EC87}"/>
    <cellStyle name="20% - Accent2 2 3 4 4" xfId="9988" xr:uid="{B5D9A96C-A5F9-4D46-B142-C7C913284057}"/>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6EC8C313-3754-410A-9C7B-7814A6168400}"/>
    <cellStyle name="20% - Accent2 2 3 5 2 3" xfId="12546" xr:uid="{F9AEAC76-6A38-4F0B-B38E-D2946D53A150}"/>
    <cellStyle name="20% - Accent2 2 3 5 3" xfId="6169" xr:uid="{00000000-0005-0000-0000-0000DB000000}"/>
    <cellStyle name="20% - Accent2 2 3 5 3 2" xfId="14619" xr:uid="{38960109-C9E2-4E10-A5F3-F4201B25E185}"/>
    <cellStyle name="20% - Accent2 2 3 5 4" xfId="10401" xr:uid="{88FDD920-AAAF-4FA2-8E3F-023950C3A38E}"/>
    <cellStyle name="20% - Accent2 2 3 6" xfId="2276" xr:uid="{00000000-0005-0000-0000-0000DC000000}"/>
    <cellStyle name="20% - Accent2 2 3 6 2" xfId="6582" xr:uid="{00000000-0005-0000-0000-0000DD000000}"/>
    <cellStyle name="20% - Accent2 2 3 6 2 2" xfId="15032" xr:uid="{9CDBB9CC-5939-49E5-8F0D-42B755AF15FE}"/>
    <cellStyle name="20% - Accent2 2 3 6 3" xfId="10814" xr:uid="{2B3F36CE-639A-48D9-8C62-6E811796A1E6}"/>
    <cellStyle name="20% - Accent2 2 3 7" xfId="4516" xr:uid="{00000000-0005-0000-0000-0000DE000000}"/>
    <cellStyle name="20% - Accent2 2 3 7 2" xfId="12966" xr:uid="{88A21A03-1B9F-4AE6-9506-580DEF6AF231}"/>
    <cellStyle name="20% - Accent2 2 3 8" xfId="17189" xr:uid="{94613DF2-DAA9-4169-9517-BF4D9F32D974}"/>
    <cellStyle name="20% - Accent2 2 3 9" xfId="18022" xr:uid="{DAA88624-E61E-4E07-92C8-650AEA0F9D26}"/>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359D7877-8D3A-4A09-9DE2-CF63212C0A7E}"/>
    <cellStyle name="20% - Accent2 2 4 2 3" xfId="11304" xr:uid="{DEE4F32E-507F-4F9C-ACA7-21167DC81D56}"/>
    <cellStyle name="20% - Accent2 2 4 3" xfId="4927" xr:uid="{00000000-0005-0000-0000-0000E2000000}"/>
    <cellStyle name="20% - Accent2 2 4 3 2" xfId="13377" xr:uid="{F921CC3B-AB39-482D-975D-C3E88A75EFE5}"/>
    <cellStyle name="20% - Accent2 2 4 4" xfId="17603" xr:uid="{3D65A89A-6659-4BF9-8500-14263A85488C}"/>
    <cellStyle name="20% - Accent2 2 4 5" xfId="18435" xr:uid="{047D40E5-75FE-4D4A-810F-4AA4BDC495AB}"/>
    <cellStyle name="20% - Accent2 2 4 6" xfId="19264" xr:uid="{025790A0-DFE0-4E21-B6E1-618023AAC61D}"/>
    <cellStyle name="20% - Accent2 2 4 7" xfId="9159" xr:uid="{23FD5A56-5BA9-4A82-B0B9-F31901047325}"/>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8C6BF893-8252-4734-A629-A749BD1F3C99}"/>
    <cellStyle name="20% - Accent2 2 5 2 3" xfId="11717" xr:uid="{BECD61A9-B045-4979-B285-1313987CC721}"/>
    <cellStyle name="20% - Accent2 2 5 3" xfId="5340" xr:uid="{00000000-0005-0000-0000-0000E6000000}"/>
    <cellStyle name="20% - Accent2 2 5 3 2" xfId="13790" xr:uid="{04C0493A-287C-480E-86EE-441D1D21F19E}"/>
    <cellStyle name="20% - Accent2 2 5 4" xfId="9572" xr:uid="{743055C2-583A-4CDC-8389-CC947A395BCD}"/>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94E715C5-F580-4B52-88D2-FB3FD92E2FED}"/>
    <cellStyle name="20% - Accent2 2 6 2 3" xfId="12130" xr:uid="{853E3E77-FE5C-479A-A8B8-3AE0AE706184}"/>
    <cellStyle name="20% - Accent2 2 6 3" xfId="5753" xr:uid="{00000000-0005-0000-0000-0000EA000000}"/>
    <cellStyle name="20% - Accent2 2 6 3 2" xfId="14203" xr:uid="{2D20CED4-BBAD-4163-ACB3-B5A78F331577}"/>
    <cellStyle name="20% - Accent2 2 6 4" xfId="9985" xr:uid="{36292148-AA31-46CB-84CD-FBF4B9615B47}"/>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989EE70F-35EF-4528-8E5A-F51545F5AE12}"/>
    <cellStyle name="20% - Accent2 2 7 2 3" xfId="12543" xr:uid="{4B077762-905E-4774-A54A-B07C2AB757E2}"/>
    <cellStyle name="20% - Accent2 2 7 3" xfId="6166" xr:uid="{00000000-0005-0000-0000-0000EE000000}"/>
    <cellStyle name="20% - Accent2 2 7 3 2" xfId="14616" xr:uid="{E586CDF7-F1AF-4E81-B302-A3011DE2559E}"/>
    <cellStyle name="20% - Accent2 2 7 4" xfId="10398" xr:uid="{5B6243DC-F6E6-4A65-BAB2-8668AB507CD4}"/>
    <cellStyle name="20% - Accent2 2 8" xfId="2273" xr:uid="{00000000-0005-0000-0000-0000EF000000}"/>
    <cellStyle name="20% - Accent2 2 8 2" xfId="6579" xr:uid="{00000000-0005-0000-0000-0000F0000000}"/>
    <cellStyle name="20% - Accent2 2 8 2 2" xfId="15029" xr:uid="{C16F841B-68AF-4DE7-BE3F-923BB7AAD40B}"/>
    <cellStyle name="20% - Accent2 2 8 3" xfId="10811" xr:uid="{CA35C507-E968-486B-8692-44C8F3BD55D3}"/>
    <cellStyle name="20% - Accent2 2 9" xfId="4513" xr:uid="{00000000-0005-0000-0000-0000F1000000}"/>
    <cellStyle name="20% - Accent2 2 9 2" xfId="12963" xr:uid="{715416F2-13AA-43F9-B5F5-9DBBF34CFFF1}"/>
    <cellStyle name="20% - Accent2 3" xfId="14" xr:uid="{00000000-0005-0000-0000-0000F2000000}"/>
    <cellStyle name="20% - Accent2 3 10" xfId="18023" xr:uid="{6FA3C245-5358-44A8-921E-8508CCB876E2}"/>
    <cellStyle name="20% - Accent2 3 11" xfId="18852" xr:uid="{D77842D7-D552-4735-936F-908F1493EC37}"/>
    <cellStyle name="20% - Accent2 3 12" xfId="8749" xr:uid="{7811A41E-570E-49D9-A39E-6C7E5CFA5DF0}"/>
    <cellStyle name="20% - Accent2 3 2" xfId="15" xr:uid="{00000000-0005-0000-0000-0000F3000000}"/>
    <cellStyle name="20% - Accent2 3 2 10" xfId="18853" xr:uid="{4D5CBDEB-1F21-4577-9ED7-E43E85CFCE0E}"/>
    <cellStyle name="20% - Accent2 3 2 11" xfId="8750" xr:uid="{FCF8035A-258A-4B9C-A838-8894312B483B}"/>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4803D096-E029-46D1-98E4-48E98E940FA7}"/>
    <cellStyle name="20% - Accent2 3 2 2 2 3" xfId="11309" xr:uid="{58C0AAB5-3373-45BB-ACF6-0E4FDF0EC0E3}"/>
    <cellStyle name="20% - Accent2 3 2 2 3" xfId="4932" xr:uid="{00000000-0005-0000-0000-0000F7000000}"/>
    <cellStyle name="20% - Accent2 3 2 2 3 2" xfId="13382" xr:uid="{4AEE007D-6953-431E-91C8-E7AF7BD52FF3}"/>
    <cellStyle name="20% - Accent2 3 2 2 4" xfId="17608" xr:uid="{F48B49B7-ACC5-4423-9B26-F9B7A00B2EAE}"/>
    <cellStyle name="20% - Accent2 3 2 2 5" xfId="18440" xr:uid="{FA4DA0C6-664C-4A9A-8DAF-8B937C7F02A0}"/>
    <cellStyle name="20% - Accent2 3 2 2 6" xfId="19269" xr:uid="{E63DB549-C8DA-49A4-9F1E-D358AF698A29}"/>
    <cellStyle name="20% - Accent2 3 2 2 7" xfId="9164" xr:uid="{AE1281B3-FFD9-46C4-B62C-0497F84F9AF7}"/>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9C3A5FA4-5179-4E39-BF7B-10D59CED38FB}"/>
    <cellStyle name="20% - Accent2 3 2 3 2 3" xfId="11722" xr:uid="{9C277C3A-B4B4-4513-A5F0-F0821E3E8F5D}"/>
    <cellStyle name="20% - Accent2 3 2 3 3" xfId="5345" xr:uid="{00000000-0005-0000-0000-0000FB000000}"/>
    <cellStyle name="20% - Accent2 3 2 3 3 2" xfId="13795" xr:uid="{7E443187-A2AE-42D6-83B3-1BD35035543D}"/>
    <cellStyle name="20% - Accent2 3 2 3 4" xfId="9577" xr:uid="{7808DDE5-356A-4C58-9196-9CA0F92A857A}"/>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F8F0E4AF-95A2-4FCF-8D26-D8F9F906E57D}"/>
    <cellStyle name="20% - Accent2 3 2 4 2 3" xfId="12135" xr:uid="{0B193948-C2EE-432D-9123-97CE8B7FE775}"/>
    <cellStyle name="20% - Accent2 3 2 4 3" xfId="5758" xr:uid="{00000000-0005-0000-0000-0000FF000000}"/>
    <cellStyle name="20% - Accent2 3 2 4 3 2" xfId="14208" xr:uid="{07F6761D-9DE8-486F-8E9D-E1F707AF4AA7}"/>
    <cellStyle name="20% - Accent2 3 2 4 4" xfId="9990" xr:uid="{BCB1855C-095F-40A0-9F38-8B0B4A766AEE}"/>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2D684B69-4D9D-4946-9640-276ADF3CE75D}"/>
    <cellStyle name="20% - Accent2 3 2 5 2 3" xfId="12548" xr:uid="{5094D2FF-476D-4229-871B-1096130CA39D}"/>
    <cellStyle name="20% - Accent2 3 2 5 3" xfId="6171" xr:uid="{00000000-0005-0000-0000-000003010000}"/>
    <cellStyle name="20% - Accent2 3 2 5 3 2" xfId="14621" xr:uid="{DEF8E78C-2802-42BF-BF3E-BB5AA4F37575}"/>
    <cellStyle name="20% - Accent2 3 2 5 4" xfId="10403" xr:uid="{F23DE733-19FD-4120-A61F-525554AA6C6A}"/>
    <cellStyle name="20% - Accent2 3 2 6" xfId="2278" xr:uid="{00000000-0005-0000-0000-000004010000}"/>
    <cellStyle name="20% - Accent2 3 2 6 2" xfId="6584" xr:uid="{00000000-0005-0000-0000-000005010000}"/>
    <cellStyle name="20% - Accent2 3 2 6 2 2" xfId="15034" xr:uid="{0CCFA95F-ACBB-43DD-8039-E1EBC199BC4B}"/>
    <cellStyle name="20% - Accent2 3 2 6 3" xfId="10816" xr:uid="{D13E3267-6B0D-491C-AA82-A977EB29D71D}"/>
    <cellStyle name="20% - Accent2 3 2 7" xfId="4518" xr:uid="{00000000-0005-0000-0000-000006010000}"/>
    <cellStyle name="20% - Accent2 3 2 7 2" xfId="12968" xr:uid="{79D0669C-44ED-4122-9978-4A2CB2319CD0}"/>
    <cellStyle name="20% - Accent2 3 2 8" xfId="17191" xr:uid="{2CCF2248-7269-4426-9442-503818BA2FA5}"/>
    <cellStyle name="20% - Accent2 3 2 9" xfId="18024" xr:uid="{1E1DAFDA-7781-4C39-9F28-1B3DD0D18EB8}"/>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23E90952-C6AF-48E9-88C7-9ADDCF4CBAF3}"/>
    <cellStyle name="20% - Accent2 3 3 2 3" xfId="11308" xr:uid="{C328701E-12DF-46F8-9CB4-B0B637B727C4}"/>
    <cellStyle name="20% - Accent2 3 3 3" xfId="4931" xr:uid="{00000000-0005-0000-0000-00000A010000}"/>
    <cellStyle name="20% - Accent2 3 3 3 2" xfId="13381" xr:uid="{487D2CA9-0775-4777-9F75-E6491FED971B}"/>
    <cellStyle name="20% - Accent2 3 3 4" xfId="17607" xr:uid="{D584CABB-0844-434A-ACF4-92B7A0218048}"/>
    <cellStyle name="20% - Accent2 3 3 5" xfId="18439" xr:uid="{79F265F4-5986-4EE9-B572-09CD0B633320}"/>
    <cellStyle name="20% - Accent2 3 3 6" xfId="19268" xr:uid="{7C70B6D1-B274-4FCC-AD0F-49AF76DDC17F}"/>
    <cellStyle name="20% - Accent2 3 3 7" xfId="9163" xr:uid="{4F2C0589-85F0-432E-BDEF-D125BE56AF20}"/>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D4154C0A-73D3-4AA3-9220-7116A94F7DDC}"/>
    <cellStyle name="20% - Accent2 3 4 2 3" xfId="11721" xr:uid="{DF528F46-17F1-48A4-9C2A-CD0E4269E197}"/>
    <cellStyle name="20% - Accent2 3 4 3" xfId="5344" xr:uid="{00000000-0005-0000-0000-00000E010000}"/>
    <cellStyle name="20% - Accent2 3 4 3 2" xfId="13794" xr:uid="{6A656FA4-71D7-494B-9F3B-02C3CD8E6C12}"/>
    <cellStyle name="20% - Accent2 3 4 4" xfId="9576" xr:uid="{E69481C5-99E1-46E6-9DF7-09FD62E9B70F}"/>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F5F5D88E-C181-4E08-B917-35C9F03AAA9F}"/>
    <cellStyle name="20% - Accent2 3 5 2 3" xfId="12134" xr:uid="{7C66C3C8-329A-4808-93C4-7C3F9E8F71C5}"/>
    <cellStyle name="20% - Accent2 3 5 3" xfId="5757" xr:uid="{00000000-0005-0000-0000-000012010000}"/>
    <cellStyle name="20% - Accent2 3 5 3 2" xfId="14207" xr:uid="{3124D28A-F51E-4332-A98C-AD976C04A875}"/>
    <cellStyle name="20% - Accent2 3 5 4" xfId="9989" xr:uid="{3F50EE2B-9974-44EC-BBEA-2754240F78F8}"/>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2D8330AD-2EDF-4C2C-8D2F-F37B7F394156}"/>
    <cellStyle name="20% - Accent2 3 6 2 3" xfId="12547" xr:uid="{06993FFF-BC5B-4B64-9D85-1F22E470FFA3}"/>
    <cellStyle name="20% - Accent2 3 6 3" xfId="6170" xr:uid="{00000000-0005-0000-0000-000016010000}"/>
    <cellStyle name="20% - Accent2 3 6 3 2" xfId="14620" xr:uid="{31EAF032-420E-48EF-A6FA-EFF8A39C33E3}"/>
    <cellStyle name="20% - Accent2 3 6 4" xfId="10402" xr:uid="{77858761-2BBB-44CC-BF65-A7041EEF8106}"/>
    <cellStyle name="20% - Accent2 3 7" xfId="2277" xr:uid="{00000000-0005-0000-0000-000017010000}"/>
    <cellStyle name="20% - Accent2 3 7 2" xfId="6583" xr:uid="{00000000-0005-0000-0000-000018010000}"/>
    <cellStyle name="20% - Accent2 3 7 2 2" xfId="15033" xr:uid="{3A58DB93-E844-4ADE-B65E-E36E193B6EEE}"/>
    <cellStyle name="20% - Accent2 3 7 3" xfId="10815" xr:uid="{13EA134D-5352-466F-87C3-663BB66AC832}"/>
    <cellStyle name="20% - Accent2 3 8" xfId="4517" xr:uid="{00000000-0005-0000-0000-000019010000}"/>
    <cellStyle name="20% - Accent2 3 8 2" xfId="12967" xr:uid="{734F489F-A633-432A-9E7C-F461A5ABCD59}"/>
    <cellStyle name="20% - Accent2 3 9" xfId="17190" xr:uid="{4B975AF3-B941-4095-91E9-794DEA54C7B2}"/>
    <cellStyle name="20% - Accent2 4" xfId="16" xr:uid="{00000000-0005-0000-0000-00001A010000}"/>
    <cellStyle name="20% - Accent2 4 10" xfId="18854" xr:uid="{A77BC4CC-C33B-4C04-BBD2-F53C30EA353E}"/>
    <cellStyle name="20% - Accent2 4 11" xfId="8751" xr:uid="{B7D93903-EC1E-4842-8FE4-F3FE4D971BA5}"/>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35F3FC86-64CA-44DB-8AAE-9DD87277851D}"/>
    <cellStyle name="20% - Accent2 4 2 2 3" xfId="11310" xr:uid="{777ED1FC-1429-4B9D-9135-831F0C432ED0}"/>
    <cellStyle name="20% - Accent2 4 2 3" xfId="4933" xr:uid="{00000000-0005-0000-0000-00001E010000}"/>
    <cellStyle name="20% - Accent2 4 2 3 2" xfId="13383" xr:uid="{E33B1174-5760-4BC2-935A-D9F42C8D97B2}"/>
    <cellStyle name="20% - Accent2 4 2 4" xfId="17609" xr:uid="{3B04B9B0-9C51-451B-B76A-74C1415D1D12}"/>
    <cellStyle name="20% - Accent2 4 2 5" xfId="18441" xr:uid="{DFFB03D5-71DA-4542-9553-DCC442A0C5CA}"/>
    <cellStyle name="20% - Accent2 4 2 6" xfId="19270" xr:uid="{EB1A1B4C-1F9A-48B2-BE8E-CC2089208498}"/>
    <cellStyle name="20% - Accent2 4 2 7" xfId="9165" xr:uid="{A815885A-EFB1-45E2-9829-C0BBB1A5D1DD}"/>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4118B0C7-5F43-428B-9E5D-D5F980984794}"/>
    <cellStyle name="20% - Accent2 4 3 2 3" xfId="11723" xr:uid="{E4EAFA60-FBE3-41E5-B6FE-AAD5DE234D47}"/>
    <cellStyle name="20% - Accent2 4 3 3" xfId="5346" xr:uid="{00000000-0005-0000-0000-000022010000}"/>
    <cellStyle name="20% - Accent2 4 3 3 2" xfId="13796" xr:uid="{53EBD054-34DC-4736-ADE4-5C9BE3D0AA23}"/>
    <cellStyle name="20% - Accent2 4 3 4" xfId="9578" xr:uid="{729A0E13-52AE-4F21-86ED-630DAD7ACC34}"/>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2F13A009-0570-49ED-A1A0-3F12EA320801}"/>
    <cellStyle name="20% - Accent2 4 4 2 3" xfId="12136" xr:uid="{C6D53554-FCA5-4F93-ABF3-A55988F518CF}"/>
    <cellStyle name="20% - Accent2 4 4 3" xfId="5759" xr:uid="{00000000-0005-0000-0000-000026010000}"/>
    <cellStyle name="20% - Accent2 4 4 3 2" xfId="14209" xr:uid="{389118F2-98A8-4CB2-92C6-A86B4FC95560}"/>
    <cellStyle name="20% - Accent2 4 4 4" xfId="9991" xr:uid="{E5EB3244-F854-4942-8519-2E5A5BC65227}"/>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E000FF31-FBA6-4376-84B7-ECB4DFE225D7}"/>
    <cellStyle name="20% - Accent2 4 5 2 3" xfId="12549" xr:uid="{DC6ECA9F-EECF-472D-8BDC-9804AB810640}"/>
    <cellStyle name="20% - Accent2 4 5 3" xfId="6172" xr:uid="{00000000-0005-0000-0000-00002A010000}"/>
    <cellStyle name="20% - Accent2 4 5 3 2" xfId="14622" xr:uid="{F25126E7-00ED-4454-9891-F5F2B9A4CCAF}"/>
    <cellStyle name="20% - Accent2 4 5 4" xfId="10404" xr:uid="{C10E040A-90EA-4317-9B7A-EC2D9DA1C0CD}"/>
    <cellStyle name="20% - Accent2 4 6" xfId="2279" xr:uid="{00000000-0005-0000-0000-00002B010000}"/>
    <cellStyle name="20% - Accent2 4 6 2" xfId="6585" xr:uid="{00000000-0005-0000-0000-00002C010000}"/>
    <cellStyle name="20% - Accent2 4 6 2 2" xfId="15035" xr:uid="{D5FB2808-5B81-43A1-B2D0-8DB644B77FC6}"/>
    <cellStyle name="20% - Accent2 4 6 3" xfId="10817" xr:uid="{B0715012-C24E-49A0-833B-678E825D5BEC}"/>
    <cellStyle name="20% - Accent2 4 7" xfId="4519" xr:uid="{00000000-0005-0000-0000-00002D010000}"/>
    <cellStyle name="20% - Accent2 4 7 2" xfId="12969" xr:uid="{4D39267C-4BF2-4DD7-BD42-57E73C1DD7BA}"/>
    <cellStyle name="20% - Accent2 4 8" xfId="17192" xr:uid="{9E819B83-3E74-4EB4-B491-AE9C99302766}"/>
    <cellStyle name="20% - Accent2 4 9" xfId="18025" xr:uid="{ED3C7A8E-44FB-4F3D-9ABE-94DE95CF0AA4}"/>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47D44C7F-1CFC-4F88-8C85-8F8FC8807401}"/>
    <cellStyle name="20% - Accent2 5 2 3" xfId="11303" xr:uid="{1A774C14-2422-4EAE-8E9D-223CA9B8A9EE}"/>
    <cellStyle name="20% - Accent2 5 3" xfId="4926" xr:uid="{00000000-0005-0000-0000-000031010000}"/>
    <cellStyle name="20% - Accent2 5 3 2" xfId="13376" xr:uid="{06CBC517-5ECC-4D05-8493-8E94CCAFD7D0}"/>
    <cellStyle name="20% - Accent2 5 4" xfId="17602" xr:uid="{7B7C35AC-D38F-42C8-8E87-3A9206222C33}"/>
    <cellStyle name="20% - Accent2 5 5" xfId="18434" xr:uid="{2FE8B411-70B0-471F-86D2-8F726A88F7CA}"/>
    <cellStyle name="20% - Accent2 5 6" xfId="19263" xr:uid="{90520467-C916-4CF9-BD35-6A5592622F15}"/>
    <cellStyle name="20% - Accent2 5 7" xfId="9158" xr:uid="{25722DBA-3B69-404F-81E1-11C6E10EEBA6}"/>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0100541D-E402-42E1-9464-B8467176DE2C}"/>
    <cellStyle name="20% - Accent2 6 2 3" xfId="11716" xr:uid="{690A9392-6959-4E3E-ADDF-ADB7F120EAF2}"/>
    <cellStyle name="20% - Accent2 6 3" xfId="5339" xr:uid="{00000000-0005-0000-0000-000035010000}"/>
    <cellStyle name="20% - Accent2 6 3 2" xfId="13789" xr:uid="{1BFDF761-E82A-4610-988D-B522B18AC2A6}"/>
    <cellStyle name="20% - Accent2 6 4" xfId="9571" xr:uid="{BA57CAC4-5FF5-40F4-9378-A8FA6D3F34DE}"/>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560520B9-2B02-4A02-B413-E88B5815D894}"/>
    <cellStyle name="20% - Accent2 7 2 3" xfId="12129" xr:uid="{9508481E-8B5A-4129-9C44-3CB1717D620D}"/>
    <cellStyle name="20% - Accent2 7 3" xfId="5752" xr:uid="{00000000-0005-0000-0000-000039010000}"/>
    <cellStyle name="20% - Accent2 7 3 2" xfId="14202" xr:uid="{A35AC2E1-E58D-4792-90FC-772564C76D56}"/>
    <cellStyle name="20% - Accent2 7 4" xfId="9984" xr:uid="{5CF869F5-109B-468D-B60D-B8F89F048D6E}"/>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EA5F67A9-BEF0-4720-9FB2-9B3491662402}"/>
    <cellStyle name="20% - Accent2 8 2 3" xfId="12542" xr:uid="{D93D2B61-AF22-419A-8EDE-C730D432AFAF}"/>
    <cellStyle name="20% - Accent2 8 3" xfId="6165" xr:uid="{00000000-0005-0000-0000-00003D010000}"/>
    <cellStyle name="20% - Accent2 8 3 2" xfId="14615" xr:uid="{ABDFC11E-3EC7-4270-AB08-5ACF0EBAEBBC}"/>
    <cellStyle name="20% - Accent2 8 4" xfId="10397" xr:uid="{9E4D72F2-C319-429E-97F7-AF2EF5AA7731}"/>
    <cellStyle name="20% - Accent2 9" xfId="2272" xr:uid="{00000000-0005-0000-0000-00003E010000}"/>
    <cellStyle name="20% - Accent2 9 2" xfId="6578" xr:uid="{00000000-0005-0000-0000-00003F010000}"/>
    <cellStyle name="20% - Accent2 9 2 2" xfId="15028" xr:uid="{FAAB09E4-8B2D-4852-B98A-50A0C24447CB}"/>
    <cellStyle name="20% - Accent2 9 3" xfId="10810" xr:uid="{2C2621BD-3621-4978-B81C-E40E11070FF3}"/>
    <cellStyle name="20% - Accent3" xfId="17" builtinId="38" customBuiltin="1"/>
    <cellStyle name="20% - Accent3 10" xfId="4520" xr:uid="{00000000-0005-0000-0000-000041010000}"/>
    <cellStyle name="20% - Accent3 10 2" xfId="12970" xr:uid="{3ECC4346-15D6-44C3-9936-F8075A2442D1}"/>
    <cellStyle name="20% - Accent3 11" xfId="17193" xr:uid="{D07F5CC5-2E1C-46A5-AA1D-48A59D75D7A9}"/>
    <cellStyle name="20% - Accent3 12" xfId="18026" xr:uid="{8A3DBC15-B663-4361-BBCF-D8908D1A6321}"/>
    <cellStyle name="20% - Accent3 13" xfId="18855" xr:uid="{ABCD84DF-2925-48D3-846F-22F7F356BBB3}"/>
    <cellStyle name="20% - Accent3 14" xfId="8752" xr:uid="{5C4F0FB4-489F-489E-B70A-2C808A558C38}"/>
    <cellStyle name="20% - Accent3 2" xfId="18" xr:uid="{00000000-0005-0000-0000-000042010000}"/>
    <cellStyle name="20% - Accent3 2 10" xfId="17194" xr:uid="{E58110BC-3655-4968-AF0F-EC9147DBF116}"/>
    <cellStyle name="20% - Accent3 2 11" xfId="18027" xr:uid="{2185A920-E2FA-45FA-9D59-B4F167D73F7B}"/>
    <cellStyle name="20% - Accent3 2 12" xfId="18856" xr:uid="{7EEEEBE2-6F13-4844-8414-841F4336AEBA}"/>
    <cellStyle name="20% - Accent3 2 13" xfId="8753" xr:uid="{99F79B1B-BC70-409F-B736-8434EA43E7C6}"/>
    <cellStyle name="20% - Accent3 2 2" xfId="19" xr:uid="{00000000-0005-0000-0000-000043010000}"/>
    <cellStyle name="20% - Accent3 2 2 10" xfId="18028" xr:uid="{BCDEE814-F5E8-44BC-A5D1-BE8A119EA2F5}"/>
    <cellStyle name="20% - Accent3 2 2 11" xfId="18857" xr:uid="{F19FA6FE-DA91-459D-8FA8-7CA5D3B240DB}"/>
    <cellStyle name="20% - Accent3 2 2 12" xfId="8754" xr:uid="{420430FB-AC26-489D-8732-97762DA3C3E8}"/>
    <cellStyle name="20% - Accent3 2 2 2" xfId="20" xr:uid="{00000000-0005-0000-0000-000044010000}"/>
    <cellStyle name="20% - Accent3 2 2 2 10" xfId="18858" xr:uid="{B760C1B7-0DB5-42BE-B20C-F680EC7BF7AA}"/>
    <cellStyle name="20% - Accent3 2 2 2 11" xfId="8755" xr:uid="{63024037-3091-4A14-A796-5D0C85A63297}"/>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108CE739-F46F-4A8C-8940-B662129324D7}"/>
    <cellStyle name="20% - Accent3 2 2 2 2 2 3" xfId="11314" xr:uid="{009AA359-7886-4D1E-B069-6872B19922E9}"/>
    <cellStyle name="20% - Accent3 2 2 2 2 3" xfId="4937" xr:uid="{00000000-0005-0000-0000-000048010000}"/>
    <cellStyle name="20% - Accent3 2 2 2 2 3 2" xfId="13387" xr:uid="{259B6858-0A5D-4DE9-A3B1-0914D4CD4096}"/>
    <cellStyle name="20% - Accent3 2 2 2 2 4" xfId="17613" xr:uid="{0136A8F5-AE33-47FF-A1F0-4CFAD8679601}"/>
    <cellStyle name="20% - Accent3 2 2 2 2 5" xfId="18445" xr:uid="{775F6628-F2FF-472E-AA30-484F79CB027A}"/>
    <cellStyle name="20% - Accent3 2 2 2 2 6" xfId="19274" xr:uid="{205D55C2-1E80-430E-91CE-3CA82994C521}"/>
    <cellStyle name="20% - Accent3 2 2 2 2 7" xfId="9169" xr:uid="{DA0D7752-330B-4A8B-87A0-AE63632C791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9E162E10-2CF7-4920-9B0A-054BFC221FD5}"/>
    <cellStyle name="20% - Accent3 2 2 2 3 2 3" xfId="11727" xr:uid="{219FAD28-F38C-4354-ADEB-7F4DFB3E3337}"/>
    <cellStyle name="20% - Accent3 2 2 2 3 3" xfId="5350" xr:uid="{00000000-0005-0000-0000-00004C010000}"/>
    <cellStyle name="20% - Accent3 2 2 2 3 3 2" xfId="13800" xr:uid="{4EE6E4BB-AC25-4812-A94F-813FD304D933}"/>
    <cellStyle name="20% - Accent3 2 2 2 3 4" xfId="9582" xr:uid="{444A8BBE-D6E4-4050-99A2-59565FB8DC1F}"/>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FEC1FDF7-9DBD-4358-A4FB-2D750CCBE99A}"/>
    <cellStyle name="20% - Accent3 2 2 2 4 2 3" xfId="12140" xr:uid="{EE3F39CB-85D2-4FF1-A7BF-D6FF2ECD5977}"/>
    <cellStyle name="20% - Accent3 2 2 2 4 3" xfId="5763" xr:uid="{00000000-0005-0000-0000-000050010000}"/>
    <cellStyle name="20% - Accent3 2 2 2 4 3 2" xfId="14213" xr:uid="{6F1E15C4-BB8D-4862-8765-CBC8666291E0}"/>
    <cellStyle name="20% - Accent3 2 2 2 4 4" xfId="9995" xr:uid="{53002F4C-6275-4E03-A12C-0067DFB17C86}"/>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5C007609-67DA-456A-A71A-2089A31DD172}"/>
    <cellStyle name="20% - Accent3 2 2 2 5 2 3" xfId="12553" xr:uid="{B468656F-6631-4B37-9402-7EEF8303A317}"/>
    <cellStyle name="20% - Accent3 2 2 2 5 3" xfId="6176" xr:uid="{00000000-0005-0000-0000-000054010000}"/>
    <cellStyle name="20% - Accent3 2 2 2 5 3 2" xfId="14626" xr:uid="{030EAD06-0981-43E5-9BED-986D136B029D}"/>
    <cellStyle name="20% - Accent3 2 2 2 5 4" xfId="10408" xr:uid="{E36A5645-A465-45CB-9D2B-5EF02570258F}"/>
    <cellStyle name="20% - Accent3 2 2 2 6" xfId="2283" xr:uid="{00000000-0005-0000-0000-000055010000}"/>
    <cellStyle name="20% - Accent3 2 2 2 6 2" xfId="6589" xr:uid="{00000000-0005-0000-0000-000056010000}"/>
    <cellStyle name="20% - Accent3 2 2 2 6 2 2" xfId="15039" xr:uid="{62DD2DD0-4C25-45FE-9620-E5611D7D0422}"/>
    <cellStyle name="20% - Accent3 2 2 2 6 3" xfId="10821" xr:uid="{30F5147B-3E50-4891-AB2F-8C3437FFCABE}"/>
    <cellStyle name="20% - Accent3 2 2 2 7" xfId="4523" xr:uid="{00000000-0005-0000-0000-000057010000}"/>
    <cellStyle name="20% - Accent3 2 2 2 7 2" xfId="12973" xr:uid="{F03E36FF-D326-446A-9A15-BE64B7172760}"/>
    <cellStyle name="20% - Accent3 2 2 2 8" xfId="17196" xr:uid="{A30A02E9-7CDF-40D6-BC25-50B03FFA09E4}"/>
    <cellStyle name="20% - Accent3 2 2 2 9" xfId="18029" xr:uid="{1B412081-6577-4804-89CA-3A01EEE4F08B}"/>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834BF22B-5C88-436E-AF1A-49D4E1179308}"/>
    <cellStyle name="20% - Accent3 2 2 3 2 3" xfId="11313" xr:uid="{D640E5CE-65F1-4EA1-9D42-1DA690E41DB5}"/>
    <cellStyle name="20% - Accent3 2 2 3 3" xfId="4936" xr:uid="{00000000-0005-0000-0000-00005B010000}"/>
    <cellStyle name="20% - Accent3 2 2 3 3 2" xfId="13386" xr:uid="{36BA4187-A4D5-42FB-B755-19875A2B77F4}"/>
    <cellStyle name="20% - Accent3 2 2 3 4" xfId="17612" xr:uid="{F3A62D5A-B58C-49A1-8594-88911A8498B1}"/>
    <cellStyle name="20% - Accent3 2 2 3 5" xfId="18444" xr:uid="{DF918618-1387-4C4E-9F4B-98A328218D49}"/>
    <cellStyle name="20% - Accent3 2 2 3 6" xfId="19273" xr:uid="{1D1C75C7-2302-498E-94CA-995D6987C6EE}"/>
    <cellStyle name="20% - Accent3 2 2 3 7" xfId="9168" xr:uid="{A11B9CC9-8DFA-4FBD-B6BA-688BE516AABA}"/>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01F1F9FF-E7DF-4E6D-BBD0-EF7706A64438}"/>
    <cellStyle name="20% - Accent3 2 2 4 2 3" xfId="11726" xr:uid="{3DDD31DC-C0B8-4758-B856-CC57847C3752}"/>
    <cellStyle name="20% - Accent3 2 2 4 3" xfId="5349" xr:uid="{00000000-0005-0000-0000-00005F010000}"/>
    <cellStyle name="20% - Accent3 2 2 4 3 2" xfId="13799" xr:uid="{63FECE4F-ABB3-4AC1-8BF1-ED4B8AADDA06}"/>
    <cellStyle name="20% - Accent3 2 2 4 4" xfId="9581" xr:uid="{5976A5C4-21E7-4C0B-A08B-A73826813FD4}"/>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BF5A9E44-DAFD-4711-913C-3494A8ADA337}"/>
    <cellStyle name="20% - Accent3 2 2 5 2 3" xfId="12139" xr:uid="{28BD5AF4-CD71-49BD-AC17-389A54A0B642}"/>
    <cellStyle name="20% - Accent3 2 2 5 3" xfId="5762" xr:uid="{00000000-0005-0000-0000-000063010000}"/>
    <cellStyle name="20% - Accent3 2 2 5 3 2" xfId="14212" xr:uid="{A6A165B0-802A-44B5-A19E-17DE69FCCAD7}"/>
    <cellStyle name="20% - Accent3 2 2 5 4" xfId="9994" xr:uid="{ECCF8CBF-DD6E-4286-BB1C-0F2E9E8B7194}"/>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CB6DE373-DAB4-4BB6-AB30-0695C111D114}"/>
    <cellStyle name="20% - Accent3 2 2 6 2 3" xfId="12552" xr:uid="{F1BC6F7C-A8BF-4174-9FD6-C37AEA91BB3E}"/>
    <cellStyle name="20% - Accent3 2 2 6 3" xfId="6175" xr:uid="{00000000-0005-0000-0000-000067010000}"/>
    <cellStyle name="20% - Accent3 2 2 6 3 2" xfId="14625" xr:uid="{1E64F16B-E846-4E9F-8F6B-EE3A0A28BE93}"/>
    <cellStyle name="20% - Accent3 2 2 6 4" xfId="10407" xr:uid="{067300B5-BAB4-4045-8D7B-2404DA2E2ABB}"/>
    <cellStyle name="20% - Accent3 2 2 7" xfId="2282" xr:uid="{00000000-0005-0000-0000-000068010000}"/>
    <cellStyle name="20% - Accent3 2 2 7 2" xfId="6588" xr:uid="{00000000-0005-0000-0000-000069010000}"/>
    <cellStyle name="20% - Accent3 2 2 7 2 2" xfId="15038" xr:uid="{F5A29271-A67B-48AB-B382-E67DB26A8E73}"/>
    <cellStyle name="20% - Accent3 2 2 7 3" xfId="10820" xr:uid="{F38FB7C6-FE0B-49CF-B87D-C6B173175114}"/>
    <cellStyle name="20% - Accent3 2 2 8" xfId="4522" xr:uid="{00000000-0005-0000-0000-00006A010000}"/>
    <cellStyle name="20% - Accent3 2 2 8 2" xfId="12972" xr:uid="{3207E117-6EE4-4ED4-BDC7-7E5004A880E1}"/>
    <cellStyle name="20% - Accent3 2 2 9" xfId="17195" xr:uid="{97E53B10-7E52-44C4-A7E2-AC1D4C2A4D0A}"/>
    <cellStyle name="20% - Accent3 2 3" xfId="21" xr:uid="{00000000-0005-0000-0000-00006B010000}"/>
    <cellStyle name="20% - Accent3 2 3 10" xfId="18859" xr:uid="{4787A3ED-38E4-4F03-B18B-FEAAC2007B8B}"/>
    <cellStyle name="20% - Accent3 2 3 11" xfId="8756" xr:uid="{9BDAE3C7-AFF2-42B3-98B2-7487E5094E2F}"/>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8E31428B-719B-401F-8204-BA654E35C234}"/>
    <cellStyle name="20% - Accent3 2 3 2 2 3" xfId="11315" xr:uid="{82427742-F3A5-465D-997A-16B9D52C88B9}"/>
    <cellStyle name="20% - Accent3 2 3 2 3" xfId="4938" xr:uid="{00000000-0005-0000-0000-00006F010000}"/>
    <cellStyle name="20% - Accent3 2 3 2 3 2" xfId="13388" xr:uid="{9535F86A-EABF-4B94-9856-324DE6DDC5C3}"/>
    <cellStyle name="20% - Accent3 2 3 2 4" xfId="17614" xr:uid="{1EE256D4-7B51-4A9B-BA78-486D0FA7CFB2}"/>
    <cellStyle name="20% - Accent3 2 3 2 5" xfId="18446" xr:uid="{3D53D8E0-B116-4845-A06B-06139BCCFF33}"/>
    <cellStyle name="20% - Accent3 2 3 2 6" xfId="19275" xr:uid="{83CB7EFD-BD50-4C5A-86EB-D4872610290D}"/>
    <cellStyle name="20% - Accent3 2 3 2 7" xfId="9170" xr:uid="{1101DE22-6A8F-4DAA-9B1C-4119A73327DA}"/>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92E47E6D-E3B5-445F-BFFC-4B564292E605}"/>
    <cellStyle name="20% - Accent3 2 3 3 2 3" xfId="11728" xr:uid="{6CC14E6F-5369-4AC9-9C7F-BADB7D0AB02B}"/>
    <cellStyle name="20% - Accent3 2 3 3 3" xfId="5351" xr:uid="{00000000-0005-0000-0000-000073010000}"/>
    <cellStyle name="20% - Accent3 2 3 3 3 2" xfId="13801" xr:uid="{939704B6-F2ED-4D2B-A0EF-6A3D6020CC93}"/>
    <cellStyle name="20% - Accent3 2 3 3 4" xfId="9583" xr:uid="{96A11B2B-4F97-43DC-9917-4B763AAD5293}"/>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594A37C7-9889-4F5B-BDFD-E467A9D98F34}"/>
    <cellStyle name="20% - Accent3 2 3 4 2 3" xfId="12141" xr:uid="{BF2332D7-EF73-446E-A39E-DF81A3481732}"/>
    <cellStyle name="20% - Accent3 2 3 4 3" xfId="5764" xr:uid="{00000000-0005-0000-0000-000077010000}"/>
    <cellStyle name="20% - Accent3 2 3 4 3 2" xfId="14214" xr:uid="{82729C35-CF33-4A8F-B680-4A810CF3209E}"/>
    <cellStyle name="20% - Accent3 2 3 4 4" xfId="9996" xr:uid="{F71849D5-AC46-4E60-96E4-CA837A6B674E}"/>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44995F70-2DC0-43DF-B888-FB15648EA539}"/>
    <cellStyle name="20% - Accent3 2 3 5 2 3" xfId="12554" xr:uid="{9605C05D-488E-48D6-A44B-2459E031A660}"/>
    <cellStyle name="20% - Accent3 2 3 5 3" xfId="6177" xr:uid="{00000000-0005-0000-0000-00007B010000}"/>
    <cellStyle name="20% - Accent3 2 3 5 3 2" xfId="14627" xr:uid="{E8FA4F2A-9832-416A-AF5C-F1D23413D708}"/>
    <cellStyle name="20% - Accent3 2 3 5 4" xfId="10409" xr:uid="{65305542-A203-48E7-B78C-7BD4F1CA9F6E}"/>
    <cellStyle name="20% - Accent3 2 3 6" xfId="2284" xr:uid="{00000000-0005-0000-0000-00007C010000}"/>
    <cellStyle name="20% - Accent3 2 3 6 2" xfId="6590" xr:uid="{00000000-0005-0000-0000-00007D010000}"/>
    <cellStyle name="20% - Accent3 2 3 6 2 2" xfId="15040" xr:uid="{ABAB17D2-3F05-4CFC-BEA5-F7A9CFB605E4}"/>
    <cellStyle name="20% - Accent3 2 3 6 3" xfId="10822" xr:uid="{BCE62795-E908-4810-8116-7467222D9D0F}"/>
    <cellStyle name="20% - Accent3 2 3 7" xfId="4524" xr:uid="{00000000-0005-0000-0000-00007E010000}"/>
    <cellStyle name="20% - Accent3 2 3 7 2" xfId="12974" xr:uid="{4E2F0DC3-9716-480C-AA81-88E65F84F3B3}"/>
    <cellStyle name="20% - Accent3 2 3 8" xfId="17197" xr:uid="{90AD0FB4-C6F4-4054-A5B5-BACF3F9DE612}"/>
    <cellStyle name="20% - Accent3 2 3 9" xfId="18030" xr:uid="{2D41DE66-9083-46A8-B16B-E86382A8F474}"/>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5BFA8210-1405-4B53-8441-BDC40B561AD0}"/>
    <cellStyle name="20% - Accent3 2 4 2 3" xfId="11312" xr:uid="{8FFBF11A-388C-4E75-A0E5-7CB60870E235}"/>
    <cellStyle name="20% - Accent3 2 4 3" xfId="4935" xr:uid="{00000000-0005-0000-0000-000082010000}"/>
    <cellStyle name="20% - Accent3 2 4 3 2" xfId="13385" xr:uid="{DEA97312-2D24-47A7-A4CD-45965E3DEF87}"/>
    <cellStyle name="20% - Accent3 2 4 4" xfId="17611" xr:uid="{CBB4E163-1ECC-47DB-B2FD-0F29F7B103AB}"/>
    <cellStyle name="20% - Accent3 2 4 5" xfId="18443" xr:uid="{0DDA7657-5D2F-4713-867E-C41B2F433EC6}"/>
    <cellStyle name="20% - Accent3 2 4 6" xfId="19272" xr:uid="{54CF1409-BAD7-4750-8ACF-5FF7900CA35D}"/>
    <cellStyle name="20% - Accent3 2 4 7" xfId="9167" xr:uid="{54DAD066-67F3-4D5B-8564-6A9E7D0F23C9}"/>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E1A0F74E-430D-4EA1-861F-E5E6AC48EF16}"/>
    <cellStyle name="20% - Accent3 2 5 2 3" xfId="11725" xr:uid="{96C5B295-17D7-433E-B9B1-1AF6B1053191}"/>
    <cellStyle name="20% - Accent3 2 5 3" xfId="5348" xr:uid="{00000000-0005-0000-0000-000086010000}"/>
    <cellStyle name="20% - Accent3 2 5 3 2" xfId="13798" xr:uid="{6D09C637-7A26-4013-8D14-E3586D541576}"/>
    <cellStyle name="20% - Accent3 2 5 4" xfId="9580" xr:uid="{04EED041-E54B-47CB-B176-E15A20774FB4}"/>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10B94FC6-4A6A-46DF-A881-29B1311B80CB}"/>
    <cellStyle name="20% - Accent3 2 6 2 3" xfId="12138" xr:uid="{8564D63B-DE5A-4E84-AB6D-A66B48AD3FD7}"/>
    <cellStyle name="20% - Accent3 2 6 3" xfId="5761" xr:uid="{00000000-0005-0000-0000-00008A010000}"/>
    <cellStyle name="20% - Accent3 2 6 3 2" xfId="14211" xr:uid="{5E72A213-4812-4A28-8738-D035C009E299}"/>
    <cellStyle name="20% - Accent3 2 6 4" xfId="9993" xr:uid="{FA6A106E-49CC-4FB6-BC50-6EECDE4563EF}"/>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49368E84-D42D-48C4-9B65-170B3AE9A261}"/>
    <cellStyle name="20% - Accent3 2 7 2 3" xfId="12551" xr:uid="{3CF88B07-3B06-4506-B782-9D6DF08D351D}"/>
    <cellStyle name="20% - Accent3 2 7 3" xfId="6174" xr:uid="{00000000-0005-0000-0000-00008E010000}"/>
    <cellStyle name="20% - Accent3 2 7 3 2" xfId="14624" xr:uid="{2F539475-E226-4F0E-84DE-4A330B0EC44B}"/>
    <cellStyle name="20% - Accent3 2 7 4" xfId="10406" xr:uid="{70FD57B1-0691-4F70-9793-60D4269589EB}"/>
    <cellStyle name="20% - Accent3 2 8" xfId="2281" xr:uid="{00000000-0005-0000-0000-00008F010000}"/>
    <cellStyle name="20% - Accent3 2 8 2" xfId="6587" xr:uid="{00000000-0005-0000-0000-000090010000}"/>
    <cellStyle name="20% - Accent3 2 8 2 2" xfId="15037" xr:uid="{F0AAE4C0-9739-436E-9181-B0D0C0183FD1}"/>
    <cellStyle name="20% - Accent3 2 8 3" xfId="10819" xr:uid="{D1913BAB-9E2E-48CE-A876-04F95C2ED368}"/>
    <cellStyle name="20% - Accent3 2 9" xfId="4521" xr:uid="{00000000-0005-0000-0000-000091010000}"/>
    <cellStyle name="20% - Accent3 2 9 2" xfId="12971" xr:uid="{2690958A-A133-4749-84BA-510C4D2A5B74}"/>
    <cellStyle name="20% - Accent3 3" xfId="22" xr:uid="{00000000-0005-0000-0000-000092010000}"/>
    <cellStyle name="20% - Accent3 3 10" xfId="18031" xr:uid="{EA1C64FF-91CE-4141-866F-162122208915}"/>
    <cellStyle name="20% - Accent3 3 11" xfId="18860" xr:uid="{8AEA3884-7DEE-4305-865A-AFF26A475FF2}"/>
    <cellStyle name="20% - Accent3 3 12" xfId="8757" xr:uid="{E61D9FE2-1EEB-4E21-AFFE-0A30B6B4701F}"/>
    <cellStyle name="20% - Accent3 3 2" xfId="23" xr:uid="{00000000-0005-0000-0000-000093010000}"/>
    <cellStyle name="20% - Accent3 3 2 10" xfId="18861" xr:uid="{AB91FAFD-A040-4F43-9E37-72F8689E3364}"/>
    <cellStyle name="20% - Accent3 3 2 11" xfId="8758" xr:uid="{8C45F171-9A62-475C-A609-7A37C2C1FF48}"/>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B17F4A70-E040-428E-AA41-9629F658388B}"/>
    <cellStyle name="20% - Accent3 3 2 2 2 3" xfId="11317" xr:uid="{AE0624B0-1674-4FC0-B188-8B16A152CE69}"/>
    <cellStyle name="20% - Accent3 3 2 2 3" xfId="4940" xr:uid="{00000000-0005-0000-0000-000097010000}"/>
    <cellStyle name="20% - Accent3 3 2 2 3 2" xfId="13390" xr:uid="{B6DE8B7B-8658-4936-8E4E-3D7AD928484E}"/>
    <cellStyle name="20% - Accent3 3 2 2 4" xfId="17616" xr:uid="{F98E752D-047C-4615-8553-4958C6D910D6}"/>
    <cellStyle name="20% - Accent3 3 2 2 5" xfId="18448" xr:uid="{69688CE7-FF05-4E61-A5CF-10DFD0EEE24E}"/>
    <cellStyle name="20% - Accent3 3 2 2 6" xfId="19277" xr:uid="{1068F6DE-DFB7-4459-B8F7-DB8492E34672}"/>
    <cellStyle name="20% - Accent3 3 2 2 7" xfId="9172" xr:uid="{5A1A07A1-176A-4D6F-BABD-C96335D4BBED}"/>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ECBC45EB-BEC3-442C-83D7-A365C612818B}"/>
    <cellStyle name="20% - Accent3 3 2 3 2 3" xfId="11730" xr:uid="{72086BD7-CB1A-4508-BBBC-C22770743E8E}"/>
    <cellStyle name="20% - Accent3 3 2 3 3" xfId="5353" xr:uid="{00000000-0005-0000-0000-00009B010000}"/>
    <cellStyle name="20% - Accent3 3 2 3 3 2" xfId="13803" xr:uid="{728FB920-7676-4B77-89A0-1DA1E9E3C144}"/>
    <cellStyle name="20% - Accent3 3 2 3 4" xfId="9585" xr:uid="{87E1BCBA-B923-4930-9A23-08DD554B8006}"/>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71EC16B1-E9AA-483D-B95E-E61631C88780}"/>
    <cellStyle name="20% - Accent3 3 2 4 2 3" xfId="12143" xr:uid="{3E8DDAE8-96E5-4BBF-BC5C-DDCD133361C5}"/>
    <cellStyle name="20% - Accent3 3 2 4 3" xfId="5766" xr:uid="{00000000-0005-0000-0000-00009F010000}"/>
    <cellStyle name="20% - Accent3 3 2 4 3 2" xfId="14216" xr:uid="{2EEB87AA-E0EF-4C30-B045-E3A6F8F18AD8}"/>
    <cellStyle name="20% - Accent3 3 2 4 4" xfId="9998" xr:uid="{4AB7D69D-B118-4611-AF16-D712C03A6A71}"/>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1E650EFF-D397-4BA7-8E40-2F74F2AA8CC1}"/>
    <cellStyle name="20% - Accent3 3 2 5 2 3" xfId="12556" xr:uid="{7B2AEFFB-922F-4519-857B-A102603202B1}"/>
    <cellStyle name="20% - Accent3 3 2 5 3" xfId="6179" xr:uid="{00000000-0005-0000-0000-0000A3010000}"/>
    <cellStyle name="20% - Accent3 3 2 5 3 2" xfId="14629" xr:uid="{E86ED264-9CE9-406C-A583-00E58D1183C9}"/>
    <cellStyle name="20% - Accent3 3 2 5 4" xfId="10411" xr:uid="{178DF8F8-3DA2-42B4-87F0-208324E20A35}"/>
    <cellStyle name="20% - Accent3 3 2 6" xfId="2286" xr:uid="{00000000-0005-0000-0000-0000A4010000}"/>
    <cellStyle name="20% - Accent3 3 2 6 2" xfId="6592" xr:uid="{00000000-0005-0000-0000-0000A5010000}"/>
    <cellStyle name="20% - Accent3 3 2 6 2 2" xfId="15042" xr:uid="{241800A5-9392-4532-9A06-511661800399}"/>
    <cellStyle name="20% - Accent3 3 2 6 3" xfId="10824" xr:uid="{7A70C606-4F51-4A7F-96E5-33B50B38AC00}"/>
    <cellStyle name="20% - Accent3 3 2 7" xfId="4526" xr:uid="{00000000-0005-0000-0000-0000A6010000}"/>
    <cellStyle name="20% - Accent3 3 2 7 2" xfId="12976" xr:uid="{B3A238BB-F566-41DD-BD8A-A37D161F3878}"/>
    <cellStyle name="20% - Accent3 3 2 8" xfId="17199" xr:uid="{3CA03441-1EAD-458F-AB4B-7B687A6C6808}"/>
    <cellStyle name="20% - Accent3 3 2 9" xfId="18032" xr:uid="{0EAFC687-A781-496A-95EF-5E777929D5CD}"/>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29CCCACA-2791-471D-B1C5-500C9437B0B0}"/>
    <cellStyle name="20% - Accent3 3 3 2 3" xfId="11316" xr:uid="{727FDB6A-4EA3-4D01-ADCC-28870F77E4C1}"/>
    <cellStyle name="20% - Accent3 3 3 3" xfId="4939" xr:uid="{00000000-0005-0000-0000-0000AA010000}"/>
    <cellStyle name="20% - Accent3 3 3 3 2" xfId="13389" xr:uid="{4B4DFF7E-E2EA-4CA6-9436-8033E42B9E41}"/>
    <cellStyle name="20% - Accent3 3 3 4" xfId="17615" xr:uid="{ACB7B8C5-0142-4B14-A2F4-B911D1DFC01D}"/>
    <cellStyle name="20% - Accent3 3 3 5" xfId="18447" xr:uid="{C905DD6F-C2ED-48C6-AC1E-E608508F95BF}"/>
    <cellStyle name="20% - Accent3 3 3 6" xfId="19276" xr:uid="{98A3117C-E896-4D9C-B1C7-000101413C1E}"/>
    <cellStyle name="20% - Accent3 3 3 7" xfId="9171" xr:uid="{50F2F74B-59DB-4BA2-8DDF-5EC80780F6D5}"/>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638458AB-C0B1-44CD-B0EE-E24288FEAF5D}"/>
    <cellStyle name="20% - Accent3 3 4 2 3" xfId="11729" xr:uid="{03A021A1-65EB-4875-AD31-E3047163BC88}"/>
    <cellStyle name="20% - Accent3 3 4 3" xfId="5352" xr:uid="{00000000-0005-0000-0000-0000AE010000}"/>
    <cellStyle name="20% - Accent3 3 4 3 2" xfId="13802" xr:uid="{37C6E691-BA92-447E-AB66-65CC388E0364}"/>
    <cellStyle name="20% - Accent3 3 4 4" xfId="9584" xr:uid="{21BA0AC0-41EF-4D44-9E14-1B1EFBF0731D}"/>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3D6B0BA4-6706-4264-96DE-8CCE3DBA0B7C}"/>
    <cellStyle name="20% - Accent3 3 5 2 3" xfId="12142" xr:uid="{FEC39D97-C319-48AE-8F0B-44663E291028}"/>
    <cellStyle name="20% - Accent3 3 5 3" xfId="5765" xr:uid="{00000000-0005-0000-0000-0000B2010000}"/>
    <cellStyle name="20% - Accent3 3 5 3 2" xfId="14215" xr:uid="{2D0D358F-4A0A-4063-BE68-89785D6D3A97}"/>
    <cellStyle name="20% - Accent3 3 5 4" xfId="9997" xr:uid="{F7915949-7F70-404C-9324-2A5C0168BECC}"/>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5F476AC3-EB29-4071-9D63-F58F15B6C78B}"/>
    <cellStyle name="20% - Accent3 3 6 2 3" xfId="12555" xr:uid="{7EE3DA81-9CB3-4DD2-826A-6984BC184867}"/>
    <cellStyle name="20% - Accent3 3 6 3" xfId="6178" xr:uid="{00000000-0005-0000-0000-0000B6010000}"/>
    <cellStyle name="20% - Accent3 3 6 3 2" xfId="14628" xr:uid="{0DD149A3-1A5F-4F11-B78D-F40E32B8FE85}"/>
    <cellStyle name="20% - Accent3 3 6 4" xfId="10410" xr:uid="{5C80C32D-76D6-47AD-B521-D8D66A02154B}"/>
    <cellStyle name="20% - Accent3 3 7" xfId="2285" xr:uid="{00000000-0005-0000-0000-0000B7010000}"/>
    <cellStyle name="20% - Accent3 3 7 2" xfId="6591" xr:uid="{00000000-0005-0000-0000-0000B8010000}"/>
    <cellStyle name="20% - Accent3 3 7 2 2" xfId="15041" xr:uid="{E4DCBF7C-B251-4ED6-A133-64084155B9D4}"/>
    <cellStyle name="20% - Accent3 3 7 3" xfId="10823" xr:uid="{7BBB1A69-F7B6-4490-A426-CEBFCF702FA6}"/>
    <cellStyle name="20% - Accent3 3 8" xfId="4525" xr:uid="{00000000-0005-0000-0000-0000B9010000}"/>
    <cellStyle name="20% - Accent3 3 8 2" xfId="12975" xr:uid="{826E305A-BDDF-4FE8-A844-BAED80FBE7C3}"/>
    <cellStyle name="20% - Accent3 3 9" xfId="17198" xr:uid="{D26B734F-24FB-4A72-9284-29E008914721}"/>
    <cellStyle name="20% - Accent3 4" xfId="24" xr:uid="{00000000-0005-0000-0000-0000BA010000}"/>
    <cellStyle name="20% - Accent3 4 10" xfId="18862" xr:uid="{A160B035-9DA0-456F-84A8-50FEFE481A63}"/>
    <cellStyle name="20% - Accent3 4 11" xfId="8759" xr:uid="{0E2EC71B-B29C-4E76-B954-06EAF1A3023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FE0A6FBD-5A46-43D4-B566-E8E459FE213B}"/>
    <cellStyle name="20% - Accent3 4 2 2 3" xfId="11318" xr:uid="{B38549BD-CE4F-4517-98D5-1D61A043ED10}"/>
    <cellStyle name="20% - Accent3 4 2 3" xfId="4941" xr:uid="{00000000-0005-0000-0000-0000BE010000}"/>
    <cellStyle name="20% - Accent3 4 2 3 2" xfId="13391" xr:uid="{CC6B9470-7F6C-4891-B6D0-976BEC437FCD}"/>
    <cellStyle name="20% - Accent3 4 2 4" xfId="17617" xr:uid="{FC010A20-F8E7-4B1B-B8ED-2F18AD447EEE}"/>
    <cellStyle name="20% - Accent3 4 2 5" xfId="18449" xr:uid="{17465237-2369-4B51-A9CE-7301515F2151}"/>
    <cellStyle name="20% - Accent3 4 2 6" xfId="19278" xr:uid="{39BD33F0-D993-4D06-BCD6-4B7BABB3F6DF}"/>
    <cellStyle name="20% - Accent3 4 2 7" xfId="9173" xr:uid="{72B989F9-5C29-4DCE-B87A-B487DA66A29F}"/>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3BB6F9EF-4B23-46ED-9799-6AFBB62DE0BB}"/>
    <cellStyle name="20% - Accent3 4 3 2 3" xfId="11731" xr:uid="{2C276331-2CEF-4A91-8AA1-4D95A9A0076D}"/>
    <cellStyle name="20% - Accent3 4 3 3" xfId="5354" xr:uid="{00000000-0005-0000-0000-0000C2010000}"/>
    <cellStyle name="20% - Accent3 4 3 3 2" xfId="13804" xr:uid="{A79E0668-3C5D-447C-9883-09A585B84744}"/>
    <cellStyle name="20% - Accent3 4 3 4" xfId="9586" xr:uid="{690042F0-72D1-4C7A-A0E1-0AC0FBF08002}"/>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D9DA9D41-43FA-4F4D-B2FF-F48E8A183DFE}"/>
    <cellStyle name="20% - Accent3 4 4 2 3" xfId="12144" xr:uid="{A976B446-1CAD-4E16-8BAB-CAF5529298A4}"/>
    <cellStyle name="20% - Accent3 4 4 3" xfId="5767" xr:uid="{00000000-0005-0000-0000-0000C6010000}"/>
    <cellStyle name="20% - Accent3 4 4 3 2" xfId="14217" xr:uid="{CAED6041-FC6E-41F4-B60D-76B7DB561580}"/>
    <cellStyle name="20% - Accent3 4 4 4" xfId="9999" xr:uid="{4D597B1C-B6E1-4FC1-B41B-3E529A60B0C1}"/>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F834419D-9333-4163-947C-495FE92AC8CE}"/>
    <cellStyle name="20% - Accent3 4 5 2 3" xfId="12557" xr:uid="{C8870CB9-F8C8-41BE-BD86-07802C7E5779}"/>
    <cellStyle name="20% - Accent3 4 5 3" xfId="6180" xr:uid="{00000000-0005-0000-0000-0000CA010000}"/>
    <cellStyle name="20% - Accent3 4 5 3 2" xfId="14630" xr:uid="{2EDC5189-3237-47A0-9604-1BFAF4D8BA4A}"/>
    <cellStyle name="20% - Accent3 4 5 4" xfId="10412" xr:uid="{0F7EE6D6-930C-4F18-AC65-B5A2E709C980}"/>
    <cellStyle name="20% - Accent3 4 6" xfId="2287" xr:uid="{00000000-0005-0000-0000-0000CB010000}"/>
    <cellStyle name="20% - Accent3 4 6 2" xfId="6593" xr:uid="{00000000-0005-0000-0000-0000CC010000}"/>
    <cellStyle name="20% - Accent3 4 6 2 2" xfId="15043" xr:uid="{14886C65-BE27-4037-A009-4DEE044AC072}"/>
    <cellStyle name="20% - Accent3 4 6 3" xfId="10825" xr:uid="{1ED4310E-B915-4C91-A29C-9E8E6247B820}"/>
    <cellStyle name="20% - Accent3 4 7" xfId="4527" xr:uid="{00000000-0005-0000-0000-0000CD010000}"/>
    <cellStyle name="20% - Accent3 4 7 2" xfId="12977" xr:uid="{B521689D-AD1F-488E-8463-9FCD8B7D41FE}"/>
    <cellStyle name="20% - Accent3 4 8" xfId="17200" xr:uid="{261B09EB-A08A-43F6-AC67-D175D98BEF19}"/>
    <cellStyle name="20% - Accent3 4 9" xfId="18033" xr:uid="{965568A2-0738-499A-BE5A-D5DE14D1B62D}"/>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D6070D21-665B-479C-9087-C9A65911F743}"/>
    <cellStyle name="20% - Accent3 5 2 3" xfId="11311" xr:uid="{CDE9666F-FF80-4456-A04A-26472A5F47C9}"/>
    <cellStyle name="20% - Accent3 5 3" xfId="4934" xr:uid="{00000000-0005-0000-0000-0000D1010000}"/>
    <cellStyle name="20% - Accent3 5 3 2" xfId="13384" xr:uid="{86F2127B-67DC-4F27-9065-B24C6724C583}"/>
    <cellStyle name="20% - Accent3 5 4" xfId="17610" xr:uid="{F7A0A62F-8475-4DD4-B1E6-42F83A85E6DF}"/>
    <cellStyle name="20% - Accent3 5 5" xfId="18442" xr:uid="{539D4BFB-5176-4CF1-9AC1-B5F4149B5F64}"/>
    <cellStyle name="20% - Accent3 5 6" xfId="19271" xr:uid="{7205923E-8BD1-4BF2-B7B1-145D2C0C443E}"/>
    <cellStyle name="20% - Accent3 5 7" xfId="9166" xr:uid="{CF06DF4B-1446-40ED-B911-1531E5A157F6}"/>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5C13AA9F-DE7F-43C6-8E07-D33B514986F1}"/>
    <cellStyle name="20% - Accent3 6 2 3" xfId="11724" xr:uid="{AB5F2833-512C-417C-A386-EB9326A0D8F1}"/>
    <cellStyle name="20% - Accent3 6 3" xfId="5347" xr:uid="{00000000-0005-0000-0000-0000D5010000}"/>
    <cellStyle name="20% - Accent3 6 3 2" xfId="13797" xr:uid="{2C43BAE3-7517-4908-8D53-013ECDA9D11A}"/>
    <cellStyle name="20% - Accent3 6 4" xfId="9579" xr:uid="{039EFFE2-65CE-42EA-97BA-6E8ADCC107DA}"/>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95CEE729-B608-4D12-800C-7772A3C4DA3D}"/>
    <cellStyle name="20% - Accent3 7 2 3" xfId="12137" xr:uid="{6487E938-717D-491B-A58E-EA0CC9C61DE6}"/>
    <cellStyle name="20% - Accent3 7 3" xfId="5760" xr:uid="{00000000-0005-0000-0000-0000D9010000}"/>
    <cellStyle name="20% - Accent3 7 3 2" xfId="14210" xr:uid="{05C41805-1A14-4656-A1E6-0039C75053C9}"/>
    <cellStyle name="20% - Accent3 7 4" xfId="9992" xr:uid="{5C3DD34E-30AC-4AFB-B3EF-73B7DDC5BE7B}"/>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065D3E2B-14A1-4C20-843F-A24D78FC4668}"/>
    <cellStyle name="20% - Accent3 8 2 3" xfId="12550" xr:uid="{C81A1CDD-3559-4E1F-ACA6-F3E8D5991F68}"/>
    <cellStyle name="20% - Accent3 8 3" xfId="6173" xr:uid="{00000000-0005-0000-0000-0000DD010000}"/>
    <cellStyle name="20% - Accent3 8 3 2" xfId="14623" xr:uid="{2995B5FC-8A60-463F-BDED-47562348851F}"/>
    <cellStyle name="20% - Accent3 8 4" xfId="10405" xr:uid="{79B2034A-C917-4379-8C49-35EAE05CEC97}"/>
    <cellStyle name="20% - Accent3 9" xfId="2280" xr:uid="{00000000-0005-0000-0000-0000DE010000}"/>
    <cellStyle name="20% - Accent3 9 2" xfId="6586" xr:uid="{00000000-0005-0000-0000-0000DF010000}"/>
    <cellStyle name="20% - Accent3 9 2 2" xfId="15036" xr:uid="{5F37FD5A-6AFD-463C-A842-4B9DDB540F75}"/>
    <cellStyle name="20% - Accent3 9 3" xfId="10818" xr:uid="{54F45058-D846-4C97-82BD-51BE4FAF3149}"/>
    <cellStyle name="20% - Accent4" xfId="25" builtinId="42" customBuiltin="1"/>
    <cellStyle name="20% - Accent4 10" xfId="4528" xr:uid="{00000000-0005-0000-0000-0000E1010000}"/>
    <cellStyle name="20% - Accent4 10 2" xfId="12978" xr:uid="{FEAF6D90-5E51-48F9-AF0D-D1A9CC3AA49C}"/>
    <cellStyle name="20% - Accent4 11" xfId="17201" xr:uid="{B56F36B3-8E7F-4194-A42F-8EC21BC65D6F}"/>
    <cellStyle name="20% - Accent4 12" xfId="18034" xr:uid="{87E60F93-53EE-45B3-9F44-6DCC7D4C74DF}"/>
    <cellStyle name="20% - Accent4 13" xfId="18863" xr:uid="{FCC920A7-1A2E-40BF-ABDF-F81A9E91A535}"/>
    <cellStyle name="20% - Accent4 14" xfId="8760" xr:uid="{2AAB0822-653E-4632-96E2-446F53414F18}"/>
    <cellStyle name="20% - Accent4 2" xfId="26" xr:uid="{00000000-0005-0000-0000-0000E2010000}"/>
    <cellStyle name="20% - Accent4 2 10" xfId="17202" xr:uid="{1BC77A8B-DA1D-4FEE-B32C-532985010603}"/>
    <cellStyle name="20% - Accent4 2 11" xfId="18035" xr:uid="{B073D9C9-7BAB-44F8-AF54-95A4683F20B7}"/>
    <cellStyle name="20% - Accent4 2 12" xfId="18864" xr:uid="{5A231844-1365-43D4-AC77-BEFF0D01C4D0}"/>
    <cellStyle name="20% - Accent4 2 13" xfId="8761" xr:uid="{1DD9CF05-3406-4307-B893-17C0948392D8}"/>
    <cellStyle name="20% - Accent4 2 2" xfId="27" xr:uid="{00000000-0005-0000-0000-0000E3010000}"/>
    <cellStyle name="20% - Accent4 2 2 10" xfId="18036" xr:uid="{A088BAE6-97D0-4EC3-A6A9-61E4C489E4BE}"/>
    <cellStyle name="20% - Accent4 2 2 11" xfId="18865" xr:uid="{00678377-B236-4447-85A5-E98956531204}"/>
    <cellStyle name="20% - Accent4 2 2 12" xfId="8762" xr:uid="{6ECF0239-2796-405F-8147-EEDF2B555943}"/>
    <cellStyle name="20% - Accent4 2 2 2" xfId="28" xr:uid="{00000000-0005-0000-0000-0000E4010000}"/>
    <cellStyle name="20% - Accent4 2 2 2 10" xfId="18866" xr:uid="{A8607228-683D-4E8F-9D4B-9A5487A37A98}"/>
    <cellStyle name="20% - Accent4 2 2 2 11" xfId="8763" xr:uid="{5AE294B9-40AC-41F7-BB45-F23D5510A703}"/>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B10101D6-4A86-4C62-9002-8F6905DE2253}"/>
    <cellStyle name="20% - Accent4 2 2 2 2 2 3" xfId="11322" xr:uid="{7BDC1AD4-63BF-49A6-ABF4-35C90E001B78}"/>
    <cellStyle name="20% - Accent4 2 2 2 2 3" xfId="4945" xr:uid="{00000000-0005-0000-0000-0000E8010000}"/>
    <cellStyle name="20% - Accent4 2 2 2 2 3 2" xfId="13395" xr:uid="{1E426658-9DA1-4BD7-856C-2A0F1404BC3B}"/>
    <cellStyle name="20% - Accent4 2 2 2 2 4" xfId="17621" xr:uid="{7294908B-DAD8-4068-B0CF-4F42A89DDB23}"/>
    <cellStyle name="20% - Accent4 2 2 2 2 5" xfId="18453" xr:uid="{B8F6367C-5FC0-4004-A34D-66A0C63CAB10}"/>
    <cellStyle name="20% - Accent4 2 2 2 2 6" xfId="19282" xr:uid="{026C496C-7088-49CA-BF28-BFAAD7E50E61}"/>
    <cellStyle name="20% - Accent4 2 2 2 2 7" xfId="9177" xr:uid="{89C56128-B44E-48A1-A83F-2EFCA8AD68EF}"/>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C6AB2704-0DA8-4444-953A-E6D7F3B2AF1B}"/>
    <cellStyle name="20% - Accent4 2 2 2 3 2 3" xfId="11735" xr:uid="{606BEA60-A0DE-45A0-BBDC-44349A91DF32}"/>
    <cellStyle name="20% - Accent4 2 2 2 3 3" xfId="5358" xr:uid="{00000000-0005-0000-0000-0000EC010000}"/>
    <cellStyle name="20% - Accent4 2 2 2 3 3 2" xfId="13808" xr:uid="{29F83CD7-9AB8-4C80-81D5-3C2575BEDAD3}"/>
    <cellStyle name="20% - Accent4 2 2 2 3 4" xfId="9590" xr:uid="{9EDFB8CA-B0E3-4C93-9578-F247E5C38EEF}"/>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2E21ED6E-D25D-4C63-9D97-42107CCA4FBF}"/>
    <cellStyle name="20% - Accent4 2 2 2 4 2 3" xfId="12148" xr:uid="{5809EAA1-16C5-4CCE-9298-C1B51FA0C6EB}"/>
    <cellStyle name="20% - Accent4 2 2 2 4 3" xfId="5771" xr:uid="{00000000-0005-0000-0000-0000F0010000}"/>
    <cellStyle name="20% - Accent4 2 2 2 4 3 2" xfId="14221" xr:uid="{A022BB2A-0E07-4807-92E9-E128CAEB41A1}"/>
    <cellStyle name="20% - Accent4 2 2 2 4 4" xfId="10003" xr:uid="{992BC323-2139-49CF-B461-49FD6D8F41E6}"/>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C355EE40-4DA5-47A1-9FBA-62F67A737D33}"/>
    <cellStyle name="20% - Accent4 2 2 2 5 2 3" xfId="12561" xr:uid="{8A10D222-C5AD-476A-A075-E0C7EDA9B491}"/>
    <cellStyle name="20% - Accent4 2 2 2 5 3" xfId="6184" xr:uid="{00000000-0005-0000-0000-0000F4010000}"/>
    <cellStyle name="20% - Accent4 2 2 2 5 3 2" xfId="14634" xr:uid="{A5334DCA-E780-42AC-9489-20DCD8494F34}"/>
    <cellStyle name="20% - Accent4 2 2 2 5 4" xfId="10416" xr:uid="{A89960EF-A3B7-49B7-B6D9-19C3AE2A91FC}"/>
    <cellStyle name="20% - Accent4 2 2 2 6" xfId="2291" xr:uid="{00000000-0005-0000-0000-0000F5010000}"/>
    <cellStyle name="20% - Accent4 2 2 2 6 2" xfId="6597" xr:uid="{00000000-0005-0000-0000-0000F6010000}"/>
    <cellStyle name="20% - Accent4 2 2 2 6 2 2" xfId="15047" xr:uid="{E02C0D95-B0D3-4D01-9C91-5FB1C49F5F0C}"/>
    <cellStyle name="20% - Accent4 2 2 2 6 3" xfId="10829" xr:uid="{95D8A696-E863-45E2-A8C0-E9BCD5AA91E1}"/>
    <cellStyle name="20% - Accent4 2 2 2 7" xfId="4531" xr:uid="{00000000-0005-0000-0000-0000F7010000}"/>
    <cellStyle name="20% - Accent4 2 2 2 7 2" xfId="12981" xr:uid="{BC11E8FF-D694-4289-A0FE-D8A58FC415F8}"/>
    <cellStyle name="20% - Accent4 2 2 2 8" xfId="17204" xr:uid="{A1A7CE5D-4B68-4CDC-861C-6A2E578BD2F3}"/>
    <cellStyle name="20% - Accent4 2 2 2 9" xfId="18037" xr:uid="{9C11A46C-C0C7-474A-A7BD-1ED27362A65E}"/>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8AA9C2D7-EFBD-4CEE-AC6C-45CFCFA64F33}"/>
    <cellStyle name="20% - Accent4 2 2 3 2 3" xfId="11321" xr:uid="{9CD41542-4920-4389-A001-C31B8FBCE418}"/>
    <cellStyle name="20% - Accent4 2 2 3 3" xfId="4944" xr:uid="{00000000-0005-0000-0000-0000FB010000}"/>
    <cellStyle name="20% - Accent4 2 2 3 3 2" xfId="13394" xr:uid="{A3A2957B-FF3C-4EA5-8B97-079CE4ACA941}"/>
    <cellStyle name="20% - Accent4 2 2 3 4" xfId="17620" xr:uid="{800EAE17-7A1E-4659-8697-F0E85CD2BD23}"/>
    <cellStyle name="20% - Accent4 2 2 3 5" xfId="18452" xr:uid="{4E413451-D274-44A5-B8EC-499752CB2FBC}"/>
    <cellStyle name="20% - Accent4 2 2 3 6" xfId="19281" xr:uid="{730E8B76-4492-46B5-8B08-EDA0D9F4AE0C}"/>
    <cellStyle name="20% - Accent4 2 2 3 7" xfId="9176" xr:uid="{395FD432-7C45-445F-AB29-831D328D2826}"/>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A7A7DAA3-0BAC-4931-923F-C718701B936C}"/>
    <cellStyle name="20% - Accent4 2 2 4 2 3" xfId="11734" xr:uid="{08E22537-CA62-45B1-B5CB-14108A326754}"/>
    <cellStyle name="20% - Accent4 2 2 4 3" xfId="5357" xr:uid="{00000000-0005-0000-0000-0000FF010000}"/>
    <cellStyle name="20% - Accent4 2 2 4 3 2" xfId="13807" xr:uid="{B54AB75F-2E1C-439E-BC17-E0E7085C6306}"/>
    <cellStyle name="20% - Accent4 2 2 4 4" xfId="9589" xr:uid="{CCA28CE8-2244-4D7F-A34A-2FBE6AB44553}"/>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1DF61D6C-2235-4618-9718-50C81C8ECF55}"/>
    <cellStyle name="20% - Accent4 2 2 5 2 3" xfId="12147" xr:uid="{2D30F4BC-FED8-4E8B-BCF2-57878A1B045E}"/>
    <cellStyle name="20% - Accent4 2 2 5 3" xfId="5770" xr:uid="{00000000-0005-0000-0000-000003020000}"/>
    <cellStyle name="20% - Accent4 2 2 5 3 2" xfId="14220" xr:uid="{591B6E5B-86EB-49EC-80F6-432CB02F0AFF}"/>
    <cellStyle name="20% - Accent4 2 2 5 4" xfId="10002" xr:uid="{57F4D06C-1A73-49C3-84EE-16C25BF3C09E}"/>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F41B1CA7-8C6E-4E74-B5EC-F3EC16E7AF09}"/>
    <cellStyle name="20% - Accent4 2 2 6 2 3" xfId="12560" xr:uid="{A7DBC048-E274-4A66-881B-D025634B7D0F}"/>
    <cellStyle name="20% - Accent4 2 2 6 3" xfId="6183" xr:uid="{00000000-0005-0000-0000-000007020000}"/>
    <cellStyle name="20% - Accent4 2 2 6 3 2" xfId="14633" xr:uid="{5D909A2B-9AD5-479A-8138-BCC965EDED9E}"/>
    <cellStyle name="20% - Accent4 2 2 6 4" xfId="10415" xr:uid="{3A75C82E-D55D-4C21-B057-4600FD572A25}"/>
    <cellStyle name="20% - Accent4 2 2 7" xfId="2290" xr:uid="{00000000-0005-0000-0000-000008020000}"/>
    <cellStyle name="20% - Accent4 2 2 7 2" xfId="6596" xr:uid="{00000000-0005-0000-0000-000009020000}"/>
    <cellStyle name="20% - Accent4 2 2 7 2 2" xfId="15046" xr:uid="{06356157-66D0-4CE0-A8BC-E4809C36C32E}"/>
    <cellStyle name="20% - Accent4 2 2 7 3" xfId="10828" xr:uid="{AFEE2F9E-AE1E-4490-84E9-8E0B7209D861}"/>
    <cellStyle name="20% - Accent4 2 2 8" xfId="4530" xr:uid="{00000000-0005-0000-0000-00000A020000}"/>
    <cellStyle name="20% - Accent4 2 2 8 2" xfId="12980" xr:uid="{BD8AA1EE-A37C-4A90-8BC4-0205EA8E7F18}"/>
    <cellStyle name="20% - Accent4 2 2 9" xfId="17203" xr:uid="{BD0996BF-FF15-4DD6-9845-A9C3C104D791}"/>
    <cellStyle name="20% - Accent4 2 3" xfId="29" xr:uid="{00000000-0005-0000-0000-00000B020000}"/>
    <cellStyle name="20% - Accent4 2 3 10" xfId="18867" xr:uid="{8B29347F-4796-4ABC-8C0C-4300910FE487}"/>
    <cellStyle name="20% - Accent4 2 3 11" xfId="8764" xr:uid="{055753FF-E15D-4898-BA93-F0EF571DBE0B}"/>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BD999776-3019-4F75-98B6-0B4897473129}"/>
    <cellStyle name="20% - Accent4 2 3 2 2 3" xfId="11323" xr:uid="{03D44DEE-B5EF-4DFA-AFAF-3F95A37D80C2}"/>
    <cellStyle name="20% - Accent4 2 3 2 3" xfId="4946" xr:uid="{00000000-0005-0000-0000-00000F020000}"/>
    <cellStyle name="20% - Accent4 2 3 2 3 2" xfId="13396" xr:uid="{720CBE99-8597-44F7-AB88-032D4517D093}"/>
    <cellStyle name="20% - Accent4 2 3 2 4" xfId="17622" xr:uid="{0517B139-6085-4945-BBE5-2E9853863155}"/>
    <cellStyle name="20% - Accent4 2 3 2 5" xfId="18454" xr:uid="{1FA687D1-1682-4BD5-A7C2-3E937E0B5929}"/>
    <cellStyle name="20% - Accent4 2 3 2 6" xfId="19283" xr:uid="{70CD5DCA-C0D0-47F9-BBE3-18F445C4DDE0}"/>
    <cellStyle name="20% - Accent4 2 3 2 7" xfId="9178" xr:uid="{94686B2C-BE0D-4A06-8D19-56EFD3612104}"/>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0E3A1B37-4FA2-4B58-97A9-E367735014B4}"/>
    <cellStyle name="20% - Accent4 2 3 3 2 3" xfId="11736" xr:uid="{CCB5ADCB-A31A-4BAC-9497-D336F69EEFFC}"/>
    <cellStyle name="20% - Accent4 2 3 3 3" xfId="5359" xr:uid="{00000000-0005-0000-0000-000013020000}"/>
    <cellStyle name="20% - Accent4 2 3 3 3 2" xfId="13809" xr:uid="{D9A1F6B3-EEDF-4766-8742-B39276FD71FD}"/>
    <cellStyle name="20% - Accent4 2 3 3 4" xfId="9591" xr:uid="{B5DDEA8D-7FB0-4059-B3C5-DBC18F9E8BC9}"/>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6FE7C7FB-92C7-42F6-9CCB-491659178014}"/>
    <cellStyle name="20% - Accent4 2 3 4 2 3" xfId="12149" xr:uid="{698A677C-963A-44B6-82F4-622DCEC2E90E}"/>
    <cellStyle name="20% - Accent4 2 3 4 3" xfId="5772" xr:uid="{00000000-0005-0000-0000-000017020000}"/>
    <cellStyle name="20% - Accent4 2 3 4 3 2" xfId="14222" xr:uid="{8ED3F90E-6ED2-4CE8-852C-7E2A74F8EBBF}"/>
    <cellStyle name="20% - Accent4 2 3 4 4" xfId="10004" xr:uid="{4E448768-4CFD-4BE5-B019-CE824D8CDE37}"/>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042270AC-870D-43A6-A600-CBA9A3669458}"/>
    <cellStyle name="20% - Accent4 2 3 5 2 3" xfId="12562" xr:uid="{711676D4-8FDE-4321-94C5-5100D733094B}"/>
    <cellStyle name="20% - Accent4 2 3 5 3" xfId="6185" xr:uid="{00000000-0005-0000-0000-00001B020000}"/>
    <cellStyle name="20% - Accent4 2 3 5 3 2" xfId="14635" xr:uid="{B3318799-3CB4-4A57-8897-537871071A9D}"/>
    <cellStyle name="20% - Accent4 2 3 5 4" xfId="10417" xr:uid="{34ABE784-D933-4899-A9DD-5F091B2083F8}"/>
    <cellStyle name="20% - Accent4 2 3 6" xfId="2292" xr:uid="{00000000-0005-0000-0000-00001C020000}"/>
    <cellStyle name="20% - Accent4 2 3 6 2" xfId="6598" xr:uid="{00000000-0005-0000-0000-00001D020000}"/>
    <cellStyle name="20% - Accent4 2 3 6 2 2" xfId="15048" xr:uid="{289409C9-2AEE-479B-9264-BC0CCD4FE522}"/>
    <cellStyle name="20% - Accent4 2 3 6 3" xfId="10830" xr:uid="{8F8BC975-4489-4857-9328-90E12586E265}"/>
    <cellStyle name="20% - Accent4 2 3 7" xfId="4532" xr:uid="{00000000-0005-0000-0000-00001E020000}"/>
    <cellStyle name="20% - Accent4 2 3 7 2" xfId="12982" xr:uid="{168CC409-A114-4107-870C-039B5E1EEDA4}"/>
    <cellStyle name="20% - Accent4 2 3 8" xfId="17205" xr:uid="{4A27CAB5-347A-4981-9062-205E5DE644D0}"/>
    <cellStyle name="20% - Accent4 2 3 9" xfId="18038" xr:uid="{627BA3EC-4849-4D66-9F8A-9A6744643283}"/>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941B0565-52C2-4571-92D3-5A378CE82DAA}"/>
    <cellStyle name="20% - Accent4 2 4 2 3" xfId="11320" xr:uid="{F496AF57-D72B-4539-BB28-D5B2B97209BF}"/>
    <cellStyle name="20% - Accent4 2 4 3" xfId="4943" xr:uid="{00000000-0005-0000-0000-000022020000}"/>
    <cellStyle name="20% - Accent4 2 4 3 2" xfId="13393" xr:uid="{F734911C-DF5E-48FF-9334-B16C93D1CA94}"/>
    <cellStyle name="20% - Accent4 2 4 4" xfId="17619" xr:uid="{0EED5CC8-2048-42BB-8A81-18DD15F121B8}"/>
    <cellStyle name="20% - Accent4 2 4 5" xfId="18451" xr:uid="{2D1683E8-F44F-4A29-B0BA-CDD24771766B}"/>
    <cellStyle name="20% - Accent4 2 4 6" xfId="19280" xr:uid="{AC2006A2-9291-4B13-A734-A41EDA8886AC}"/>
    <cellStyle name="20% - Accent4 2 4 7" xfId="9175" xr:uid="{C4099015-7DC3-42F1-92A9-3980546CA7BB}"/>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BB7BA86F-2267-4527-9D53-E1CDB76066EB}"/>
    <cellStyle name="20% - Accent4 2 5 2 3" xfId="11733" xr:uid="{CC211A2D-E5A9-453D-872E-3F83C62DAC6C}"/>
    <cellStyle name="20% - Accent4 2 5 3" xfId="5356" xr:uid="{00000000-0005-0000-0000-000026020000}"/>
    <cellStyle name="20% - Accent4 2 5 3 2" xfId="13806" xr:uid="{8B79E2C0-616C-4FE7-B49F-BF85C0B3F25D}"/>
    <cellStyle name="20% - Accent4 2 5 4" xfId="9588" xr:uid="{5A4D6466-425E-4478-8B2C-4AC16D88CFB8}"/>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79A13C14-6D66-4DC4-8424-444D1AC70BBC}"/>
    <cellStyle name="20% - Accent4 2 6 2 3" xfId="12146" xr:uid="{62A8684A-BF47-44A8-98E3-00096571D998}"/>
    <cellStyle name="20% - Accent4 2 6 3" xfId="5769" xr:uid="{00000000-0005-0000-0000-00002A020000}"/>
    <cellStyle name="20% - Accent4 2 6 3 2" xfId="14219" xr:uid="{7A63FB6E-0E61-41C4-AB2C-3C230D395003}"/>
    <cellStyle name="20% - Accent4 2 6 4" xfId="10001" xr:uid="{18C8EA4C-BD21-41BF-A84A-1ED2491B261E}"/>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FD6BFD5E-3A39-4613-B43B-CE9880267F47}"/>
    <cellStyle name="20% - Accent4 2 7 2 3" xfId="12559" xr:uid="{F9CCB18C-1C2F-471F-A472-776A7D5C2D5F}"/>
    <cellStyle name="20% - Accent4 2 7 3" xfId="6182" xr:uid="{00000000-0005-0000-0000-00002E020000}"/>
    <cellStyle name="20% - Accent4 2 7 3 2" xfId="14632" xr:uid="{33239827-5EAA-4D19-ADB0-FDFE06E4CABF}"/>
    <cellStyle name="20% - Accent4 2 7 4" xfId="10414" xr:uid="{52B97C08-44F7-411A-B412-78E9B3B95628}"/>
    <cellStyle name="20% - Accent4 2 8" xfId="2289" xr:uid="{00000000-0005-0000-0000-00002F020000}"/>
    <cellStyle name="20% - Accent4 2 8 2" xfId="6595" xr:uid="{00000000-0005-0000-0000-000030020000}"/>
    <cellStyle name="20% - Accent4 2 8 2 2" xfId="15045" xr:uid="{58CCA148-8784-4AF1-AA10-3EBCFB0ECE93}"/>
    <cellStyle name="20% - Accent4 2 8 3" xfId="10827" xr:uid="{8E12B7F2-1A25-43E5-97BA-88B864570A2A}"/>
    <cellStyle name="20% - Accent4 2 9" xfId="4529" xr:uid="{00000000-0005-0000-0000-000031020000}"/>
    <cellStyle name="20% - Accent4 2 9 2" xfId="12979" xr:uid="{E73C5C7D-0737-4DD5-BD73-3B83C11A6859}"/>
    <cellStyle name="20% - Accent4 3" xfId="30" xr:uid="{00000000-0005-0000-0000-000032020000}"/>
    <cellStyle name="20% - Accent4 3 10" xfId="18039" xr:uid="{6EE558FF-060A-4C88-BC0D-830D0A1CA10F}"/>
    <cellStyle name="20% - Accent4 3 11" xfId="18868" xr:uid="{36097FE5-0723-4CB5-8ED4-D5DDD7298735}"/>
    <cellStyle name="20% - Accent4 3 12" xfId="8765" xr:uid="{E1B81C9B-1BEC-4FDE-B6CD-8DC95CE01847}"/>
    <cellStyle name="20% - Accent4 3 2" xfId="31" xr:uid="{00000000-0005-0000-0000-000033020000}"/>
    <cellStyle name="20% - Accent4 3 2 10" xfId="18869" xr:uid="{52A830ED-6FC9-451F-AC42-741C5407CB63}"/>
    <cellStyle name="20% - Accent4 3 2 11" xfId="8766" xr:uid="{8ABB4BFC-A37F-4C9D-9637-5165EBE69884}"/>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378618DE-D88D-4514-9EFC-BB48B6493DE1}"/>
    <cellStyle name="20% - Accent4 3 2 2 2 3" xfId="11325" xr:uid="{14A46A48-05A5-4239-8D6F-22F36F3A030B}"/>
    <cellStyle name="20% - Accent4 3 2 2 3" xfId="4948" xr:uid="{00000000-0005-0000-0000-000037020000}"/>
    <cellStyle name="20% - Accent4 3 2 2 3 2" xfId="13398" xr:uid="{3CCD7F23-151C-4AA5-8D23-D5AC2BD76562}"/>
    <cellStyle name="20% - Accent4 3 2 2 4" xfId="17624" xr:uid="{DA99DB90-8272-4769-BFBB-1D57E6422DC5}"/>
    <cellStyle name="20% - Accent4 3 2 2 5" xfId="18456" xr:uid="{04EC6012-B08A-40EF-9C1D-577824CF0544}"/>
    <cellStyle name="20% - Accent4 3 2 2 6" xfId="19285" xr:uid="{BE3E64EE-9D8D-41B6-A2C1-DE29037245D7}"/>
    <cellStyle name="20% - Accent4 3 2 2 7" xfId="9180" xr:uid="{9B6243E4-1CDE-4901-987D-9696320EA859}"/>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A6305256-3210-4070-AB10-796AC87464D6}"/>
    <cellStyle name="20% - Accent4 3 2 3 2 3" xfId="11738" xr:uid="{DFD47D6E-DE19-427B-9AB6-1BE82B59D5E7}"/>
    <cellStyle name="20% - Accent4 3 2 3 3" xfId="5361" xr:uid="{00000000-0005-0000-0000-00003B020000}"/>
    <cellStyle name="20% - Accent4 3 2 3 3 2" xfId="13811" xr:uid="{6E81F863-38C3-4DB9-93FC-E0F008EB89D2}"/>
    <cellStyle name="20% - Accent4 3 2 3 4" xfId="9593" xr:uid="{C119766F-B82B-4B6E-A660-3F49F402EF23}"/>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15950EEE-C775-47B5-B674-12B02DD3C6E1}"/>
    <cellStyle name="20% - Accent4 3 2 4 2 3" xfId="12151" xr:uid="{1CC0FBD6-F58D-47B8-A840-3E1DE7AD38B8}"/>
    <cellStyle name="20% - Accent4 3 2 4 3" xfId="5774" xr:uid="{00000000-0005-0000-0000-00003F020000}"/>
    <cellStyle name="20% - Accent4 3 2 4 3 2" xfId="14224" xr:uid="{258C508B-AE7A-4EE3-A6D7-5EFDFF8CC48E}"/>
    <cellStyle name="20% - Accent4 3 2 4 4" xfId="10006" xr:uid="{FCDD1D61-5578-42EC-8B68-2B54FB57E8A0}"/>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20E46975-3467-4359-9B56-C0E4DF197BE4}"/>
    <cellStyle name="20% - Accent4 3 2 5 2 3" xfId="12564" xr:uid="{2BDF3227-FD30-495E-B927-ED2FC4D1061D}"/>
    <cellStyle name="20% - Accent4 3 2 5 3" xfId="6187" xr:uid="{00000000-0005-0000-0000-000043020000}"/>
    <cellStyle name="20% - Accent4 3 2 5 3 2" xfId="14637" xr:uid="{63951042-86AC-4BCC-BA9D-FF1954008362}"/>
    <cellStyle name="20% - Accent4 3 2 5 4" xfId="10419" xr:uid="{E88618DB-735D-4B52-A73C-8366047FA6B6}"/>
    <cellStyle name="20% - Accent4 3 2 6" xfId="2294" xr:uid="{00000000-0005-0000-0000-000044020000}"/>
    <cellStyle name="20% - Accent4 3 2 6 2" xfId="6600" xr:uid="{00000000-0005-0000-0000-000045020000}"/>
    <cellStyle name="20% - Accent4 3 2 6 2 2" xfId="15050" xr:uid="{91C62498-8F43-4C90-8AA4-D706A8175288}"/>
    <cellStyle name="20% - Accent4 3 2 6 3" xfId="10832" xr:uid="{B1784A02-7799-4854-B6F8-F576674E0FB3}"/>
    <cellStyle name="20% - Accent4 3 2 7" xfId="4534" xr:uid="{00000000-0005-0000-0000-000046020000}"/>
    <cellStyle name="20% - Accent4 3 2 7 2" xfId="12984" xr:uid="{94D46E61-D766-4F3B-9834-37F5866177BF}"/>
    <cellStyle name="20% - Accent4 3 2 8" xfId="17207" xr:uid="{4F403F84-2A13-4F2F-8281-1E3699E88013}"/>
    <cellStyle name="20% - Accent4 3 2 9" xfId="18040" xr:uid="{973AA154-F64E-4415-BFBC-AD9752509C2A}"/>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4A5A8970-6059-4494-9488-5661F4643CB7}"/>
    <cellStyle name="20% - Accent4 3 3 2 3" xfId="11324" xr:uid="{73B80FA8-E466-4B45-A285-2373187C852B}"/>
    <cellStyle name="20% - Accent4 3 3 3" xfId="4947" xr:uid="{00000000-0005-0000-0000-00004A020000}"/>
    <cellStyle name="20% - Accent4 3 3 3 2" xfId="13397" xr:uid="{C1562C1F-5948-463B-A336-D1C29DA59413}"/>
    <cellStyle name="20% - Accent4 3 3 4" xfId="17623" xr:uid="{5B5E1547-36A4-4484-AF4F-4D3306616F0D}"/>
    <cellStyle name="20% - Accent4 3 3 5" xfId="18455" xr:uid="{80E3770F-FFCF-4C16-8699-8F4051C7DBA0}"/>
    <cellStyle name="20% - Accent4 3 3 6" xfId="19284" xr:uid="{75A16D1A-BE81-4626-9538-138D93DCB8E7}"/>
    <cellStyle name="20% - Accent4 3 3 7" xfId="9179" xr:uid="{E03F3AE1-840F-4F12-AC25-4A7E6D0F6926}"/>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63F1553E-CAE4-4E81-B7FA-30334EA3FCD0}"/>
    <cellStyle name="20% - Accent4 3 4 2 3" xfId="11737" xr:uid="{6BEF9653-1549-4B7F-9EF7-23E98DF816CB}"/>
    <cellStyle name="20% - Accent4 3 4 3" xfId="5360" xr:uid="{00000000-0005-0000-0000-00004E020000}"/>
    <cellStyle name="20% - Accent4 3 4 3 2" xfId="13810" xr:uid="{0936C76D-4A8F-4312-A33B-BF74E1EE68A5}"/>
    <cellStyle name="20% - Accent4 3 4 4" xfId="9592" xr:uid="{0634FA68-728A-4FFC-AA0C-C94FD2CCC47C}"/>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77E9E16B-44BF-4536-A6B9-EB6D0F9D80A6}"/>
    <cellStyle name="20% - Accent4 3 5 2 3" xfId="12150" xr:uid="{81F7B033-85FE-412D-9F85-9C555FE25E4C}"/>
    <cellStyle name="20% - Accent4 3 5 3" xfId="5773" xr:uid="{00000000-0005-0000-0000-000052020000}"/>
    <cellStyle name="20% - Accent4 3 5 3 2" xfId="14223" xr:uid="{10D6B0B1-4141-4477-9201-A8D877E0A9B0}"/>
    <cellStyle name="20% - Accent4 3 5 4" xfId="10005" xr:uid="{5A25CD7E-107E-459E-B80E-FEC6AA2F2FB1}"/>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2A913906-2164-4D94-8685-B518A67C11DD}"/>
    <cellStyle name="20% - Accent4 3 6 2 3" xfId="12563" xr:uid="{C1E5DB29-CDE1-452B-A07E-BA5A566B612E}"/>
    <cellStyle name="20% - Accent4 3 6 3" xfId="6186" xr:uid="{00000000-0005-0000-0000-000056020000}"/>
    <cellStyle name="20% - Accent4 3 6 3 2" xfId="14636" xr:uid="{6E641002-E2CE-4B3E-8F51-1441A58D62C1}"/>
    <cellStyle name="20% - Accent4 3 6 4" xfId="10418" xr:uid="{41214E66-B768-4C81-891C-CC6B9A4B1012}"/>
    <cellStyle name="20% - Accent4 3 7" xfId="2293" xr:uid="{00000000-0005-0000-0000-000057020000}"/>
    <cellStyle name="20% - Accent4 3 7 2" xfId="6599" xr:uid="{00000000-0005-0000-0000-000058020000}"/>
    <cellStyle name="20% - Accent4 3 7 2 2" xfId="15049" xr:uid="{620EC760-ED82-46A8-B5C8-8A5BA8C260B5}"/>
    <cellStyle name="20% - Accent4 3 7 3" xfId="10831" xr:uid="{1A956C65-0624-45B4-9B36-663EB1B2B0FE}"/>
    <cellStyle name="20% - Accent4 3 8" xfId="4533" xr:uid="{00000000-0005-0000-0000-000059020000}"/>
    <cellStyle name="20% - Accent4 3 8 2" xfId="12983" xr:uid="{6307BFB3-A1B4-44DC-9F52-67E73A16536B}"/>
    <cellStyle name="20% - Accent4 3 9" xfId="17206" xr:uid="{3488243D-D6D6-4E43-9BDB-00202EB6BB31}"/>
    <cellStyle name="20% - Accent4 4" xfId="32" xr:uid="{00000000-0005-0000-0000-00005A020000}"/>
    <cellStyle name="20% - Accent4 4 10" xfId="18870" xr:uid="{80008E26-74AF-4E91-8E7D-A8E1DF37949C}"/>
    <cellStyle name="20% - Accent4 4 11" xfId="8767" xr:uid="{F2F8BEE1-3D16-450C-A3FE-D1276C915642}"/>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E6EBFACA-1D7D-42BE-BE7D-B2E7B58388BD}"/>
    <cellStyle name="20% - Accent4 4 2 2 3" xfId="11326" xr:uid="{3AC0B70D-8B7F-4CD6-A584-8BC7BDF2399E}"/>
    <cellStyle name="20% - Accent4 4 2 3" xfId="4949" xr:uid="{00000000-0005-0000-0000-00005E020000}"/>
    <cellStyle name="20% - Accent4 4 2 3 2" xfId="13399" xr:uid="{5D2B8387-7EFB-4875-9843-9A7A699155F6}"/>
    <cellStyle name="20% - Accent4 4 2 4" xfId="17625" xr:uid="{DC95309D-12DC-4DF2-946E-951CFB1A2EFB}"/>
    <cellStyle name="20% - Accent4 4 2 5" xfId="18457" xr:uid="{CCC93DA4-1460-4451-9A53-077F0ABD6E07}"/>
    <cellStyle name="20% - Accent4 4 2 6" xfId="19286" xr:uid="{17DA6FFA-484C-4F22-B9F8-FBB555A029AE}"/>
    <cellStyle name="20% - Accent4 4 2 7" xfId="9181" xr:uid="{5F69E89D-D2F6-43A9-ACDA-BA21084EF2B3}"/>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8113AD47-0883-4783-8621-6A2A9CE0E841}"/>
    <cellStyle name="20% - Accent4 4 3 2 3" xfId="11739" xr:uid="{BF1F3289-C8D1-4C2C-91D6-802B8C703BEB}"/>
    <cellStyle name="20% - Accent4 4 3 3" xfId="5362" xr:uid="{00000000-0005-0000-0000-000062020000}"/>
    <cellStyle name="20% - Accent4 4 3 3 2" xfId="13812" xr:uid="{DF5BBF73-CAD3-4D4C-AD59-7565B312637A}"/>
    <cellStyle name="20% - Accent4 4 3 4" xfId="9594" xr:uid="{1416ADE5-F5CB-4529-9C6C-372AEE4B8F7A}"/>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874B45F3-6FBB-442F-807D-7E3E2ED9ED65}"/>
    <cellStyle name="20% - Accent4 4 4 2 3" xfId="12152" xr:uid="{1259B5CF-5CB3-4589-8E02-5CB606928D4F}"/>
    <cellStyle name="20% - Accent4 4 4 3" xfId="5775" xr:uid="{00000000-0005-0000-0000-000066020000}"/>
    <cellStyle name="20% - Accent4 4 4 3 2" xfId="14225" xr:uid="{685B0933-FEB3-4809-A7AD-7AE233662B77}"/>
    <cellStyle name="20% - Accent4 4 4 4" xfId="10007" xr:uid="{EC000E39-BC2A-459C-A0D0-CCF0B7C856D9}"/>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18814C99-2F64-4F21-B270-B7504F43E854}"/>
    <cellStyle name="20% - Accent4 4 5 2 3" xfId="12565" xr:uid="{00981FFC-F9DA-4141-B484-AD15A4C2959A}"/>
    <cellStyle name="20% - Accent4 4 5 3" xfId="6188" xr:uid="{00000000-0005-0000-0000-00006A020000}"/>
    <cellStyle name="20% - Accent4 4 5 3 2" xfId="14638" xr:uid="{68B48AFC-09DE-4F0B-8154-86533D2CDFF1}"/>
    <cellStyle name="20% - Accent4 4 5 4" xfId="10420" xr:uid="{A6C51DBA-7387-4156-9F46-4F1D0665E598}"/>
    <cellStyle name="20% - Accent4 4 6" xfId="2295" xr:uid="{00000000-0005-0000-0000-00006B020000}"/>
    <cellStyle name="20% - Accent4 4 6 2" xfId="6601" xr:uid="{00000000-0005-0000-0000-00006C020000}"/>
    <cellStyle name="20% - Accent4 4 6 2 2" xfId="15051" xr:uid="{A53BDD3F-5F53-41E9-952F-89AA512E3E03}"/>
    <cellStyle name="20% - Accent4 4 6 3" xfId="10833" xr:uid="{5D13DE0E-4EA8-429D-8B58-3B4539094BA6}"/>
    <cellStyle name="20% - Accent4 4 7" xfId="4535" xr:uid="{00000000-0005-0000-0000-00006D020000}"/>
    <cellStyle name="20% - Accent4 4 7 2" xfId="12985" xr:uid="{EE2876DB-E665-40E9-BEF3-C09B9F264B03}"/>
    <cellStyle name="20% - Accent4 4 8" xfId="17208" xr:uid="{D1C7549A-F7F6-44B8-B05D-4DB1596942C1}"/>
    <cellStyle name="20% - Accent4 4 9" xfId="18041" xr:uid="{2999416C-1A5F-42DF-810E-C0C1A7A24424}"/>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797B507B-1E45-4CA0-9AF2-7F1DAAC37CFA}"/>
    <cellStyle name="20% - Accent4 5 2 3" xfId="11319" xr:uid="{BF5D6A40-186A-4998-B952-6094CBFB4FEE}"/>
    <cellStyle name="20% - Accent4 5 3" xfId="4942" xr:uid="{00000000-0005-0000-0000-000071020000}"/>
    <cellStyle name="20% - Accent4 5 3 2" xfId="13392" xr:uid="{1F9E6AFB-E76D-401E-BDA3-A3DF5B020FB0}"/>
    <cellStyle name="20% - Accent4 5 4" xfId="17618" xr:uid="{524936E0-1921-4969-8D37-679D4AEA51DD}"/>
    <cellStyle name="20% - Accent4 5 5" xfId="18450" xr:uid="{96B87662-A14A-464A-977E-6BF1FF3E7825}"/>
    <cellStyle name="20% - Accent4 5 6" xfId="19279" xr:uid="{20C6217A-55D2-45C5-81CA-1C41BA69B014}"/>
    <cellStyle name="20% - Accent4 5 7" xfId="9174" xr:uid="{CD4F128D-D3D7-4FBC-8699-A8C1EBBAF683}"/>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DAEDFF7F-D85C-4FA0-9A1D-899C1A53CCE0}"/>
    <cellStyle name="20% - Accent4 6 2 3" xfId="11732" xr:uid="{C48CC31A-AB09-4784-B431-6EFD6E9B52C6}"/>
    <cellStyle name="20% - Accent4 6 3" xfId="5355" xr:uid="{00000000-0005-0000-0000-000075020000}"/>
    <cellStyle name="20% - Accent4 6 3 2" xfId="13805" xr:uid="{77EA3836-A036-4A15-BB3E-B83930329A2D}"/>
    <cellStyle name="20% - Accent4 6 4" xfId="9587" xr:uid="{0A049B8F-B4E1-403A-93A9-53CC395981E8}"/>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BCBD738C-BE5E-4C07-BACA-BFB8C92107DF}"/>
    <cellStyle name="20% - Accent4 7 2 3" xfId="12145" xr:uid="{3AC665E8-85E8-444A-86D6-BCEE19085B30}"/>
    <cellStyle name="20% - Accent4 7 3" xfId="5768" xr:uid="{00000000-0005-0000-0000-000079020000}"/>
    <cellStyle name="20% - Accent4 7 3 2" xfId="14218" xr:uid="{D0A3B47E-5C9C-46B4-83C6-2B68410F1E0D}"/>
    <cellStyle name="20% - Accent4 7 4" xfId="10000" xr:uid="{592AE017-07E1-4E9B-ABAE-68C3B45380A0}"/>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3603802F-FDE6-4CC7-B735-AB22BAD92CBB}"/>
    <cellStyle name="20% - Accent4 8 2 3" xfId="12558" xr:uid="{005DCB38-807E-4528-8D83-01ACDDE31B7C}"/>
    <cellStyle name="20% - Accent4 8 3" xfId="6181" xr:uid="{00000000-0005-0000-0000-00007D020000}"/>
    <cellStyle name="20% - Accent4 8 3 2" xfId="14631" xr:uid="{B092BB28-E110-4B9B-BA7C-B5899CBE9BE8}"/>
    <cellStyle name="20% - Accent4 8 4" xfId="10413" xr:uid="{376CF169-C58A-4FDC-863B-10CDD8983D4C}"/>
    <cellStyle name="20% - Accent4 9" xfId="2288" xr:uid="{00000000-0005-0000-0000-00007E020000}"/>
    <cellStyle name="20% - Accent4 9 2" xfId="6594" xr:uid="{00000000-0005-0000-0000-00007F020000}"/>
    <cellStyle name="20% - Accent4 9 2 2" xfId="15044" xr:uid="{E72EE33C-38AA-4F70-90F5-4D3EC30FD155}"/>
    <cellStyle name="20% - Accent4 9 3" xfId="10826" xr:uid="{79AEF1EC-AA20-4AB6-A30F-690DB4FEE393}"/>
    <cellStyle name="20% - Accent5" xfId="33" builtinId="46" customBuiltin="1"/>
    <cellStyle name="20% - Accent5 10" xfId="4536" xr:uid="{00000000-0005-0000-0000-000081020000}"/>
    <cellStyle name="20% - Accent5 10 2" xfId="12986" xr:uid="{76EFF3CA-D0C8-44A2-8598-E5F886261273}"/>
    <cellStyle name="20% - Accent5 11" xfId="17209" xr:uid="{F8CFFDC9-B305-44C3-A46D-34D75D8E88F5}"/>
    <cellStyle name="20% - Accent5 12" xfId="18042" xr:uid="{72BFFA90-F475-4F3D-9E4E-707F3F21936F}"/>
    <cellStyle name="20% - Accent5 13" xfId="18871" xr:uid="{4998D5C3-589C-470F-A1F2-DA01FAB74CD6}"/>
    <cellStyle name="20% - Accent5 14" xfId="8768" xr:uid="{9D9210C1-0EC3-4E9F-B07B-5EF12A354E76}"/>
    <cellStyle name="20% - Accent5 2" xfId="34" xr:uid="{00000000-0005-0000-0000-000082020000}"/>
    <cellStyle name="20% - Accent5 2 10" xfId="17210" xr:uid="{BDB85680-6A19-4195-92A1-7A1FD8DA3E6E}"/>
    <cellStyle name="20% - Accent5 2 11" xfId="18043" xr:uid="{82C00D32-1614-4777-9D86-DEF7727B4846}"/>
    <cellStyle name="20% - Accent5 2 12" xfId="18872" xr:uid="{71EAAE78-0AE2-4A6F-A4F7-6ACF4D9F614F}"/>
    <cellStyle name="20% - Accent5 2 13" xfId="8769" xr:uid="{B9AF2FA7-5788-4916-9204-B685768EC453}"/>
    <cellStyle name="20% - Accent5 2 2" xfId="35" xr:uid="{00000000-0005-0000-0000-000083020000}"/>
    <cellStyle name="20% - Accent5 2 2 10" xfId="18044" xr:uid="{2B018DF2-CA35-4FBE-A672-35C6F6972C99}"/>
    <cellStyle name="20% - Accent5 2 2 11" xfId="18873" xr:uid="{CB5FE698-4CAC-444D-9E7E-33FC4BBEB30F}"/>
    <cellStyle name="20% - Accent5 2 2 12" xfId="8770" xr:uid="{68B8DCD1-0BE4-4B6A-8EA0-FD17358192FD}"/>
    <cellStyle name="20% - Accent5 2 2 2" xfId="36" xr:uid="{00000000-0005-0000-0000-000084020000}"/>
    <cellStyle name="20% - Accent5 2 2 2 10" xfId="18874" xr:uid="{762550F3-7BF8-409E-ACFF-1387CAE4DED8}"/>
    <cellStyle name="20% - Accent5 2 2 2 11" xfId="8771" xr:uid="{0441138C-7D83-4FD4-BF17-6111026649B7}"/>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342DDE82-0D88-47F9-8DD1-8F1856805CF3}"/>
    <cellStyle name="20% - Accent5 2 2 2 2 2 3" xfId="11330" xr:uid="{D6E7B43C-F5A5-4B9E-9804-A3DFBE748E76}"/>
    <cellStyle name="20% - Accent5 2 2 2 2 3" xfId="4953" xr:uid="{00000000-0005-0000-0000-000088020000}"/>
    <cellStyle name="20% - Accent5 2 2 2 2 3 2" xfId="13403" xr:uid="{FF3E8727-6C0D-41BD-811B-2ED05F9F8EE0}"/>
    <cellStyle name="20% - Accent5 2 2 2 2 4" xfId="17629" xr:uid="{2AD8993A-7AF2-459F-9919-C9C6C2D8DD3B}"/>
    <cellStyle name="20% - Accent5 2 2 2 2 5" xfId="18461" xr:uid="{0C4EA547-0BB4-434B-A653-BB8E42EE6FA2}"/>
    <cellStyle name="20% - Accent5 2 2 2 2 6" xfId="19290" xr:uid="{F5EECB3D-1251-4A7E-9E2A-7497CA776427}"/>
    <cellStyle name="20% - Accent5 2 2 2 2 7" xfId="9185" xr:uid="{15E59444-B838-4CBB-BC3C-1EA81B0C4C98}"/>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53377436-F54A-44B0-8DB4-C71DCD75C24D}"/>
    <cellStyle name="20% - Accent5 2 2 2 3 2 3" xfId="11743" xr:uid="{7BFA9240-1E0B-4EAB-8A02-1FB783B0DD00}"/>
    <cellStyle name="20% - Accent5 2 2 2 3 3" xfId="5366" xr:uid="{00000000-0005-0000-0000-00008C020000}"/>
    <cellStyle name="20% - Accent5 2 2 2 3 3 2" xfId="13816" xr:uid="{046CE2D2-D654-4ED9-BEE2-8B83EB240BEA}"/>
    <cellStyle name="20% - Accent5 2 2 2 3 4" xfId="9598" xr:uid="{321CF7C0-3A89-47E4-A191-90925338FE1A}"/>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8AEA52DF-D47D-40B6-BC1C-83DDFD89288F}"/>
    <cellStyle name="20% - Accent5 2 2 2 4 2 3" xfId="12156" xr:uid="{63C00842-58F0-4AE0-9D12-CB3EC882D48C}"/>
    <cellStyle name="20% - Accent5 2 2 2 4 3" xfId="5779" xr:uid="{00000000-0005-0000-0000-000090020000}"/>
    <cellStyle name="20% - Accent5 2 2 2 4 3 2" xfId="14229" xr:uid="{0CCC7EBD-6245-4267-B6D6-1DE5A6790DB4}"/>
    <cellStyle name="20% - Accent5 2 2 2 4 4" xfId="10011" xr:uid="{A205B6C1-5005-4D66-92C9-224A2B0083AC}"/>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AA763D52-4510-42BF-8542-B49AB45DE3D9}"/>
    <cellStyle name="20% - Accent5 2 2 2 5 2 3" xfId="12569" xr:uid="{4ADC7E61-04A8-465E-BDD2-FE7F02A80A7E}"/>
    <cellStyle name="20% - Accent5 2 2 2 5 3" xfId="6192" xr:uid="{00000000-0005-0000-0000-000094020000}"/>
    <cellStyle name="20% - Accent5 2 2 2 5 3 2" xfId="14642" xr:uid="{33426570-0819-45C1-BA3F-C57A971A50D7}"/>
    <cellStyle name="20% - Accent5 2 2 2 5 4" xfId="10424" xr:uid="{82A3213B-22C9-4A12-BAB9-1B402AFD755E}"/>
    <cellStyle name="20% - Accent5 2 2 2 6" xfId="2299" xr:uid="{00000000-0005-0000-0000-000095020000}"/>
    <cellStyle name="20% - Accent5 2 2 2 6 2" xfId="6605" xr:uid="{00000000-0005-0000-0000-000096020000}"/>
    <cellStyle name="20% - Accent5 2 2 2 6 2 2" xfId="15055" xr:uid="{FE499409-D71B-4B90-98E6-AA19B38256BC}"/>
    <cellStyle name="20% - Accent5 2 2 2 6 3" xfId="10837" xr:uid="{1F5147E4-1284-485F-A14E-BA89DD9C6649}"/>
    <cellStyle name="20% - Accent5 2 2 2 7" xfId="4539" xr:uid="{00000000-0005-0000-0000-000097020000}"/>
    <cellStyle name="20% - Accent5 2 2 2 7 2" xfId="12989" xr:uid="{C3C0416E-EBEB-4691-8C88-6A8C09FEC4E8}"/>
    <cellStyle name="20% - Accent5 2 2 2 8" xfId="17212" xr:uid="{F158DF7B-5EC6-401B-BF9B-80896F75537D}"/>
    <cellStyle name="20% - Accent5 2 2 2 9" xfId="18045" xr:uid="{1D9D28EE-A83F-4A85-86BD-4993DC008212}"/>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848948B6-5268-481C-A317-F9D09F71F8FE}"/>
    <cellStyle name="20% - Accent5 2 2 3 2 3" xfId="11329" xr:uid="{7FA49E49-8691-42A1-83A0-1DB9DE2A4E62}"/>
    <cellStyle name="20% - Accent5 2 2 3 3" xfId="4952" xr:uid="{00000000-0005-0000-0000-00009B020000}"/>
    <cellStyle name="20% - Accent5 2 2 3 3 2" xfId="13402" xr:uid="{53C98E43-FDA4-4F5A-A4D6-D530D0B68312}"/>
    <cellStyle name="20% - Accent5 2 2 3 4" xfId="17628" xr:uid="{89449158-B1EC-48FF-92B4-7A4D57A8A545}"/>
    <cellStyle name="20% - Accent5 2 2 3 5" xfId="18460" xr:uid="{0790B7EA-DDE5-452D-B27F-799C9C4FD27F}"/>
    <cellStyle name="20% - Accent5 2 2 3 6" xfId="19289" xr:uid="{6CE38CCE-17F7-4A6E-88DB-72734BB63074}"/>
    <cellStyle name="20% - Accent5 2 2 3 7" xfId="9184" xr:uid="{1ACA8A51-98CC-4D9D-8829-9634648DA72E}"/>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FCDCB64C-B3E3-46B1-AF8C-C089B5C33146}"/>
    <cellStyle name="20% - Accent5 2 2 4 2 3" xfId="11742" xr:uid="{61DEAD82-AF27-4EBD-A959-92E304C9CE99}"/>
    <cellStyle name="20% - Accent5 2 2 4 3" xfId="5365" xr:uid="{00000000-0005-0000-0000-00009F020000}"/>
    <cellStyle name="20% - Accent5 2 2 4 3 2" xfId="13815" xr:uid="{5A359ECA-3975-4A5B-9527-80566F8B09A9}"/>
    <cellStyle name="20% - Accent5 2 2 4 4" xfId="9597" xr:uid="{399C26FE-4052-4277-99E6-3CD381EC9150}"/>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7BCA3E99-58C6-42C1-A200-2276F104309F}"/>
    <cellStyle name="20% - Accent5 2 2 5 2 3" xfId="12155" xr:uid="{810E6B1C-3F85-4748-A227-335B99A18618}"/>
    <cellStyle name="20% - Accent5 2 2 5 3" xfId="5778" xr:uid="{00000000-0005-0000-0000-0000A3020000}"/>
    <cellStyle name="20% - Accent5 2 2 5 3 2" xfId="14228" xr:uid="{DFC7903A-BCFC-4775-86CA-A2B9BC11AE37}"/>
    <cellStyle name="20% - Accent5 2 2 5 4" xfId="10010" xr:uid="{2DE6EA33-3667-41B9-B619-D7368583CA4B}"/>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0DC117E8-56B9-4DFB-AC33-116138067E28}"/>
    <cellStyle name="20% - Accent5 2 2 6 2 3" xfId="12568" xr:uid="{37240A4E-70DF-4074-8B6E-F8BDAA31F7D0}"/>
    <cellStyle name="20% - Accent5 2 2 6 3" xfId="6191" xr:uid="{00000000-0005-0000-0000-0000A7020000}"/>
    <cellStyle name="20% - Accent5 2 2 6 3 2" xfId="14641" xr:uid="{71E972A7-4C71-43AC-A4DB-080425D50D02}"/>
    <cellStyle name="20% - Accent5 2 2 6 4" xfId="10423" xr:uid="{32709FC2-8325-409A-8645-962089BD2FBF}"/>
    <cellStyle name="20% - Accent5 2 2 7" xfId="2298" xr:uid="{00000000-0005-0000-0000-0000A8020000}"/>
    <cellStyle name="20% - Accent5 2 2 7 2" xfId="6604" xr:uid="{00000000-0005-0000-0000-0000A9020000}"/>
    <cellStyle name="20% - Accent5 2 2 7 2 2" xfId="15054" xr:uid="{1F04D3C4-0668-4EE9-9EDD-D68B34A54971}"/>
    <cellStyle name="20% - Accent5 2 2 7 3" xfId="10836" xr:uid="{D5DD89A5-C3AA-4659-A362-D31294033E13}"/>
    <cellStyle name="20% - Accent5 2 2 8" xfId="4538" xr:uid="{00000000-0005-0000-0000-0000AA020000}"/>
    <cellStyle name="20% - Accent5 2 2 8 2" xfId="12988" xr:uid="{F17442D0-618D-4EBF-869E-DF72473E2D93}"/>
    <cellStyle name="20% - Accent5 2 2 9" xfId="17211" xr:uid="{050A58CE-A4A6-4FD4-923E-F26E12386A7B}"/>
    <cellStyle name="20% - Accent5 2 3" xfId="37" xr:uid="{00000000-0005-0000-0000-0000AB020000}"/>
    <cellStyle name="20% - Accent5 2 3 10" xfId="18875" xr:uid="{FB535D75-4056-41B3-BC43-8102407DDA83}"/>
    <cellStyle name="20% - Accent5 2 3 11" xfId="8772" xr:uid="{C7572092-6221-479C-8CCD-6EF11B5055F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18BBB5EC-15DF-4F20-A3C3-34DA57885C4B}"/>
    <cellStyle name="20% - Accent5 2 3 2 2 3" xfId="11331" xr:uid="{0CD1A415-17FF-4B3C-A5AF-1D2B2F9CA9DD}"/>
    <cellStyle name="20% - Accent5 2 3 2 3" xfId="4954" xr:uid="{00000000-0005-0000-0000-0000AF020000}"/>
    <cellStyle name="20% - Accent5 2 3 2 3 2" xfId="13404" xr:uid="{5D84C0C7-A850-4B79-B39A-35BF7AE3024B}"/>
    <cellStyle name="20% - Accent5 2 3 2 4" xfId="17630" xr:uid="{AC0969AF-E114-4F7F-8503-A7F3F28E8FD7}"/>
    <cellStyle name="20% - Accent5 2 3 2 5" xfId="18462" xr:uid="{5FCA3CC5-354A-478D-9BA7-3986818E8E64}"/>
    <cellStyle name="20% - Accent5 2 3 2 6" xfId="19291" xr:uid="{A561F960-98D1-43E5-BFEB-FC088232F85C}"/>
    <cellStyle name="20% - Accent5 2 3 2 7" xfId="9186" xr:uid="{EADB8A3B-D0E4-47DC-A2D7-4CEF352B88D1}"/>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D23E15B4-E169-4A40-BE9E-DC236D1BA17A}"/>
    <cellStyle name="20% - Accent5 2 3 3 2 3" xfId="11744" xr:uid="{04798960-2CB9-4069-817F-6FBDB5FF20B0}"/>
    <cellStyle name="20% - Accent5 2 3 3 3" xfId="5367" xr:uid="{00000000-0005-0000-0000-0000B3020000}"/>
    <cellStyle name="20% - Accent5 2 3 3 3 2" xfId="13817" xr:uid="{1F01F427-D1A3-4FAA-A9A4-5DB923325003}"/>
    <cellStyle name="20% - Accent5 2 3 3 4" xfId="9599" xr:uid="{E6374ED4-0AD7-43A1-9DFB-2E46D063246B}"/>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E5122D22-0B70-451E-93F8-FF16F69B7325}"/>
    <cellStyle name="20% - Accent5 2 3 4 2 3" xfId="12157" xr:uid="{6A153784-51C8-4137-BB38-17E3AE38F633}"/>
    <cellStyle name="20% - Accent5 2 3 4 3" xfId="5780" xr:uid="{00000000-0005-0000-0000-0000B7020000}"/>
    <cellStyle name="20% - Accent5 2 3 4 3 2" xfId="14230" xr:uid="{4847ED0C-8797-4063-A001-7AF44AA11F05}"/>
    <cellStyle name="20% - Accent5 2 3 4 4" xfId="10012" xr:uid="{B893B295-7357-4822-90AE-9D211FF335A2}"/>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FF3577AC-8FEA-4154-8CE4-83D13A339EB9}"/>
    <cellStyle name="20% - Accent5 2 3 5 2 3" xfId="12570" xr:uid="{29EB6B5A-5A28-4B1F-8F1F-F80B36C915A4}"/>
    <cellStyle name="20% - Accent5 2 3 5 3" xfId="6193" xr:uid="{00000000-0005-0000-0000-0000BB020000}"/>
    <cellStyle name="20% - Accent5 2 3 5 3 2" xfId="14643" xr:uid="{BF743C06-5042-46C2-A0AD-746F128A1FDD}"/>
    <cellStyle name="20% - Accent5 2 3 5 4" xfId="10425" xr:uid="{4758BA92-F6E2-419B-AA00-45370B45A3DE}"/>
    <cellStyle name="20% - Accent5 2 3 6" xfId="2300" xr:uid="{00000000-0005-0000-0000-0000BC020000}"/>
    <cellStyle name="20% - Accent5 2 3 6 2" xfId="6606" xr:uid="{00000000-0005-0000-0000-0000BD020000}"/>
    <cellStyle name="20% - Accent5 2 3 6 2 2" xfId="15056" xr:uid="{99A7B199-4DCA-4B88-AB36-C979FC63838E}"/>
    <cellStyle name="20% - Accent5 2 3 6 3" xfId="10838" xr:uid="{A7CB95B8-5387-4928-8047-EC12311E166A}"/>
    <cellStyle name="20% - Accent5 2 3 7" xfId="4540" xr:uid="{00000000-0005-0000-0000-0000BE020000}"/>
    <cellStyle name="20% - Accent5 2 3 7 2" xfId="12990" xr:uid="{02DF3928-3AB6-43E1-ABE9-736DC6ACA321}"/>
    <cellStyle name="20% - Accent5 2 3 8" xfId="17213" xr:uid="{9CDE8EE5-835F-448F-A42F-48B7CB6820BD}"/>
    <cellStyle name="20% - Accent5 2 3 9" xfId="18046" xr:uid="{349AABDC-892A-4F78-9155-066AB5D4D0E1}"/>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25771D77-321F-40B6-822E-D563E0F89404}"/>
    <cellStyle name="20% - Accent5 2 4 2 3" xfId="11328" xr:uid="{8722904B-A555-4399-9626-32290D3C340E}"/>
    <cellStyle name="20% - Accent5 2 4 3" xfId="4951" xr:uid="{00000000-0005-0000-0000-0000C2020000}"/>
    <cellStyle name="20% - Accent5 2 4 3 2" xfId="13401" xr:uid="{EC9DEF39-233A-4A2D-9288-0A9A4CAA3306}"/>
    <cellStyle name="20% - Accent5 2 4 4" xfId="17627" xr:uid="{7CC121B5-61E5-47B6-9C13-304D36E89CED}"/>
    <cellStyle name="20% - Accent5 2 4 5" xfId="18459" xr:uid="{100FC2E9-FA2A-41B5-AB2B-96830FB3EEF5}"/>
    <cellStyle name="20% - Accent5 2 4 6" xfId="19288" xr:uid="{3D24AB95-BE94-42D4-ADCB-BE2DE24FB50F}"/>
    <cellStyle name="20% - Accent5 2 4 7" xfId="9183" xr:uid="{598D9DE1-02CC-4022-98F3-91987D5A6D5A}"/>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8BD82F58-20B8-4D3B-BFDD-AC515732A716}"/>
    <cellStyle name="20% - Accent5 2 5 2 3" xfId="11741" xr:uid="{5391FC48-615E-43D0-BEBE-E658E2348F85}"/>
    <cellStyle name="20% - Accent5 2 5 3" xfId="5364" xr:uid="{00000000-0005-0000-0000-0000C6020000}"/>
    <cellStyle name="20% - Accent5 2 5 3 2" xfId="13814" xr:uid="{70F124C9-D63F-42F5-8B45-679E771BAE1B}"/>
    <cellStyle name="20% - Accent5 2 5 4" xfId="9596" xr:uid="{D63465ED-CB3C-46A7-B227-6D006F742320}"/>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2D87CC0F-AA50-442A-907B-81A7CB976985}"/>
    <cellStyle name="20% - Accent5 2 6 2 3" xfId="12154" xr:uid="{A40A93AA-4F19-40CF-824A-187751C803C8}"/>
    <cellStyle name="20% - Accent5 2 6 3" xfId="5777" xr:uid="{00000000-0005-0000-0000-0000CA020000}"/>
    <cellStyle name="20% - Accent5 2 6 3 2" xfId="14227" xr:uid="{76E83E6B-709C-48B7-A927-7FB5D299996B}"/>
    <cellStyle name="20% - Accent5 2 6 4" xfId="10009" xr:uid="{7D8FF659-4040-4457-A953-0B29BA0F6939}"/>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4C2EB0B3-D145-48E5-BF24-A58D32012E76}"/>
    <cellStyle name="20% - Accent5 2 7 2 3" xfId="12567" xr:uid="{3E3DAA1C-3BC8-46A6-B08D-3AD61FF80398}"/>
    <cellStyle name="20% - Accent5 2 7 3" xfId="6190" xr:uid="{00000000-0005-0000-0000-0000CE020000}"/>
    <cellStyle name="20% - Accent5 2 7 3 2" xfId="14640" xr:uid="{B217B611-3D9B-4779-BFE8-35C5CDAEF0F7}"/>
    <cellStyle name="20% - Accent5 2 7 4" xfId="10422" xr:uid="{6C30593F-8994-455E-87F3-C1A2E3976A98}"/>
    <cellStyle name="20% - Accent5 2 8" xfId="2297" xr:uid="{00000000-0005-0000-0000-0000CF020000}"/>
    <cellStyle name="20% - Accent5 2 8 2" xfId="6603" xr:uid="{00000000-0005-0000-0000-0000D0020000}"/>
    <cellStyle name="20% - Accent5 2 8 2 2" xfId="15053" xr:uid="{90342C70-D519-497D-B2B8-43F74B44D686}"/>
    <cellStyle name="20% - Accent5 2 8 3" xfId="10835" xr:uid="{EBF4A93A-70F8-4148-975E-1B1C5FE950B1}"/>
    <cellStyle name="20% - Accent5 2 9" xfId="4537" xr:uid="{00000000-0005-0000-0000-0000D1020000}"/>
    <cellStyle name="20% - Accent5 2 9 2" xfId="12987" xr:uid="{5BE9CDAF-DDFF-4F56-BB8E-C69D79448421}"/>
    <cellStyle name="20% - Accent5 3" xfId="38" xr:uid="{00000000-0005-0000-0000-0000D2020000}"/>
    <cellStyle name="20% - Accent5 3 10" xfId="18047" xr:uid="{7EAC006F-4316-41A2-81B8-0F987BF671F5}"/>
    <cellStyle name="20% - Accent5 3 11" xfId="18876" xr:uid="{3A191F88-0D0C-407E-8C2D-6FCE01A22BF2}"/>
    <cellStyle name="20% - Accent5 3 12" xfId="8773" xr:uid="{7BB5AA54-834E-4630-92CA-E6833543BAAE}"/>
    <cellStyle name="20% - Accent5 3 2" xfId="39" xr:uid="{00000000-0005-0000-0000-0000D3020000}"/>
    <cellStyle name="20% - Accent5 3 2 10" xfId="18877" xr:uid="{6CBCCA1D-6879-411F-B7F8-A0847F7F0312}"/>
    <cellStyle name="20% - Accent5 3 2 11" xfId="8774" xr:uid="{3EA8140F-6D3F-480D-BDB4-B1FDEA7D6075}"/>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12417D93-40A3-445A-87DF-192844D42383}"/>
    <cellStyle name="20% - Accent5 3 2 2 2 3" xfId="11333" xr:uid="{D56AB17F-7DD1-4469-AA42-BDFACE48A985}"/>
    <cellStyle name="20% - Accent5 3 2 2 3" xfId="4956" xr:uid="{00000000-0005-0000-0000-0000D7020000}"/>
    <cellStyle name="20% - Accent5 3 2 2 3 2" xfId="13406" xr:uid="{44DFAA91-E481-4E6C-A604-707DC0057AA4}"/>
    <cellStyle name="20% - Accent5 3 2 2 4" xfId="17632" xr:uid="{022BFA63-7FFB-452D-B9B4-55B0AE687569}"/>
    <cellStyle name="20% - Accent5 3 2 2 5" xfId="18464" xr:uid="{1AF2422D-7C83-4165-B9E8-59FEE5FEEAAA}"/>
    <cellStyle name="20% - Accent5 3 2 2 6" xfId="19293" xr:uid="{066CF44D-E484-4404-915D-8465EC057D34}"/>
    <cellStyle name="20% - Accent5 3 2 2 7" xfId="9188" xr:uid="{B444475B-0AD2-46AF-94CD-4B6C64CED14D}"/>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D8078D66-E0A4-4C80-B755-18F837309EB1}"/>
    <cellStyle name="20% - Accent5 3 2 3 2 3" xfId="11746" xr:uid="{8AAEC224-7C1C-4B38-ADAF-43AA8CFBF222}"/>
    <cellStyle name="20% - Accent5 3 2 3 3" xfId="5369" xr:uid="{00000000-0005-0000-0000-0000DB020000}"/>
    <cellStyle name="20% - Accent5 3 2 3 3 2" xfId="13819" xr:uid="{831C5570-EDBB-493E-8612-40AA37753B98}"/>
    <cellStyle name="20% - Accent5 3 2 3 4" xfId="9601" xr:uid="{CA455055-8858-46F8-8846-BE928A11231E}"/>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23DFA08A-BFE5-4F65-A73F-7159F89CAFE9}"/>
    <cellStyle name="20% - Accent5 3 2 4 2 3" xfId="12159" xr:uid="{C60195CA-4A1B-4755-8152-2B3B4D1A0096}"/>
    <cellStyle name="20% - Accent5 3 2 4 3" xfId="5782" xr:uid="{00000000-0005-0000-0000-0000DF020000}"/>
    <cellStyle name="20% - Accent5 3 2 4 3 2" xfId="14232" xr:uid="{3BCC9B37-6F5A-4B78-BCEF-E826C499B7F8}"/>
    <cellStyle name="20% - Accent5 3 2 4 4" xfId="10014" xr:uid="{78C89853-CC2F-4F0D-8A5C-47666E2DE023}"/>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86D6B596-8255-4D13-ADE0-5DB80B592401}"/>
    <cellStyle name="20% - Accent5 3 2 5 2 3" xfId="12572" xr:uid="{AF432311-2320-4D3B-8D90-144DCA40B3EB}"/>
    <cellStyle name="20% - Accent5 3 2 5 3" xfId="6195" xr:uid="{00000000-0005-0000-0000-0000E3020000}"/>
    <cellStyle name="20% - Accent5 3 2 5 3 2" xfId="14645" xr:uid="{9B9B24CC-514B-4880-ACF5-070CA86C0506}"/>
    <cellStyle name="20% - Accent5 3 2 5 4" xfId="10427" xr:uid="{A4B14B79-7A51-45CA-969B-C96F8BDDDB85}"/>
    <cellStyle name="20% - Accent5 3 2 6" xfId="2302" xr:uid="{00000000-0005-0000-0000-0000E4020000}"/>
    <cellStyle name="20% - Accent5 3 2 6 2" xfId="6608" xr:uid="{00000000-0005-0000-0000-0000E5020000}"/>
    <cellStyle name="20% - Accent5 3 2 6 2 2" xfId="15058" xr:uid="{7C2DFE49-5524-4834-BA84-F17E2184A962}"/>
    <cellStyle name="20% - Accent5 3 2 6 3" xfId="10840" xr:uid="{56B9BC0C-E2E7-4BE3-A020-B6D1186B98A7}"/>
    <cellStyle name="20% - Accent5 3 2 7" xfId="4542" xr:uid="{00000000-0005-0000-0000-0000E6020000}"/>
    <cellStyle name="20% - Accent5 3 2 7 2" xfId="12992" xr:uid="{2E12D229-18D5-462D-A1C8-9E34D88FA370}"/>
    <cellStyle name="20% - Accent5 3 2 8" xfId="17215" xr:uid="{92F004AF-A16B-49A6-810C-D13DDBF99F2E}"/>
    <cellStyle name="20% - Accent5 3 2 9" xfId="18048" xr:uid="{C4E295EF-C8BB-4B0F-BC0B-D6930E02299B}"/>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9DAF6BD7-11C2-48DB-9442-AB204F1FBD99}"/>
    <cellStyle name="20% - Accent5 3 3 2 3" xfId="11332" xr:uid="{6443611D-49BD-49C0-82C7-3BD0BFFD3153}"/>
    <cellStyle name="20% - Accent5 3 3 3" xfId="4955" xr:uid="{00000000-0005-0000-0000-0000EA020000}"/>
    <cellStyle name="20% - Accent5 3 3 3 2" xfId="13405" xr:uid="{EC14FDAD-ED23-4C44-9F18-F101CA2377C1}"/>
    <cellStyle name="20% - Accent5 3 3 4" xfId="17631" xr:uid="{7AF591EF-DF40-4DDC-82B1-6ABCAFE6AFFE}"/>
    <cellStyle name="20% - Accent5 3 3 5" xfId="18463" xr:uid="{09CAE27E-C8DF-443F-B688-E2CF2B0ED7FF}"/>
    <cellStyle name="20% - Accent5 3 3 6" xfId="19292" xr:uid="{F42D8C51-299A-4D6A-904F-3E8335F60F97}"/>
    <cellStyle name="20% - Accent5 3 3 7" xfId="9187" xr:uid="{DB1382AA-2AD7-42F6-9DAE-05B4AC0DA613}"/>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402D31E1-4663-41AB-B8AE-6715A64EF272}"/>
    <cellStyle name="20% - Accent5 3 4 2 3" xfId="11745" xr:uid="{45703592-45E0-41F1-8859-AFA32C659A75}"/>
    <cellStyle name="20% - Accent5 3 4 3" xfId="5368" xr:uid="{00000000-0005-0000-0000-0000EE020000}"/>
    <cellStyle name="20% - Accent5 3 4 3 2" xfId="13818" xr:uid="{E8A648BB-31D6-4A07-88D3-46A3470F9F32}"/>
    <cellStyle name="20% - Accent5 3 4 4" xfId="9600" xr:uid="{0D560570-21B2-481B-9294-4949BF7C433D}"/>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BFC85FE2-28BF-4EE2-B3DE-1339D7BCAA97}"/>
    <cellStyle name="20% - Accent5 3 5 2 3" xfId="12158" xr:uid="{21B4F8FD-6705-4407-80A9-5A6D891F7E9C}"/>
    <cellStyle name="20% - Accent5 3 5 3" xfId="5781" xr:uid="{00000000-0005-0000-0000-0000F2020000}"/>
    <cellStyle name="20% - Accent5 3 5 3 2" xfId="14231" xr:uid="{39F6BB38-DA28-4C9D-B480-177E2920AB66}"/>
    <cellStyle name="20% - Accent5 3 5 4" xfId="10013" xr:uid="{35000522-29C7-42C3-AE5A-BCE40037F4F3}"/>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9B3E5876-2AAB-42F0-A4DF-6B05D33E3F73}"/>
    <cellStyle name="20% - Accent5 3 6 2 3" xfId="12571" xr:uid="{ADB503A5-C27C-46D0-8778-7ECF7E86152C}"/>
    <cellStyle name="20% - Accent5 3 6 3" xfId="6194" xr:uid="{00000000-0005-0000-0000-0000F6020000}"/>
    <cellStyle name="20% - Accent5 3 6 3 2" xfId="14644" xr:uid="{13EBF917-D2B4-45AD-BDBC-67635EAB6F05}"/>
    <cellStyle name="20% - Accent5 3 6 4" xfId="10426" xr:uid="{C241979A-31CD-4F30-B88C-3CAB4F93FB24}"/>
    <cellStyle name="20% - Accent5 3 7" xfId="2301" xr:uid="{00000000-0005-0000-0000-0000F7020000}"/>
    <cellStyle name="20% - Accent5 3 7 2" xfId="6607" xr:uid="{00000000-0005-0000-0000-0000F8020000}"/>
    <cellStyle name="20% - Accent5 3 7 2 2" xfId="15057" xr:uid="{75C07C1B-EE9F-4FFF-8006-DF1CBB761F47}"/>
    <cellStyle name="20% - Accent5 3 7 3" xfId="10839" xr:uid="{47EB2490-1854-483A-9533-BEC245E55E78}"/>
    <cellStyle name="20% - Accent5 3 8" xfId="4541" xr:uid="{00000000-0005-0000-0000-0000F9020000}"/>
    <cellStyle name="20% - Accent5 3 8 2" xfId="12991" xr:uid="{B2BB88C4-A1AC-464E-90E3-28E2F8CAA752}"/>
    <cellStyle name="20% - Accent5 3 9" xfId="17214" xr:uid="{85F1CAFE-C969-455A-AA82-61E527983335}"/>
    <cellStyle name="20% - Accent5 4" xfId="40" xr:uid="{00000000-0005-0000-0000-0000FA020000}"/>
    <cellStyle name="20% - Accent5 4 10" xfId="18878" xr:uid="{0DF43024-BE70-41C0-88A7-08356BCD4A36}"/>
    <cellStyle name="20% - Accent5 4 11" xfId="8775" xr:uid="{3A3C1558-6627-4010-AD57-34E5EF5D8083}"/>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861DA6D4-681F-4DF7-AA34-E9302580158B}"/>
    <cellStyle name="20% - Accent5 4 2 2 3" xfId="11334" xr:uid="{2244ED8F-37B0-4759-8A3D-4B90AA25B956}"/>
    <cellStyle name="20% - Accent5 4 2 3" xfId="4957" xr:uid="{00000000-0005-0000-0000-0000FE020000}"/>
    <cellStyle name="20% - Accent5 4 2 3 2" xfId="13407" xr:uid="{1C52E119-D5EF-4F75-BBF5-C823027CBC8F}"/>
    <cellStyle name="20% - Accent5 4 2 4" xfId="17633" xr:uid="{863B2275-6C7C-485E-B007-7212D4F82100}"/>
    <cellStyle name="20% - Accent5 4 2 5" xfId="18465" xr:uid="{B96AEC79-4312-4460-9A78-75D3F2D8BE6E}"/>
    <cellStyle name="20% - Accent5 4 2 6" xfId="19294" xr:uid="{6DE6EC98-3E46-406E-92C9-B4A32C528218}"/>
    <cellStyle name="20% - Accent5 4 2 7" xfId="9189" xr:uid="{5855EBC8-C461-49EB-B9EF-23FBE2BCE806}"/>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BB9556F1-5BA9-4CA6-960B-460A59EAEE8D}"/>
    <cellStyle name="20% - Accent5 4 3 2 3" xfId="11747" xr:uid="{DD0B4117-4000-4498-B1FC-3C3E1FAC07A4}"/>
    <cellStyle name="20% - Accent5 4 3 3" xfId="5370" xr:uid="{00000000-0005-0000-0000-000002030000}"/>
    <cellStyle name="20% - Accent5 4 3 3 2" xfId="13820" xr:uid="{4785B58D-259C-4C56-BA85-BCDA274DD8DB}"/>
    <cellStyle name="20% - Accent5 4 3 4" xfId="9602" xr:uid="{517E5A2E-B2BE-47BC-96ED-40287BE18A2A}"/>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5AD17492-EDE2-4236-8FEC-6E82DAB87913}"/>
    <cellStyle name="20% - Accent5 4 4 2 3" xfId="12160" xr:uid="{7FC3E723-6CB5-4446-85EB-ADA000D040E3}"/>
    <cellStyle name="20% - Accent5 4 4 3" xfId="5783" xr:uid="{00000000-0005-0000-0000-000006030000}"/>
    <cellStyle name="20% - Accent5 4 4 3 2" xfId="14233" xr:uid="{D451C517-1B97-4E36-B8C2-11D0100E4E1F}"/>
    <cellStyle name="20% - Accent5 4 4 4" xfId="10015" xr:uid="{A2AF6255-1030-47B8-B339-003D4373E4EA}"/>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F6CAC4DE-5486-4DD0-8D2D-3CF598A54B9A}"/>
    <cellStyle name="20% - Accent5 4 5 2 3" xfId="12573" xr:uid="{5229F13A-5646-4665-9DF8-46901F2D9453}"/>
    <cellStyle name="20% - Accent5 4 5 3" xfId="6196" xr:uid="{00000000-0005-0000-0000-00000A030000}"/>
    <cellStyle name="20% - Accent5 4 5 3 2" xfId="14646" xr:uid="{3B889A36-A678-425B-9438-CEE173966A96}"/>
    <cellStyle name="20% - Accent5 4 5 4" xfId="10428" xr:uid="{21E0CBE0-C678-4A2A-AA38-89EC83193515}"/>
    <cellStyle name="20% - Accent5 4 6" xfId="2303" xr:uid="{00000000-0005-0000-0000-00000B030000}"/>
    <cellStyle name="20% - Accent5 4 6 2" xfId="6609" xr:uid="{00000000-0005-0000-0000-00000C030000}"/>
    <cellStyle name="20% - Accent5 4 6 2 2" xfId="15059" xr:uid="{60C77A35-CF8F-4C31-9BB6-EBEAEBC4E195}"/>
    <cellStyle name="20% - Accent5 4 6 3" xfId="10841" xr:uid="{326C9D60-E7A8-4CD8-AF53-7E9A173C43F6}"/>
    <cellStyle name="20% - Accent5 4 7" xfId="4543" xr:uid="{00000000-0005-0000-0000-00000D030000}"/>
    <cellStyle name="20% - Accent5 4 7 2" xfId="12993" xr:uid="{EDA591A3-48E1-4BA1-A973-C7A7BB1546F0}"/>
    <cellStyle name="20% - Accent5 4 8" xfId="17216" xr:uid="{6D4534DF-8E00-44CA-87C1-C4EA4BFFB2D6}"/>
    <cellStyle name="20% - Accent5 4 9" xfId="18049" xr:uid="{931D4AFB-18B9-464B-BB47-D1EE1046AFD5}"/>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AF8E4978-1C90-42B6-921C-776A5683A964}"/>
    <cellStyle name="20% - Accent5 5 2 3" xfId="11327" xr:uid="{4ED9C8BB-E8B7-45FE-9B92-EEE8EDB73A63}"/>
    <cellStyle name="20% - Accent5 5 3" xfId="4950" xr:uid="{00000000-0005-0000-0000-000011030000}"/>
    <cellStyle name="20% - Accent5 5 3 2" xfId="13400" xr:uid="{B13AF979-52B2-4B52-8823-811E09A24644}"/>
    <cellStyle name="20% - Accent5 5 4" xfId="17626" xr:uid="{6908E100-AC52-481F-B670-F08B344B7828}"/>
    <cellStyle name="20% - Accent5 5 5" xfId="18458" xr:uid="{BB6AE0B5-9E76-42B3-BB6A-A90B5336116F}"/>
    <cellStyle name="20% - Accent5 5 6" xfId="19287" xr:uid="{1417FDEE-F890-4663-87C3-01CBE9564E84}"/>
    <cellStyle name="20% - Accent5 5 7" xfId="9182" xr:uid="{F60F5C86-2522-4E7D-96B1-BA8D4787AA40}"/>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A94B9F14-ADAE-42F5-976E-0BF17CA4C973}"/>
    <cellStyle name="20% - Accent5 6 2 3" xfId="11740" xr:uid="{4FF43DE0-FB34-4A6B-AFD8-113C060EC526}"/>
    <cellStyle name="20% - Accent5 6 3" xfId="5363" xr:uid="{00000000-0005-0000-0000-000015030000}"/>
    <cellStyle name="20% - Accent5 6 3 2" xfId="13813" xr:uid="{1A48D97D-8E61-44D2-8B30-FD68A7EFA08B}"/>
    <cellStyle name="20% - Accent5 6 4" xfId="9595" xr:uid="{F9970A34-F99C-47FE-8BE4-23B6B4690B94}"/>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09ACD0F5-EDC2-44B2-8592-A7DD1CB06528}"/>
    <cellStyle name="20% - Accent5 7 2 3" xfId="12153" xr:uid="{36D301A5-9600-4B29-ACA9-CD1660AF6230}"/>
    <cellStyle name="20% - Accent5 7 3" xfId="5776" xr:uid="{00000000-0005-0000-0000-000019030000}"/>
    <cellStyle name="20% - Accent5 7 3 2" xfId="14226" xr:uid="{8A6615D8-80F2-477C-9A5A-7ABD9F8B42C0}"/>
    <cellStyle name="20% - Accent5 7 4" xfId="10008" xr:uid="{2AC3231B-5477-47B6-B33E-04666B499432}"/>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CCA090B4-8636-470A-8136-717A8757A877}"/>
    <cellStyle name="20% - Accent5 8 2 3" xfId="12566" xr:uid="{B010BAD8-EFE7-41E0-97D0-ED1263EF471A}"/>
    <cellStyle name="20% - Accent5 8 3" xfId="6189" xr:uid="{00000000-0005-0000-0000-00001D030000}"/>
    <cellStyle name="20% - Accent5 8 3 2" xfId="14639" xr:uid="{BEBA2E2C-16E0-4E36-8FE3-D60BD41B6AB3}"/>
    <cellStyle name="20% - Accent5 8 4" xfId="10421" xr:uid="{0CF6E0ED-8CEE-4889-B336-FCAAE9EC38FC}"/>
    <cellStyle name="20% - Accent5 9" xfId="2296" xr:uid="{00000000-0005-0000-0000-00001E030000}"/>
    <cellStyle name="20% - Accent5 9 2" xfId="6602" xr:uid="{00000000-0005-0000-0000-00001F030000}"/>
    <cellStyle name="20% - Accent5 9 2 2" xfId="15052" xr:uid="{E1F74D20-9336-443E-BA09-62D57C76C358}"/>
    <cellStyle name="20% - Accent5 9 3" xfId="10834" xr:uid="{A4FBA2F7-936F-4D32-8F5F-F350820E74FD}"/>
    <cellStyle name="20% - Accent6" xfId="41" builtinId="50" customBuiltin="1"/>
    <cellStyle name="20% - Accent6 10" xfId="4544" xr:uid="{00000000-0005-0000-0000-000021030000}"/>
    <cellStyle name="20% - Accent6 10 2" xfId="12994" xr:uid="{6799E516-CBD6-4E8C-BE3E-62D1A55F3360}"/>
    <cellStyle name="20% - Accent6 11" xfId="17217" xr:uid="{8E10FB8A-F1FD-40F5-8FAB-5DD71C2DF43C}"/>
    <cellStyle name="20% - Accent6 12" xfId="18050" xr:uid="{6890CE4F-5F21-4393-9CBF-B0AE953009F3}"/>
    <cellStyle name="20% - Accent6 13" xfId="18879" xr:uid="{A0931337-C559-4488-948D-6FF46745F0D5}"/>
    <cellStyle name="20% - Accent6 14" xfId="8776" xr:uid="{C53C0588-4C36-467D-BC90-AB4127AAA0ED}"/>
    <cellStyle name="20% - Accent6 2" xfId="42" xr:uid="{00000000-0005-0000-0000-000022030000}"/>
    <cellStyle name="20% - Accent6 2 10" xfId="17218" xr:uid="{91F5A2DA-9AFB-4242-B70C-D695147E1EAC}"/>
    <cellStyle name="20% - Accent6 2 11" xfId="18051" xr:uid="{CBAFE8CE-D169-4D81-A6E6-1729D6FEE32F}"/>
    <cellStyle name="20% - Accent6 2 12" xfId="18880" xr:uid="{5B9C5071-6ADE-4C73-93FE-F5D53E86F0F7}"/>
    <cellStyle name="20% - Accent6 2 13" xfId="8777" xr:uid="{990B077E-D832-47D1-8E19-0B43C00E2F5E}"/>
    <cellStyle name="20% - Accent6 2 2" xfId="43" xr:uid="{00000000-0005-0000-0000-000023030000}"/>
    <cellStyle name="20% - Accent6 2 2 10" xfId="18052" xr:uid="{45790888-FB2D-4DC4-9F93-B10E8A75B1C4}"/>
    <cellStyle name="20% - Accent6 2 2 11" xfId="18881" xr:uid="{4157C092-8E89-4602-AB4F-5151D06A331F}"/>
    <cellStyle name="20% - Accent6 2 2 12" xfId="8778" xr:uid="{52B17811-3D6C-4827-9CE5-7C441C0EF3D1}"/>
    <cellStyle name="20% - Accent6 2 2 2" xfId="44" xr:uid="{00000000-0005-0000-0000-000024030000}"/>
    <cellStyle name="20% - Accent6 2 2 2 10" xfId="18882" xr:uid="{F8F0D3B2-16B9-48D1-AD9C-28F0A71ADB12}"/>
    <cellStyle name="20% - Accent6 2 2 2 11" xfId="8779" xr:uid="{648FA987-F2FA-4619-9250-AD53F764C04B}"/>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A5364AB3-3BFB-4549-A14B-FE44C960B97B}"/>
    <cellStyle name="20% - Accent6 2 2 2 2 2 3" xfId="11338" xr:uid="{D14516FD-F128-4AF6-BC5D-AE3A42B181EA}"/>
    <cellStyle name="20% - Accent6 2 2 2 2 3" xfId="4961" xr:uid="{00000000-0005-0000-0000-000028030000}"/>
    <cellStyle name="20% - Accent6 2 2 2 2 3 2" xfId="13411" xr:uid="{B1E25E3B-B460-429C-81CF-48DF22B6C270}"/>
    <cellStyle name="20% - Accent6 2 2 2 2 4" xfId="17637" xr:uid="{4A728975-BA41-43CD-AB65-1B82B38D7C5C}"/>
    <cellStyle name="20% - Accent6 2 2 2 2 5" xfId="18469" xr:uid="{78343C25-BE24-474C-ABDF-07D75D24A414}"/>
    <cellStyle name="20% - Accent6 2 2 2 2 6" xfId="19298" xr:uid="{86B22391-5678-42AB-A621-47C0A7A39210}"/>
    <cellStyle name="20% - Accent6 2 2 2 2 7" xfId="9193" xr:uid="{B41D1A80-2D4A-4137-B037-55F5C39BAF28}"/>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E1AEB8D8-0ADD-4DDF-BBF9-176026702B8C}"/>
    <cellStyle name="20% - Accent6 2 2 2 3 2 3" xfId="11751" xr:uid="{33FE73B4-73CB-45F9-9855-3F28CCFA0835}"/>
    <cellStyle name="20% - Accent6 2 2 2 3 3" xfId="5374" xr:uid="{00000000-0005-0000-0000-00002C030000}"/>
    <cellStyle name="20% - Accent6 2 2 2 3 3 2" xfId="13824" xr:uid="{FC72C32A-6E67-4887-A72B-DA207E797268}"/>
    <cellStyle name="20% - Accent6 2 2 2 3 4" xfId="9606" xr:uid="{A770042A-4D85-4653-BB1E-380237A8CEFB}"/>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443F1BAF-7AAA-4FDF-969B-21489C5278F8}"/>
    <cellStyle name="20% - Accent6 2 2 2 4 2 3" xfId="12164" xr:uid="{E0696281-F477-4B33-A560-1BD365E1FC10}"/>
    <cellStyle name="20% - Accent6 2 2 2 4 3" xfId="5787" xr:uid="{00000000-0005-0000-0000-000030030000}"/>
    <cellStyle name="20% - Accent6 2 2 2 4 3 2" xfId="14237" xr:uid="{49E0BBAF-C2CD-46A3-8299-3FEB316BC124}"/>
    <cellStyle name="20% - Accent6 2 2 2 4 4" xfId="10019" xr:uid="{82A2CA02-BD08-455F-B502-08635EE5F281}"/>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86FAA334-9840-4094-87DA-0D018B4A2C8A}"/>
    <cellStyle name="20% - Accent6 2 2 2 5 2 3" xfId="12577" xr:uid="{8D91AF24-6A7F-4705-B0D5-D25EE7CFF3DD}"/>
    <cellStyle name="20% - Accent6 2 2 2 5 3" xfId="6200" xr:uid="{00000000-0005-0000-0000-000034030000}"/>
    <cellStyle name="20% - Accent6 2 2 2 5 3 2" xfId="14650" xr:uid="{E9DF5992-BD3C-49B6-A51D-982F8CC63FE8}"/>
    <cellStyle name="20% - Accent6 2 2 2 5 4" xfId="10432" xr:uid="{2DEBC307-E11B-44C3-8333-B973F3AE0FA0}"/>
    <cellStyle name="20% - Accent6 2 2 2 6" xfId="2307" xr:uid="{00000000-0005-0000-0000-000035030000}"/>
    <cellStyle name="20% - Accent6 2 2 2 6 2" xfId="6613" xr:uid="{00000000-0005-0000-0000-000036030000}"/>
    <cellStyle name="20% - Accent6 2 2 2 6 2 2" xfId="15063" xr:uid="{4E1C6F4F-BB9B-4DCE-9102-746558F5C5B9}"/>
    <cellStyle name="20% - Accent6 2 2 2 6 3" xfId="10845" xr:uid="{09444296-2F3A-4974-903E-02CACF1EF0EB}"/>
    <cellStyle name="20% - Accent6 2 2 2 7" xfId="4547" xr:uid="{00000000-0005-0000-0000-000037030000}"/>
    <cellStyle name="20% - Accent6 2 2 2 7 2" xfId="12997" xr:uid="{7205A069-6BFD-4149-AA56-C944D2C8B905}"/>
    <cellStyle name="20% - Accent6 2 2 2 8" xfId="17220" xr:uid="{FD2A453C-A73F-4E31-9366-9209486904A2}"/>
    <cellStyle name="20% - Accent6 2 2 2 9" xfId="18053" xr:uid="{8F163A03-96BC-4CCA-8196-03BAB82DB7A2}"/>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B3BB9EEA-7033-46D4-9568-80D4BD22DEBF}"/>
    <cellStyle name="20% - Accent6 2 2 3 2 3" xfId="11337" xr:uid="{B9AB4108-27CA-438D-B876-EB67BC1986F7}"/>
    <cellStyle name="20% - Accent6 2 2 3 3" xfId="4960" xr:uid="{00000000-0005-0000-0000-00003B030000}"/>
    <cellStyle name="20% - Accent6 2 2 3 3 2" xfId="13410" xr:uid="{0E971764-164C-4C5A-AA0E-FCB8F00C009A}"/>
    <cellStyle name="20% - Accent6 2 2 3 4" xfId="17636" xr:uid="{A1D67FA0-554F-4D82-83AB-C609F0DBA881}"/>
    <cellStyle name="20% - Accent6 2 2 3 5" xfId="18468" xr:uid="{0ADA0BE9-277F-44F1-9025-C4AE6F223842}"/>
    <cellStyle name="20% - Accent6 2 2 3 6" xfId="19297" xr:uid="{23DC8274-0638-4174-817C-3DBC94E2BAFC}"/>
    <cellStyle name="20% - Accent6 2 2 3 7" xfId="9192" xr:uid="{8B399197-2589-4825-887E-DFFDE17F61B4}"/>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9C868CEA-D61E-46A3-A326-70392295A350}"/>
    <cellStyle name="20% - Accent6 2 2 4 2 3" xfId="11750" xr:uid="{B59EC9C8-A5FC-470A-B0A3-4FA4E439E1B7}"/>
    <cellStyle name="20% - Accent6 2 2 4 3" xfId="5373" xr:uid="{00000000-0005-0000-0000-00003F030000}"/>
    <cellStyle name="20% - Accent6 2 2 4 3 2" xfId="13823" xr:uid="{B0CD90FC-3E62-4767-ABE5-1F64263AF417}"/>
    <cellStyle name="20% - Accent6 2 2 4 4" xfId="9605" xr:uid="{E23A1451-BFBB-404F-8C21-370B3833F0F8}"/>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8BAAA423-C91E-45EA-AB85-A5CE8B38D1FF}"/>
    <cellStyle name="20% - Accent6 2 2 5 2 3" xfId="12163" xr:uid="{6737A131-0AE9-4622-9C22-A0F376485574}"/>
    <cellStyle name="20% - Accent6 2 2 5 3" xfId="5786" xr:uid="{00000000-0005-0000-0000-000043030000}"/>
    <cellStyle name="20% - Accent6 2 2 5 3 2" xfId="14236" xr:uid="{5FA3B608-4A34-44C8-9BBC-667A5D70AE7E}"/>
    <cellStyle name="20% - Accent6 2 2 5 4" xfId="10018" xr:uid="{34D6C1D0-FFCB-4BDC-A85B-E7ACBE6BF2AF}"/>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B958ECDD-42F1-4321-9D5D-F790932DC7EB}"/>
    <cellStyle name="20% - Accent6 2 2 6 2 3" xfId="12576" xr:uid="{1C29D29F-2050-43B3-AACA-2D313FEA52DE}"/>
    <cellStyle name="20% - Accent6 2 2 6 3" xfId="6199" xr:uid="{00000000-0005-0000-0000-000047030000}"/>
    <cellStyle name="20% - Accent6 2 2 6 3 2" xfId="14649" xr:uid="{62DD40ED-D55B-4C77-BCC4-560605BD3F53}"/>
    <cellStyle name="20% - Accent6 2 2 6 4" xfId="10431" xr:uid="{75EEE3FF-CBFA-4B0A-B96F-961E3A7DF354}"/>
    <cellStyle name="20% - Accent6 2 2 7" xfId="2306" xr:uid="{00000000-0005-0000-0000-000048030000}"/>
    <cellStyle name="20% - Accent6 2 2 7 2" xfId="6612" xr:uid="{00000000-0005-0000-0000-000049030000}"/>
    <cellStyle name="20% - Accent6 2 2 7 2 2" xfId="15062" xr:uid="{FC5A3A26-0FE8-40D0-AEDC-61E9E2A170D8}"/>
    <cellStyle name="20% - Accent6 2 2 7 3" xfId="10844" xr:uid="{6254C5EA-41BA-479D-8787-3DBD90360A5E}"/>
    <cellStyle name="20% - Accent6 2 2 8" xfId="4546" xr:uid="{00000000-0005-0000-0000-00004A030000}"/>
    <cellStyle name="20% - Accent6 2 2 8 2" xfId="12996" xr:uid="{3E2815D1-D1A6-436A-B376-14C3A1A84317}"/>
    <cellStyle name="20% - Accent6 2 2 9" xfId="17219" xr:uid="{9B331EA5-7D54-44A0-B79F-904FC605F64F}"/>
    <cellStyle name="20% - Accent6 2 3" xfId="45" xr:uid="{00000000-0005-0000-0000-00004B030000}"/>
    <cellStyle name="20% - Accent6 2 3 10" xfId="18883" xr:uid="{A6AD3225-EBAE-4B32-B739-18E15186DBAA}"/>
    <cellStyle name="20% - Accent6 2 3 11" xfId="8780" xr:uid="{83A7EDE3-5A1D-44FD-9A98-64922447AB16}"/>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FC6EE380-3C78-41DD-AA66-F5994A4D1ED8}"/>
    <cellStyle name="20% - Accent6 2 3 2 2 3" xfId="11339" xr:uid="{12464DFF-87CF-4980-8BB9-A8F9492F646C}"/>
    <cellStyle name="20% - Accent6 2 3 2 3" xfId="4962" xr:uid="{00000000-0005-0000-0000-00004F030000}"/>
    <cellStyle name="20% - Accent6 2 3 2 3 2" xfId="13412" xr:uid="{AB8FCB89-503C-49BA-BAFA-3D8AB5EAF6E5}"/>
    <cellStyle name="20% - Accent6 2 3 2 4" xfId="17638" xr:uid="{67EF12E5-A835-44CE-9314-0B198CFE0526}"/>
    <cellStyle name="20% - Accent6 2 3 2 5" xfId="18470" xr:uid="{A909032F-06CE-44FC-99A1-A3DB55A717EB}"/>
    <cellStyle name="20% - Accent6 2 3 2 6" xfId="19299" xr:uid="{91D6F62A-7A92-4930-9910-2DD052DB8650}"/>
    <cellStyle name="20% - Accent6 2 3 2 7" xfId="9194" xr:uid="{5D70A724-9002-41CC-835C-E5723693BA0B}"/>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8C4AD8A7-6BA8-406F-B073-391EB2BFB2BE}"/>
    <cellStyle name="20% - Accent6 2 3 3 2 3" xfId="11752" xr:uid="{6E57B702-B04A-4205-BCBB-DF84D42B60E5}"/>
    <cellStyle name="20% - Accent6 2 3 3 3" xfId="5375" xr:uid="{00000000-0005-0000-0000-000053030000}"/>
    <cellStyle name="20% - Accent6 2 3 3 3 2" xfId="13825" xr:uid="{AE8FB1DE-BD5F-4C51-8A37-582F1C8D5F1E}"/>
    <cellStyle name="20% - Accent6 2 3 3 4" xfId="9607" xr:uid="{00A74AA8-AFAD-4509-B7E4-6A5F2C7664C2}"/>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D6E5F775-93F2-4883-AE4B-79E265FE499F}"/>
    <cellStyle name="20% - Accent6 2 3 4 2 3" xfId="12165" xr:uid="{CA1EE039-0F06-4FA1-A087-513B5A847489}"/>
    <cellStyle name="20% - Accent6 2 3 4 3" xfId="5788" xr:uid="{00000000-0005-0000-0000-000057030000}"/>
    <cellStyle name="20% - Accent6 2 3 4 3 2" xfId="14238" xr:uid="{5C1FFED6-316A-4BC0-A2E0-FD2FB36DE385}"/>
    <cellStyle name="20% - Accent6 2 3 4 4" xfId="10020" xr:uid="{00872A74-78C8-4269-8AA1-7B60D1C79510}"/>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B2418A8C-1A04-44AC-AAF9-1AA45EC5E563}"/>
    <cellStyle name="20% - Accent6 2 3 5 2 3" xfId="12578" xr:uid="{4355E748-64F3-421A-99C7-13D8F3FF7E60}"/>
    <cellStyle name="20% - Accent6 2 3 5 3" xfId="6201" xr:uid="{00000000-0005-0000-0000-00005B030000}"/>
    <cellStyle name="20% - Accent6 2 3 5 3 2" xfId="14651" xr:uid="{0751671C-4B38-48CA-8B81-72D51CBF0571}"/>
    <cellStyle name="20% - Accent6 2 3 5 4" xfId="10433" xr:uid="{7CCA4F9F-04BA-41DA-B8B7-C0A7331023CF}"/>
    <cellStyle name="20% - Accent6 2 3 6" xfId="2308" xr:uid="{00000000-0005-0000-0000-00005C030000}"/>
    <cellStyle name="20% - Accent6 2 3 6 2" xfId="6614" xr:uid="{00000000-0005-0000-0000-00005D030000}"/>
    <cellStyle name="20% - Accent6 2 3 6 2 2" xfId="15064" xr:uid="{E7961CA8-0627-4BCA-B141-75895EF858F6}"/>
    <cellStyle name="20% - Accent6 2 3 6 3" xfId="10846" xr:uid="{7D54108D-3A36-401A-9F3B-42B58B016F7F}"/>
    <cellStyle name="20% - Accent6 2 3 7" xfId="4548" xr:uid="{00000000-0005-0000-0000-00005E030000}"/>
    <cellStyle name="20% - Accent6 2 3 7 2" xfId="12998" xr:uid="{019A690F-9575-4B75-BE44-373176BC0930}"/>
    <cellStyle name="20% - Accent6 2 3 8" xfId="17221" xr:uid="{4AB86124-CC60-4F38-8249-5D4936594C43}"/>
    <cellStyle name="20% - Accent6 2 3 9" xfId="18054" xr:uid="{A8A22196-0210-4069-B852-127FE231D93F}"/>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A3DB4E34-4E53-4600-8115-BF2F142A63C3}"/>
    <cellStyle name="20% - Accent6 2 4 2 3" xfId="11336" xr:uid="{C22AAC48-B95A-4C4B-9B9D-9B531762539C}"/>
    <cellStyle name="20% - Accent6 2 4 3" xfId="4959" xr:uid="{00000000-0005-0000-0000-000062030000}"/>
    <cellStyle name="20% - Accent6 2 4 3 2" xfId="13409" xr:uid="{7A163594-85F3-47C1-966B-8E19A66474CF}"/>
    <cellStyle name="20% - Accent6 2 4 4" xfId="17635" xr:uid="{FE683322-0732-4B1F-84C5-FA598CF4D940}"/>
    <cellStyle name="20% - Accent6 2 4 5" xfId="18467" xr:uid="{FC9860AE-242D-4E5B-B223-01F821D5E0E7}"/>
    <cellStyle name="20% - Accent6 2 4 6" xfId="19296" xr:uid="{A70F6DEE-68D8-4DE6-AA5E-D022ADC0CBF5}"/>
    <cellStyle name="20% - Accent6 2 4 7" xfId="9191" xr:uid="{758C7DAE-BF38-41B9-B77E-ED99C8AAFA28}"/>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E429884F-3321-4AAC-B46C-AA47ACA9D721}"/>
    <cellStyle name="20% - Accent6 2 5 2 3" xfId="11749" xr:uid="{42775BF9-9479-4039-98CC-9EE7A1412994}"/>
    <cellStyle name="20% - Accent6 2 5 3" xfId="5372" xr:uid="{00000000-0005-0000-0000-000066030000}"/>
    <cellStyle name="20% - Accent6 2 5 3 2" xfId="13822" xr:uid="{C7063B37-2E9C-4520-8BE8-FB7785AA3F8D}"/>
    <cellStyle name="20% - Accent6 2 5 4" xfId="9604" xr:uid="{DCEB280F-0216-4B62-A1D2-67D4BFF2A391}"/>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0FE0CE18-AB1F-4CAE-8C6E-C76C0BE909E1}"/>
    <cellStyle name="20% - Accent6 2 6 2 3" xfId="12162" xr:uid="{FC1D98FC-E7A1-4134-AF11-99F006E72EDC}"/>
    <cellStyle name="20% - Accent6 2 6 3" xfId="5785" xr:uid="{00000000-0005-0000-0000-00006A030000}"/>
    <cellStyle name="20% - Accent6 2 6 3 2" xfId="14235" xr:uid="{EC704E7D-A7E1-4FFC-AAD7-31AE81979DD8}"/>
    <cellStyle name="20% - Accent6 2 6 4" xfId="10017" xr:uid="{7FFAA4C9-3E88-4F74-83AB-DA886AFEC056}"/>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7F94D89B-3923-47CB-8D48-648A4679F238}"/>
    <cellStyle name="20% - Accent6 2 7 2 3" xfId="12575" xr:uid="{5FE26B0F-2968-476A-993A-BCDD6C39C07C}"/>
    <cellStyle name="20% - Accent6 2 7 3" xfId="6198" xr:uid="{00000000-0005-0000-0000-00006E030000}"/>
    <cellStyle name="20% - Accent6 2 7 3 2" xfId="14648" xr:uid="{56D55D25-6B8A-49DF-A4D0-FE9490C79A32}"/>
    <cellStyle name="20% - Accent6 2 7 4" xfId="10430" xr:uid="{F66A2537-9870-45D5-8924-1271E3738798}"/>
    <cellStyle name="20% - Accent6 2 8" xfId="2305" xr:uid="{00000000-0005-0000-0000-00006F030000}"/>
    <cellStyle name="20% - Accent6 2 8 2" xfId="6611" xr:uid="{00000000-0005-0000-0000-000070030000}"/>
    <cellStyle name="20% - Accent6 2 8 2 2" xfId="15061" xr:uid="{02D7D9E1-0794-46D6-A87E-73956E33D2CF}"/>
    <cellStyle name="20% - Accent6 2 8 3" xfId="10843" xr:uid="{90D422C2-DFBE-4E16-876F-84EBAC5C3EE5}"/>
    <cellStyle name="20% - Accent6 2 9" xfId="4545" xr:uid="{00000000-0005-0000-0000-000071030000}"/>
    <cellStyle name="20% - Accent6 2 9 2" xfId="12995" xr:uid="{E0115205-F943-4926-88CD-C5A688FC2E35}"/>
    <cellStyle name="20% - Accent6 3" xfId="46" xr:uid="{00000000-0005-0000-0000-000072030000}"/>
    <cellStyle name="20% - Accent6 3 10" xfId="18055" xr:uid="{7CFCDD0E-7F4F-431F-A128-D862186C0E70}"/>
    <cellStyle name="20% - Accent6 3 11" xfId="18884" xr:uid="{F9AB8EE3-D84E-4021-9F96-91C1E44B7EC5}"/>
    <cellStyle name="20% - Accent6 3 12" xfId="8781" xr:uid="{F6FA63FA-037C-4AF9-927B-2AE383055958}"/>
    <cellStyle name="20% - Accent6 3 2" xfId="47" xr:uid="{00000000-0005-0000-0000-000073030000}"/>
    <cellStyle name="20% - Accent6 3 2 10" xfId="18885" xr:uid="{86CE8DE0-E45E-48B0-BF3C-80C347C81A74}"/>
    <cellStyle name="20% - Accent6 3 2 11" xfId="8782" xr:uid="{42172CD1-A512-4C3D-BCAB-91361DC51AF2}"/>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F1715A4F-E30D-408E-ACC0-2860EB6DCF76}"/>
    <cellStyle name="20% - Accent6 3 2 2 2 3" xfId="11341" xr:uid="{E8EDF148-598B-4EE5-892A-AFF877F3CD27}"/>
    <cellStyle name="20% - Accent6 3 2 2 3" xfId="4964" xr:uid="{00000000-0005-0000-0000-000077030000}"/>
    <cellStyle name="20% - Accent6 3 2 2 3 2" xfId="13414" xr:uid="{4A8B2E1E-2A82-4911-B592-CF33F12CCB93}"/>
    <cellStyle name="20% - Accent6 3 2 2 4" xfId="17640" xr:uid="{0581069F-4026-4858-98E6-2D1CCC64D4D9}"/>
    <cellStyle name="20% - Accent6 3 2 2 5" xfId="18472" xr:uid="{A490B76D-B6E8-4D06-8879-D50815EA1035}"/>
    <cellStyle name="20% - Accent6 3 2 2 6" xfId="19301" xr:uid="{CB5116FE-80CE-48B0-A945-F93B7A9ECBAB}"/>
    <cellStyle name="20% - Accent6 3 2 2 7" xfId="9196" xr:uid="{31053997-DC22-4895-9235-953A976FBFD5}"/>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62D56760-0833-4926-91E3-3F5514F8179D}"/>
    <cellStyle name="20% - Accent6 3 2 3 2 3" xfId="11754" xr:uid="{6704B14F-7E5E-41A8-B709-AA2E34DB1C36}"/>
    <cellStyle name="20% - Accent6 3 2 3 3" xfId="5377" xr:uid="{00000000-0005-0000-0000-00007B030000}"/>
    <cellStyle name="20% - Accent6 3 2 3 3 2" xfId="13827" xr:uid="{284585AE-9572-47D1-9C62-64604AE14A74}"/>
    <cellStyle name="20% - Accent6 3 2 3 4" xfId="9609" xr:uid="{3AE594D0-9691-46DA-AF35-0DB95B164CD7}"/>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0B7D8D89-7F4E-4C9B-BB9E-84F17D34880F}"/>
    <cellStyle name="20% - Accent6 3 2 4 2 3" xfId="12167" xr:uid="{C4515993-16C7-489E-96C6-2ED961FA2C6C}"/>
    <cellStyle name="20% - Accent6 3 2 4 3" xfId="5790" xr:uid="{00000000-0005-0000-0000-00007F030000}"/>
    <cellStyle name="20% - Accent6 3 2 4 3 2" xfId="14240" xr:uid="{7EFD4DDE-2503-4DE3-8AB9-C412C91D115A}"/>
    <cellStyle name="20% - Accent6 3 2 4 4" xfId="10022" xr:uid="{599BD9AD-5672-44C7-AEDD-B26D1E83F21D}"/>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7A7EEC03-1273-487E-8CD9-1C70E3AAE57C}"/>
    <cellStyle name="20% - Accent6 3 2 5 2 3" xfId="12580" xr:uid="{72F697FC-676D-4CEF-BA7E-E85DD7CA0DB8}"/>
    <cellStyle name="20% - Accent6 3 2 5 3" xfId="6203" xr:uid="{00000000-0005-0000-0000-000083030000}"/>
    <cellStyle name="20% - Accent6 3 2 5 3 2" xfId="14653" xr:uid="{6C6FCCA5-D20F-4523-BA75-AA47A54F2D42}"/>
    <cellStyle name="20% - Accent6 3 2 5 4" xfId="10435" xr:uid="{D5835289-9074-494C-AD34-79F97A6FC9A0}"/>
    <cellStyle name="20% - Accent6 3 2 6" xfId="2310" xr:uid="{00000000-0005-0000-0000-000084030000}"/>
    <cellStyle name="20% - Accent6 3 2 6 2" xfId="6616" xr:uid="{00000000-0005-0000-0000-000085030000}"/>
    <cellStyle name="20% - Accent6 3 2 6 2 2" xfId="15066" xr:uid="{DDF30FFE-886C-4F5A-A411-0D667DB87122}"/>
    <cellStyle name="20% - Accent6 3 2 6 3" xfId="10848" xr:uid="{A896D54F-93A7-42C4-946B-AD590BD8CE95}"/>
    <cellStyle name="20% - Accent6 3 2 7" xfId="4550" xr:uid="{00000000-0005-0000-0000-000086030000}"/>
    <cellStyle name="20% - Accent6 3 2 7 2" xfId="13000" xr:uid="{8F84B39D-ED48-4974-AF43-E32346D6EFD2}"/>
    <cellStyle name="20% - Accent6 3 2 8" xfId="17223" xr:uid="{4AA3A09F-1DD8-402C-85B5-562FE3405C3A}"/>
    <cellStyle name="20% - Accent6 3 2 9" xfId="18056" xr:uid="{D61812CF-2AF6-4ABD-8B13-282116B33960}"/>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5282BBDF-3ED9-4179-AC4E-0E8C66FE234E}"/>
    <cellStyle name="20% - Accent6 3 3 2 3" xfId="11340" xr:uid="{D7489B63-8510-4047-96FF-9CA83EDC7460}"/>
    <cellStyle name="20% - Accent6 3 3 3" xfId="4963" xr:uid="{00000000-0005-0000-0000-00008A030000}"/>
    <cellStyle name="20% - Accent6 3 3 3 2" xfId="13413" xr:uid="{328331A7-EED3-48EF-997B-152244238F9B}"/>
    <cellStyle name="20% - Accent6 3 3 4" xfId="17639" xr:uid="{5108D442-1A26-46CC-9CA2-5F1BC099BD6E}"/>
    <cellStyle name="20% - Accent6 3 3 5" xfId="18471" xr:uid="{6582C88F-7799-4CDE-91E1-5962CA09C182}"/>
    <cellStyle name="20% - Accent6 3 3 6" xfId="19300" xr:uid="{1286EAA2-28C2-444D-AAD8-B0BE56E75FD8}"/>
    <cellStyle name="20% - Accent6 3 3 7" xfId="9195" xr:uid="{FBDCCA7B-D111-43FB-94C3-409294EE19D4}"/>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D81C55AD-CB02-4824-BE7C-3FBF40C5A0A4}"/>
    <cellStyle name="20% - Accent6 3 4 2 3" xfId="11753" xr:uid="{05DE844E-C747-46F0-9C90-601B39DA6BAF}"/>
    <cellStyle name="20% - Accent6 3 4 3" xfId="5376" xr:uid="{00000000-0005-0000-0000-00008E030000}"/>
    <cellStyle name="20% - Accent6 3 4 3 2" xfId="13826" xr:uid="{88DB1CD0-83A6-4F1A-B763-5E61889E6F7E}"/>
    <cellStyle name="20% - Accent6 3 4 4" xfId="9608" xr:uid="{12CA0E7D-29AE-479A-BE89-5A7C316B43B6}"/>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D7D7D0B9-4BD8-44D4-8E92-00567E4206EB}"/>
    <cellStyle name="20% - Accent6 3 5 2 3" xfId="12166" xr:uid="{B43DFFCC-C915-4782-BFC3-1EB817A0E9BC}"/>
    <cellStyle name="20% - Accent6 3 5 3" xfId="5789" xr:uid="{00000000-0005-0000-0000-000092030000}"/>
    <cellStyle name="20% - Accent6 3 5 3 2" xfId="14239" xr:uid="{2897CC67-8BAD-4C85-9EE1-6946C8FC35DD}"/>
    <cellStyle name="20% - Accent6 3 5 4" xfId="10021" xr:uid="{27645381-E563-4ACF-AE13-45A6DCE45F81}"/>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DDBF2279-2CF4-4D66-AFB2-6B3103C9BFF5}"/>
    <cellStyle name="20% - Accent6 3 6 2 3" xfId="12579" xr:uid="{08DA830C-DF3E-4C68-A83A-3962DDAE2306}"/>
    <cellStyle name="20% - Accent6 3 6 3" xfId="6202" xr:uid="{00000000-0005-0000-0000-000096030000}"/>
    <cellStyle name="20% - Accent6 3 6 3 2" xfId="14652" xr:uid="{A980D7DF-3AA0-4741-9899-CD9FB2911E83}"/>
    <cellStyle name="20% - Accent6 3 6 4" xfId="10434" xr:uid="{69E0C1E0-0030-414B-9209-95571975F67E}"/>
    <cellStyle name="20% - Accent6 3 7" xfId="2309" xr:uid="{00000000-0005-0000-0000-000097030000}"/>
    <cellStyle name="20% - Accent6 3 7 2" xfId="6615" xr:uid="{00000000-0005-0000-0000-000098030000}"/>
    <cellStyle name="20% - Accent6 3 7 2 2" xfId="15065" xr:uid="{A6B5A71C-C82C-405D-9F05-CFC56C195231}"/>
    <cellStyle name="20% - Accent6 3 7 3" xfId="10847" xr:uid="{329C92A5-F70B-40E6-8D37-C00AFF9C0C85}"/>
    <cellStyle name="20% - Accent6 3 8" xfId="4549" xr:uid="{00000000-0005-0000-0000-000099030000}"/>
    <cellStyle name="20% - Accent6 3 8 2" xfId="12999" xr:uid="{FDFF9A00-EF67-4DDE-BBF3-469ED55D357D}"/>
    <cellStyle name="20% - Accent6 3 9" xfId="17222" xr:uid="{2C1B538A-20E3-4276-8BFA-C6B50F5654C0}"/>
    <cellStyle name="20% - Accent6 4" xfId="48" xr:uid="{00000000-0005-0000-0000-00009A030000}"/>
    <cellStyle name="20% - Accent6 4 10" xfId="18886" xr:uid="{93C82AC6-B2EE-44B6-B25F-8499D9B88480}"/>
    <cellStyle name="20% - Accent6 4 11" xfId="8783" xr:uid="{F93CB501-173B-4732-B901-3A0F63993799}"/>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14FE3E37-3D62-48EA-903E-21BDB08A22D4}"/>
    <cellStyle name="20% - Accent6 4 2 2 3" xfId="11342" xr:uid="{B27C109D-2BEB-4D6A-BA64-A05BA3712151}"/>
    <cellStyle name="20% - Accent6 4 2 3" xfId="4965" xr:uid="{00000000-0005-0000-0000-00009E030000}"/>
    <cellStyle name="20% - Accent6 4 2 3 2" xfId="13415" xr:uid="{58424BFE-3992-426A-9487-EBB87FEBC0BF}"/>
    <cellStyle name="20% - Accent6 4 2 4" xfId="17641" xr:uid="{F10238BF-730E-46C3-92ED-E155D3967794}"/>
    <cellStyle name="20% - Accent6 4 2 5" xfId="18473" xr:uid="{4DFBEC2D-611C-486F-B941-2EF6BCB0707B}"/>
    <cellStyle name="20% - Accent6 4 2 6" xfId="19302" xr:uid="{CBDA92B3-5C84-4BF7-BF8A-C407E0B78732}"/>
    <cellStyle name="20% - Accent6 4 2 7" xfId="9197" xr:uid="{130842F0-FB07-4E33-B6E2-9C4BD248376A}"/>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EC0C6C55-C94D-48BB-98E3-D0AA1D3433ED}"/>
    <cellStyle name="20% - Accent6 4 3 2 3" xfId="11755" xr:uid="{29DF58D7-0419-4017-B0DF-3DFACF1D370F}"/>
    <cellStyle name="20% - Accent6 4 3 3" xfId="5378" xr:uid="{00000000-0005-0000-0000-0000A2030000}"/>
    <cellStyle name="20% - Accent6 4 3 3 2" xfId="13828" xr:uid="{7886CD07-BFC9-4E57-A2D5-EF5C97DC1770}"/>
    <cellStyle name="20% - Accent6 4 3 4" xfId="9610" xr:uid="{53FA6808-BC8E-404A-A3BF-2BEBF752F5F2}"/>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A5349738-C547-4190-B73C-024CAE504DE0}"/>
    <cellStyle name="20% - Accent6 4 4 2 3" xfId="12168" xr:uid="{F7B36A9F-3937-4975-9BB9-110A8D24E07E}"/>
    <cellStyle name="20% - Accent6 4 4 3" xfId="5791" xr:uid="{00000000-0005-0000-0000-0000A6030000}"/>
    <cellStyle name="20% - Accent6 4 4 3 2" xfId="14241" xr:uid="{0E810F68-1A37-453D-9555-71B08968965D}"/>
    <cellStyle name="20% - Accent6 4 4 4" xfId="10023" xr:uid="{EB2CDC8F-AC67-4B03-B25A-CBB79EB1CC7A}"/>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AC6D45EA-A23A-4718-83D8-241DD0EF0AF6}"/>
    <cellStyle name="20% - Accent6 4 5 2 3" xfId="12581" xr:uid="{61E9BBF2-56A3-4B76-B51A-C6A44C4FDF72}"/>
    <cellStyle name="20% - Accent6 4 5 3" xfId="6204" xr:uid="{00000000-0005-0000-0000-0000AA030000}"/>
    <cellStyle name="20% - Accent6 4 5 3 2" xfId="14654" xr:uid="{40CE5866-B0DA-49DE-9D68-8D38A46B953D}"/>
    <cellStyle name="20% - Accent6 4 5 4" xfId="10436" xr:uid="{1CA1033E-C037-4DD5-9E71-5BE6FB7B3EE2}"/>
    <cellStyle name="20% - Accent6 4 6" xfId="2311" xr:uid="{00000000-0005-0000-0000-0000AB030000}"/>
    <cellStyle name="20% - Accent6 4 6 2" xfId="6617" xr:uid="{00000000-0005-0000-0000-0000AC030000}"/>
    <cellStyle name="20% - Accent6 4 6 2 2" xfId="15067" xr:uid="{2085D955-E955-4020-AAE9-64DF8625F8CB}"/>
    <cellStyle name="20% - Accent6 4 6 3" xfId="10849" xr:uid="{BA23AC0A-35F5-418E-AABA-7A658291D2ED}"/>
    <cellStyle name="20% - Accent6 4 7" xfId="4551" xr:uid="{00000000-0005-0000-0000-0000AD030000}"/>
    <cellStyle name="20% - Accent6 4 7 2" xfId="13001" xr:uid="{7B092B81-E8D4-487C-BFDA-4C7796085CA1}"/>
    <cellStyle name="20% - Accent6 4 8" xfId="17224" xr:uid="{106D49C3-AE83-4EA6-B27A-B83F7D52F449}"/>
    <cellStyle name="20% - Accent6 4 9" xfId="18057" xr:uid="{BC938F5E-333E-486B-A5EC-725941F7260E}"/>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015EFAAE-926E-4D6A-BD3E-BF5754036E64}"/>
    <cellStyle name="20% - Accent6 5 2 3" xfId="11335" xr:uid="{FE9C1085-0C6E-4C52-AA6A-BFE12A27B1AE}"/>
    <cellStyle name="20% - Accent6 5 3" xfId="4958" xr:uid="{00000000-0005-0000-0000-0000B1030000}"/>
    <cellStyle name="20% - Accent6 5 3 2" xfId="13408" xr:uid="{0996AD22-6E57-4CE0-9DFD-1749F5BC6B39}"/>
    <cellStyle name="20% - Accent6 5 4" xfId="17634" xr:uid="{675C12AB-1385-42FF-8D7D-D8879A5A0AE1}"/>
    <cellStyle name="20% - Accent6 5 5" xfId="18466" xr:uid="{D9DFA995-73FC-4697-9116-D7CA335546CB}"/>
    <cellStyle name="20% - Accent6 5 6" xfId="19295" xr:uid="{B7D9DB66-9061-4F84-88B9-E94C8A5FADCF}"/>
    <cellStyle name="20% - Accent6 5 7" xfId="9190" xr:uid="{F9B2828E-4D94-488F-AFA2-A7CE92100A61}"/>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2E447120-7112-49AD-AAF2-2D4BA92C1338}"/>
    <cellStyle name="20% - Accent6 6 2 3" xfId="11748" xr:uid="{D7ECC3CF-9E7F-4DB5-893A-C0C8C73FA76F}"/>
    <cellStyle name="20% - Accent6 6 3" xfId="5371" xr:uid="{00000000-0005-0000-0000-0000B5030000}"/>
    <cellStyle name="20% - Accent6 6 3 2" xfId="13821" xr:uid="{B01824F9-3AC0-45A7-870F-5D756E0F74D1}"/>
    <cellStyle name="20% - Accent6 6 4" xfId="9603" xr:uid="{09A7AB73-BB0A-4D9B-9728-468A430B9D60}"/>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7E0F39D4-14FC-4D52-BEF0-5562D7FC3F25}"/>
    <cellStyle name="20% - Accent6 7 2 3" xfId="12161" xr:uid="{CD6E7D14-0B5D-4002-AD6C-F4BB238004FF}"/>
    <cellStyle name="20% - Accent6 7 3" xfId="5784" xr:uid="{00000000-0005-0000-0000-0000B9030000}"/>
    <cellStyle name="20% - Accent6 7 3 2" xfId="14234" xr:uid="{1782771C-9FD8-4A24-8C65-E9B7699FEDE8}"/>
    <cellStyle name="20% - Accent6 7 4" xfId="10016" xr:uid="{069186CE-820B-4BFF-A460-BB2B8033332D}"/>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8A08C79E-37EA-4CA0-AE2E-2705C29EA701}"/>
    <cellStyle name="20% - Accent6 8 2 3" xfId="12574" xr:uid="{1D4827DC-BBEE-428D-B072-E6D2BE6AF31E}"/>
    <cellStyle name="20% - Accent6 8 3" xfId="6197" xr:uid="{00000000-0005-0000-0000-0000BD030000}"/>
    <cellStyle name="20% - Accent6 8 3 2" xfId="14647" xr:uid="{683020B1-DA4E-4DF0-BEC5-92D0190DD242}"/>
    <cellStyle name="20% - Accent6 8 4" xfId="10429" xr:uid="{62978F01-6115-4A4D-9C13-88215B68447E}"/>
    <cellStyle name="20% - Accent6 9" xfId="2304" xr:uid="{00000000-0005-0000-0000-0000BE030000}"/>
    <cellStyle name="20% - Accent6 9 2" xfId="6610" xr:uid="{00000000-0005-0000-0000-0000BF030000}"/>
    <cellStyle name="20% - Accent6 9 2 2" xfId="15060" xr:uid="{4BD0F9A3-4F7A-44E6-8D6E-806ED464A64B}"/>
    <cellStyle name="20% - Accent6 9 3" xfId="10842" xr:uid="{9D7787B2-EA18-4E01-B953-7329975C5237}"/>
    <cellStyle name="40% - Accent1" xfId="49" builtinId="31" customBuiltin="1"/>
    <cellStyle name="40% - Accent1 10" xfId="4552" xr:uid="{00000000-0005-0000-0000-0000C1030000}"/>
    <cellStyle name="40% - Accent1 10 2" xfId="13002" xr:uid="{50C1D85C-D8D6-41FC-9DEB-77EC8FD7366E}"/>
    <cellStyle name="40% - Accent1 11" xfId="17225" xr:uid="{DD051676-49E0-4B33-8CBD-E4B1BFCEA144}"/>
    <cellStyle name="40% - Accent1 12" xfId="18058" xr:uid="{51D85D81-C411-439F-940B-542E6FB4D95B}"/>
    <cellStyle name="40% - Accent1 13" xfId="18887" xr:uid="{42445C21-FCD4-4F38-90DC-7ECEF388D9FD}"/>
    <cellStyle name="40% - Accent1 14" xfId="8784" xr:uid="{6CB2EBAC-39AA-47E3-A464-24D77AA1F63D}"/>
    <cellStyle name="40% - Accent1 2" xfId="50" xr:uid="{00000000-0005-0000-0000-0000C2030000}"/>
    <cellStyle name="40% - Accent1 2 10" xfId="17226" xr:uid="{C7FADCAA-7154-4B03-B5B9-61460ED4B78D}"/>
    <cellStyle name="40% - Accent1 2 11" xfId="18059" xr:uid="{97A20136-B68F-44C3-962D-B1F2E868F75E}"/>
    <cellStyle name="40% - Accent1 2 12" xfId="18888" xr:uid="{A4E4592B-96E6-4129-B67E-5C59CE9A1421}"/>
    <cellStyle name="40% - Accent1 2 13" xfId="8785" xr:uid="{5E270329-0CF5-4633-8261-E7F8428AC6BE}"/>
    <cellStyle name="40% - Accent1 2 2" xfId="51" xr:uid="{00000000-0005-0000-0000-0000C3030000}"/>
    <cellStyle name="40% - Accent1 2 2 10" xfId="18060" xr:uid="{96DD462B-FAF5-4EBF-937C-F279853E8629}"/>
    <cellStyle name="40% - Accent1 2 2 11" xfId="18889" xr:uid="{5FD82C25-EC60-48BB-98DE-82C39DA2E006}"/>
    <cellStyle name="40% - Accent1 2 2 12" xfId="8786" xr:uid="{FFA93AFA-03A5-4D31-BEF3-BA63AF0DABD5}"/>
    <cellStyle name="40% - Accent1 2 2 2" xfId="52" xr:uid="{00000000-0005-0000-0000-0000C4030000}"/>
    <cellStyle name="40% - Accent1 2 2 2 10" xfId="18890" xr:uid="{E8165E8F-CC09-485E-AEF7-37975C585DEC}"/>
    <cellStyle name="40% - Accent1 2 2 2 11" xfId="8787" xr:uid="{826F83B3-A302-45DA-AC69-B912E01CD97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11DA9736-8B04-4685-96CA-6A3126059E89}"/>
    <cellStyle name="40% - Accent1 2 2 2 2 2 3" xfId="11346" xr:uid="{447F2EC7-C416-44C5-875B-FE9AA32D011A}"/>
    <cellStyle name="40% - Accent1 2 2 2 2 3" xfId="4969" xr:uid="{00000000-0005-0000-0000-0000C8030000}"/>
    <cellStyle name="40% - Accent1 2 2 2 2 3 2" xfId="13419" xr:uid="{93C67561-FFAC-40BC-89BF-FB9C01D51740}"/>
    <cellStyle name="40% - Accent1 2 2 2 2 4" xfId="17645" xr:uid="{FE09325A-FC08-4F41-A024-FAF0856CE3F4}"/>
    <cellStyle name="40% - Accent1 2 2 2 2 5" xfId="18477" xr:uid="{CB81C510-3023-44C8-B939-A7AD47FFE317}"/>
    <cellStyle name="40% - Accent1 2 2 2 2 6" xfId="19306" xr:uid="{8AE5FA09-D809-4A1F-89BD-B854E826D139}"/>
    <cellStyle name="40% - Accent1 2 2 2 2 7" xfId="9201" xr:uid="{E7BA67E5-44A4-4303-B339-64FC3A842CC2}"/>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0AE4C7AA-F1B8-4C6D-BE76-8D4FEC61488A}"/>
    <cellStyle name="40% - Accent1 2 2 2 3 2 3" xfId="11759" xr:uid="{CAB1533B-7FDA-4209-A497-471B087DA3BF}"/>
    <cellStyle name="40% - Accent1 2 2 2 3 3" xfId="5382" xr:uid="{00000000-0005-0000-0000-0000CC030000}"/>
    <cellStyle name="40% - Accent1 2 2 2 3 3 2" xfId="13832" xr:uid="{7C5C4AEF-AB2B-409F-93D6-33E0B7543463}"/>
    <cellStyle name="40% - Accent1 2 2 2 3 4" xfId="9614" xr:uid="{262A9785-E8E1-47EC-BF11-9A9A7BAAAB89}"/>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F5029D7E-A7AD-4DD8-9AC8-11E60536FE4C}"/>
    <cellStyle name="40% - Accent1 2 2 2 4 2 3" xfId="12172" xr:uid="{AF144025-51B3-42E8-91E0-A3902F7A0849}"/>
    <cellStyle name="40% - Accent1 2 2 2 4 3" xfId="5795" xr:uid="{00000000-0005-0000-0000-0000D0030000}"/>
    <cellStyle name="40% - Accent1 2 2 2 4 3 2" xfId="14245" xr:uid="{BEF8B2D2-C0B5-47C9-B022-901083CA1A57}"/>
    <cellStyle name="40% - Accent1 2 2 2 4 4" xfId="10027" xr:uid="{686B2B2E-A3EF-47A7-BE09-D34A3F52ACE6}"/>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7E1EBCD4-E3D1-43D7-B12D-6D917FB7FA28}"/>
    <cellStyle name="40% - Accent1 2 2 2 5 2 3" xfId="12585" xr:uid="{901560BB-47CC-4095-9C7F-FCE9A81103C6}"/>
    <cellStyle name="40% - Accent1 2 2 2 5 3" xfId="6208" xr:uid="{00000000-0005-0000-0000-0000D4030000}"/>
    <cellStyle name="40% - Accent1 2 2 2 5 3 2" xfId="14658" xr:uid="{8564B188-B4A0-4F24-9EB8-F102C06FC543}"/>
    <cellStyle name="40% - Accent1 2 2 2 5 4" xfId="10440" xr:uid="{648B9058-8BE8-4E04-BC0B-E1C005DB7345}"/>
    <cellStyle name="40% - Accent1 2 2 2 6" xfId="2315" xr:uid="{00000000-0005-0000-0000-0000D5030000}"/>
    <cellStyle name="40% - Accent1 2 2 2 6 2" xfId="6621" xr:uid="{00000000-0005-0000-0000-0000D6030000}"/>
    <cellStyle name="40% - Accent1 2 2 2 6 2 2" xfId="15071" xr:uid="{8CD01580-7B2C-4551-8C4D-9AD80D6F2945}"/>
    <cellStyle name="40% - Accent1 2 2 2 6 3" xfId="10853" xr:uid="{D5B45B64-0C43-4C63-935B-9B4A55EB3309}"/>
    <cellStyle name="40% - Accent1 2 2 2 7" xfId="4555" xr:uid="{00000000-0005-0000-0000-0000D7030000}"/>
    <cellStyle name="40% - Accent1 2 2 2 7 2" xfId="13005" xr:uid="{1EB96CB8-1C0F-49F7-BF4B-1201CC7A7073}"/>
    <cellStyle name="40% - Accent1 2 2 2 8" xfId="17228" xr:uid="{C9C4F96C-B54A-467C-8803-36ECE162F1B9}"/>
    <cellStyle name="40% - Accent1 2 2 2 9" xfId="18061" xr:uid="{19A2E51B-C80A-429E-BF5D-42AD80D70290}"/>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B4B6398E-419E-4A49-9C6B-38FC091F73CF}"/>
    <cellStyle name="40% - Accent1 2 2 3 2 3" xfId="11345" xr:uid="{1EA90925-D0EB-4377-B3F3-4CC2A8BBA064}"/>
    <cellStyle name="40% - Accent1 2 2 3 3" xfId="4968" xr:uid="{00000000-0005-0000-0000-0000DB030000}"/>
    <cellStyle name="40% - Accent1 2 2 3 3 2" xfId="13418" xr:uid="{C2D06A19-0A16-4EF1-B82B-EADF4412C089}"/>
    <cellStyle name="40% - Accent1 2 2 3 4" xfId="17644" xr:uid="{57F9E733-0A82-4F4C-A042-A8B9CE65EA58}"/>
    <cellStyle name="40% - Accent1 2 2 3 5" xfId="18476" xr:uid="{D0627972-5E62-4470-A87A-1F21EE6440CD}"/>
    <cellStyle name="40% - Accent1 2 2 3 6" xfId="19305" xr:uid="{02AC027F-3C96-473D-9CEB-734A6EF36F5D}"/>
    <cellStyle name="40% - Accent1 2 2 3 7" xfId="9200" xr:uid="{8CDBDEB1-E7A9-42D3-83A1-DB31CA01520D}"/>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C1C995C3-A3F5-4764-A6A0-9B55972DA872}"/>
    <cellStyle name="40% - Accent1 2 2 4 2 3" xfId="11758" xr:uid="{C3C88B2E-1C5E-4FCA-9B74-DA489BF0C9CC}"/>
    <cellStyle name="40% - Accent1 2 2 4 3" xfId="5381" xr:uid="{00000000-0005-0000-0000-0000DF030000}"/>
    <cellStyle name="40% - Accent1 2 2 4 3 2" xfId="13831" xr:uid="{55520981-5294-4569-8F23-BB4E4BC78EE0}"/>
    <cellStyle name="40% - Accent1 2 2 4 4" xfId="9613" xr:uid="{47D7FA61-C95D-438C-8A48-F703A61FEF77}"/>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7F55ADDB-0707-41F2-A2DD-D939E64E6FB8}"/>
    <cellStyle name="40% - Accent1 2 2 5 2 3" xfId="12171" xr:uid="{60C0B500-2967-4A85-8E8C-25D506F854D5}"/>
    <cellStyle name="40% - Accent1 2 2 5 3" xfId="5794" xr:uid="{00000000-0005-0000-0000-0000E3030000}"/>
    <cellStyle name="40% - Accent1 2 2 5 3 2" xfId="14244" xr:uid="{D3B08002-73EB-45E5-A005-B6F82C81A53F}"/>
    <cellStyle name="40% - Accent1 2 2 5 4" xfId="10026" xr:uid="{F08AA52C-1F4A-4EE9-B899-6C427B4FCD42}"/>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C37CB59A-002D-4FAD-BE3C-FFC8AEBF326E}"/>
    <cellStyle name="40% - Accent1 2 2 6 2 3" xfId="12584" xr:uid="{F9532EBB-0920-4867-B1F7-EFF992C968E7}"/>
    <cellStyle name="40% - Accent1 2 2 6 3" xfId="6207" xr:uid="{00000000-0005-0000-0000-0000E7030000}"/>
    <cellStyle name="40% - Accent1 2 2 6 3 2" xfId="14657" xr:uid="{28A3A255-1F08-4F74-8049-264B520BC28F}"/>
    <cellStyle name="40% - Accent1 2 2 6 4" xfId="10439" xr:uid="{21DC7EFE-32B8-4339-9404-3F035C648E75}"/>
    <cellStyle name="40% - Accent1 2 2 7" xfId="2314" xr:uid="{00000000-0005-0000-0000-0000E8030000}"/>
    <cellStyle name="40% - Accent1 2 2 7 2" xfId="6620" xr:uid="{00000000-0005-0000-0000-0000E9030000}"/>
    <cellStyle name="40% - Accent1 2 2 7 2 2" xfId="15070" xr:uid="{83B861D2-F61F-4A4A-A159-726AEAEB9BB7}"/>
    <cellStyle name="40% - Accent1 2 2 7 3" xfId="10852" xr:uid="{2D20EB1E-76BA-401B-9B00-DEFB8D0B20F3}"/>
    <cellStyle name="40% - Accent1 2 2 8" xfId="4554" xr:uid="{00000000-0005-0000-0000-0000EA030000}"/>
    <cellStyle name="40% - Accent1 2 2 8 2" xfId="13004" xr:uid="{9F5916DF-4852-4241-8E7B-F10E4D4B49AD}"/>
    <cellStyle name="40% - Accent1 2 2 9" xfId="17227" xr:uid="{FAD68E0E-673C-452F-A8DB-4B3414E22A55}"/>
    <cellStyle name="40% - Accent1 2 3" xfId="53" xr:uid="{00000000-0005-0000-0000-0000EB030000}"/>
    <cellStyle name="40% - Accent1 2 3 10" xfId="18891" xr:uid="{90DCB8EF-EEF7-47BC-A395-65C972DCC71D}"/>
    <cellStyle name="40% - Accent1 2 3 11" xfId="8788" xr:uid="{4D7784DF-F9F2-48F2-8420-27224C9CB982}"/>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59E0A95F-34B2-4EB9-BA21-91686088D176}"/>
    <cellStyle name="40% - Accent1 2 3 2 2 3" xfId="11347" xr:uid="{4EED382C-8B17-4553-8752-1A45F45136C5}"/>
    <cellStyle name="40% - Accent1 2 3 2 3" xfId="4970" xr:uid="{00000000-0005-0000-0000-0000EF030000}"/>
    <cellStyle name="40% - Accent1 2 3 2 3 2" xfId="13420" xr:uid="{A79AAF08-676D-4224-ADB8-6E2D43028D20}"/>
    <cellStyle name="40% - Accent1 2 3 2 4" xfId="17646" xr:uid="{8C9CDBD2-EE54-4EAE-A78F-4AA8A10B27EF}"/>
    <cellStyle name="40% - Accent1 2 3 2 5" xfId="18478" xr:uid="{A4148C48-EDF3-4C97-9228-1F070C2E9F3F}"/>
    <cellStyle name="40% - Accent1 2 3 2 6" xfId="19307" xr:uid="{C455CA77-D3FB-4036-AD41-CFF06DCBE39B}"/>
    <cellStyle name="40% - Accent1 2 3 2 7" xfId="9202" xr:uid="{32359C05-CE0C-4753-9D02-7CF6A62C2A43}"/>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71788AD8-88D2-4C5D-933E-E1EDC13ACC09}"/>
    <cellStyle name="40% - Accent1 2 3 3 2 3" xfId="11760" xr:uid="{9C40E33E-785A-4A52-ACDC-466F03979F90}"/>
    <cellStyle name="40% - Accent1 2 3 3 3" xfId="5383" xr:uid="{00000000-0005-0000-0000-0000F3030000}"/>
    <cellStyle name="40% - Accent1 2 3 3 3 2" xfId="13833" xr:uid="{8AA693AF-788A-42E6-B971-61A86392A033}"/>
    <cellStyle name="40% - Accent1 2 3 3 4" xfId="9615" xr:uid="{4CF6C290-BAA3-4E70-B5EC-2F3D7E8501E1}"/>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B6C0DD0C-73E1-4FA0-B4BE-555ED29BBA6F}"/>
    <cellStyle name="40% - Accent1 2 3 4 2 3" xfId="12173" xr:uid="{763908B2-65E9-425B-B6F1-93523A504B34}"/>
    <cellStyle name="40% - Accent1 2 3 4 3" xfId="5796" xr:uid="{00000000-0005-0000-0000-0000F7030000}"/>
    <cellStyle name="40% - Accent1 2 3 4 3 2" xfId="14246" xr:uid="{D0DB9732-D1CC-483C-9F58-A7D02124FE07}"/>
    <cellStyle name="40% - Accent1 2 3 4 4" xfId="10028" xr:uid="{4AFB3626-5BD3-4F95-AEBF-1A470ADA6ACF}"/>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72896E28-7C3D-446F-A372-A9073D4791C7}"/>
    <cellStyle name="40% - Accent1 2 3 5 2 3" xfId="12586" xr:uid="{0E643F92-C9A3-4360-9B7D-C1DE0860F299}"/>
    <cellStyle name="40% - Accent1 2 3 5 3" xfId="6209" xr:uid="{00000000-0005-0000-0000-0000FB030000}"/>
    <cellStyle name="40% - Accent1 2 3 5 3 2" xfId="14659" xr:uid="{E5F110EE-6EF4-4E92-ADC3-07A16DA62D58}"/>
    <cellStyle name="40% - Accent1 2 3 5 4" xfId="10441" xr:uid="{A93ED984-1E82-4728-96E1-7C9BE3281C9B}"/>
    <cellStyle name="40% - Accent1 2 3 6" xfId="2316" xr:uid="{00000000-0005-0000-0000-0000FC030000}"/>
    <cellStyle name="40% - Accent1 2 3 6 2" xfId="6622" xr:uid="{00000000-0005-0000-0000-0000FD030000}"/>
    <cellStyle name="40% - Accent1 2 3 6 2 2" xfId="15072" xr:uid="{7C23E1B7-E414-4B82-ACBF-91821EC1FD56}"/>
    <cellStyle name="40% - Accent1 2 3 6 3" xfId="10854" xr:uid="{8F069F71-B965-4D79-95B0-017775D4129E}"/>
    <cellStyle name="40% - Accent1 2 3 7" xfId="4556" xr:uid="{00000000-0005-0000-0000-0000FE030000}"/>
    <cellStyle name="40% - Accent1 2 3 7 2" xfId="13006" xr:uid="{DFE03C1E-B463-4010-BDBA-AF887F28A055}"/>
    <cellStyle name="40% - Accent1 2 3 8" xfId="17229" xr:uid="{E24869D0-89B4-459C-AE08-F0B8933A17DF}"/>
    <cellStyle name="40% - Accent1 2 3 9" xfId="18062" xr:uid="{938628ED-D501-470E-ACDD-C8AE0E17FA7E}"/>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1378DABB-F0DE-4C5B-9259-2F32313D4E24}"/>
    <cellStyle name="40% - Accent1 2 4 2 3" xfId="11344" xr:uid="{19EDC48C-6038-485D-977A-088B0997E02B}"/>
    <cellStyle name="40% - Accent1 2 4 3" xfId="4967" xr:uid="{00000000-0005-0000-0000-000002040000}"/>
    <cellStyle name="40% - Accent1 2 4 3 2" xfId="13417" xr:uid="{E36DC776-77AB-4148-8426-2ED92517DDB3}"/>
    <cellStyle name="40% - Accent1 2 4 4" xfId="17643" xr:uid="{4AC48E8A-F9BB-4B62-B314-46758CA11942}"/>
    <cellStyle name="40% - Accent1 2 4 5" xfId="18475" xr:uid="{AEC25A55-BAA0-407A-A598-6E75EB5D5855}"/>
    <cellStyle name="40% - Accent1 2 4 6" xfId="19304" xr:uid="{BD08D08C-335E-47DC-A842-FA22208A8A68}"/>
    <cellStyle name="40% - Accent1 2 4 7" xfId="9199" xr:uid="{0C5343A3-BAC9-4D76-8C64-849EF072E069}"/>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A73CCEE3-6901-4C7B-9314-128C7819EDB2}"/>
    <cellStyle name="40% - Accent1 2 5 2 3" xfId="11757" xr:uid="{87A6CC4A-5EB1-491F-9021-01067FA71433}"/>
    <cellStyle name="40% - Accent1 2 5 3" xfId="5380" xr:uid="{00000000-0005-0000-0000-000006040000}"/>
    <cellStyle name="40% - Accent1 2 5 3 2" xfId="13830" xr:uid="{E7BBBB57-482B-49DC-A0CB-6177FB1AAE36}"/>
    <cellStyle name="40% - Accent1 2 5 4" xfId="9612" xr:uid="{5187D1C2-B33D-470E-B1EF-BCF936F36C39}"/>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ED44CCAA-47A5-43F7-A82A-789D51201B8F}"/>
    <cellStyle name="40% - Accent1 2 6 2 3" xfId="12170" xr:uid="{E2F08AFB-9109-46A7-ACA5-6050847B08B3}"/>
    <cellStyle name="40% - Accent1 2 6 3" xfId="5793" xr:uid="{00000000-0005-0000-0000-00000A040000}"/>
    <cellStyle name="40% - Accent1 2 6 3 2" xfId="14243" xr:uid="{EA974889-A9A7-4188-8498-A5B1760E1BB5}"/>
    <cellStyle name="40% - Accent1 2 6 4" xfId="10025" xr:uid="{191B8114-87ED-4C56-A835-280AA23B2651}"/>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C1D21651-4465-4452-867D-328E022CBD54}"/>
    <cellStyle name="40% - Accent1 2 7 2 3" xfId="12583" xr:uid="{E8C75002-BA1F-4CE0-A414-11243EC4D6DC}"/>
    <cellStyle name="40% - Accent1 2 7 3" xfId="6206" xr:uid="{00000000-0005-0000-0000-00000E040000}"/>
    <cellStyle name="40% - Accent1 2 7 3 2" xfId="14656" xr:uid="{6BF0349A-F915-4B19-8924-D61F916AC204}"/>
    <cellStyle name="40% - Accent1 2 7 4" xfId="10438" xr:uid="{C3CF6770-C725-4FE4-BB49-8568A271BDEF}"/>
    <cellStyle name="40% - Accent1 2 8" xfId="2313" xr:uid="{00000000-0005-0000-0000-00000F040000}"/>
    <cellStyle name="40% - Accent1 2 8 2" xfId="6619" xr:uid="{00000000-0005-0000-0000-000010040000}"/>
    <cellStyle name="40% - Accent1 2 8 2 2" xfId="15069" xr:uid="{3DD4430A-B257-4622-AC23-394B5672CB61}"/>
    <cellStyle name="40% - Accent1 2 8 3" xfId="10851" xr:uid="{70071FE4-FD83-4CEE-96AD-BC5827683242}"/>
    <cellStyle name="40% - Accent1 2 9" xfId="4553" xr:uid="{00000000-0005-0000-0000-000011040000}"/>
    <cellStyle name="40% - Accent1 2 9 2" xfId="13003" xr:uid="{C7BD9013-272C-452D-8AF1-CFAF384AB305}"/>
    <cellStyle name="40% - Accent1 3" xfId="54" xr:uid="{00000000-0005-0000-0000-000012040000}"/>
    <cellStyle name="40% - Accent1 3 10" xfId="18063" xr:uid="{B4CB8421-332A-4A0D-ABED-47B9BEE8C974}"/>
    <cellStyle name="40% - Accent1 3 11" xfId="18892" xr:uid="{95FF7B95-55E9-4F64-A39C-2E762912AEE1}"/>
    <cellStyle name="40% - Accent1 3 12" xfId="8789" xr:uid="{A7F54011-D0B7-4FE1-9B63-4EE0AA081E16}"/>
    <cellStyle name="40% - Accent1 3 2" xfId="55" xr:uid="{00000000-0005-0000-0000-000013040000}"/>
    <cellStyle name="40% - Accent1 3 2 10" xfId="18893" xr:uid="{66E9168D-A47A-4774-81FB-A47E71C6251B}"/>
    <cellStyle name="40% - Accent1 3 2 11" xfId="8790" xr:uid="{1A9115AC-95BB-4FE8-B337-904DA3F9A5B6}"/>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0730D205-4934-4D09-B61A-123D0505DC84}"/>
    <cellStyle name="40% - Accent1 3 2 2 2 3" xfId="11349" xr:uid="{3F26DB25-889E-4F7E-9861-49289F1F5A35}"/>
    <cellStyle name="40% - Accent1 3 2 2 3" xfId="4972" xr:uid="{00000000-0005-0000-0000-000017040000}"/>
    <cellStyle name="40% - Accent1 3 2 2 3 2" xfId="13422" xr:uid="{8F58031C-ED3E-416C-801E-D48DD0677F16}"/>
    <cellStyle name="40% - Accent1 3 2 2 4" xfId="17648" xr:uid="{7C7EE503-92D3-4AC1-BF72-668D86AC3AA6}"/>
    <cellStyle name="40% - Accent1 3 2 2 5" xfId="18480" xr:uid="{5BA6FA52-2B6A-4E89-B256-FC4BF50D8E9D}"/>
    <cellStyle name="40% - Accent1 3 2 2 6" xfId="19309" xr:uid="{E1F03CCC-DC60-40D6-94D8-5D0BA7DB5E9B}"/>
    <cellStyle name="40% - Accent1 3 2 2 7" xfId="9204" xr:uid="{1BC689A8-923E-4225-BA61-F5AC50AD3D51}"/>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3D5BC8C8-B348-48A3-BE9D-4DB3D6A9A119}"/>
    <cellStyle name="40% - Accent1 3 2 3 2 3" xfId="11762" xr:uid="{BCAABC36-5D83-472F-BFC0-C1FAAC97AA21}"/>
    <cellStyle name="40% - Accent1 3 2 3 3" xfId="5385" xr:uid="{00000000-0005-0000-0000-00001B040000}"/>
    <cellStyle name="40% - Accent1 3 2 3 3 2" xfId="13835" xr:uid="{054B8144-4FFB-4E1E-AEF0-E7E9A7F8D54A}"/>
    <cellStyle name="40% - Accent1 3 2 3 4" xfId="9617" xr:uid="{7D4D405F-9E7D-44B4-AF4B-1F6990407E7D}"/>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9D8616B5-01DC-4599-89A1-9856ACF25EB6}"/>
    <cellStyle name="40% - Accent1 3 2 4 2 3" xfId="12175" xr:uid="{E99EE416-C348-4612-8BF3-7509F797C9C0}"/>
    <cellStyle name="40% - Accent1 3 2 4 3" xfId="5798" xr:uid="{00000000-0005-0000-0000-00001F040000}"/>
    <cellStyle name="40% - Accent1 3 2 4 3 2" xfId="14248" xr:uid="{8DA9B94E-2C49-4A22-8AAE-F5783C335AE4}"/>
    <cellStyle name="40% - Accent1 3 2 4 4" xfId="10030" xr:uid="{897A76A4-AAD4-433D-A009-983207ACE2DD}"/>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7FF7D0A9-F43A-4D97-AECA-5C4C4A149361}"/>
    <cellStyle name="40% - Accent1 3 2 5 2 3" xfId="12588" xr:uid="{813E5A9B-072E-4B2F-84F1-BC553B803AE9}"/>
    <cellStyle name="40% - Accent1 3 2 5 3" xfId="6211" xr:uid="{00000000-0005-0000-0000-000023040000}"/>
    <cellStyle name="40% - Accent1 3 2 5 3 2" xfId="14661" xr:uid="{FFD73CCE-5281-47AA-9C20-EE0E2D590631}"/>
    <cellStyle name="40% - Accent1 3 2 5 4" xfId="10443" xr:uid="{9858A63E-7430-44F4-AE7A-7E200096F06F}"/>
    <cellStyle name="40% - Accent1 3 2 6" xfId="2318" xr:uid="{00000000-0005-0000-0000-000024040000}"/>
    <cellStyle name="40% - Accent1 3 2 6 2" xfId="6624" xr:uid="{00000000-0005-0000-0000-000025040000}"/>
    <cellStyle name="40% - Accent1 3 2 6 2 2" xfId="15074" xr:uid="{58B9792B-7649-4B5F-B2F2-FC5FCB0E6FB3}"/>
    <cellStyle name="40% - Accent1 3 2 6 3" xfId="10856" xr:uid="{E79C30FF-C762-4269-BE21-BA4F5100B8F3}"/>
    <cellStyle name="40% - Accent1 3 2 7" xfId="4558" xr:uid="{00000000-0005-0000-0000-000026040000}"/>
    <cellStyle name="40% - Accent1 3 2 7 2" xfId="13008" xr:uid="{C167B135-9C87-405A-A224-0EF6F73396B5}"/>
    <cellStyle name="40% - Accent1 3 2 8" xfId="17231" xr:uid="{460EA243-15B6-44FB-A942-1BBFE34BF2C0}"/>
    <cellStyle name="40% - Accent1 3 2 9" xfId="18064" xr:uid="{EB1AB3B5-5FC0-4119-8D30-3D4A8C028BC7}"/>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4E3D14FF-F263-4A45-9AA1-08CAF7CF77F7}"/>
    <cellStyle name="40% - Accent1 3 3 2 3" xfId="11348" xr:uid="{C6FC17FC-3C3F-4BAC-9D6A-3C3DE24775B0}"/>
    <cellStyle name="40% - Accent1 3 3 3" xfId="4971" xr:uid="{00000000-0005-0000-0000-00002A040000}"/>
    <cellStyle name="40% - Accent1 3 3 3 2" xfId="13421" xr:uid="{2D6877EF-DEBA-4760-8C20-D135FC4A39E3}"/>
    <cellStyle name="40% - Accent1 3 3 4" xfId="17647" xr:uid="{F67B5E08-14A6-441B-9235-513586E5BACD}"/>
    <cellStyle name="40% - Accent1 3 3 5" xfId="18479" xr:uid="{98ADDAB6-3A7C-44B2-BE4D-4B72D5238F99}"/>
    <cellStyle name="40% - Accent1 3 3 6" xfId="19308" xr:uid="{6F65B9BB-90EA-4C29-89D3-B47BCFCC0AD6}"/>
    <cellStyle name="40% - Accent1 3 3 7" xfId="9203" xr:uid="{3949E53E-75A4-498F-AB81-8CA9B81CED0D}"/>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AC4D4B47-816E-442E-8B49-7CA3C71338B9}"/>
    <cellStyle name="40% - Accent1 3 4 2 3" xfId="11761" xr:uid="{16A64F11-4443-4FFA-856E-0D0904BE0CB0}"/>
    <cellStyle name="40% - Accent1 3 4 3" xfId="5384" xr:uid="{00000000-0005-0000-0000-00002E040000}"/>
    <cellStyle name="40% - Accent1 3 4 3 2" xfId="13834" xr:uid="{122A87CC-4411-45BA-A6C5-A64B3AF49D4B}"/>
    <cellStyle name="40% - Accent1 3 4 4" xfId="9616" xr:uid="{22F4A44F-28D8-464B-9BDD-F8C3F8257A37}"/>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45179DB9-8B93-41C6-9C3E-FF7A33E908DF}"/>
    <cellStyle name="40% - Accent1 3 5 2 3" xfId="12174" xr:uid="{A7C4B0CA-7349-4813-9E51-70312D496CD4}"/>
    <cellStyle name="40% - Accent1 3 5 3" xfId="5797" xr:uid="{00000000-0005-0000-0000-000032040000}"/>
    <cellStyle name="40% - Accent1 3 5 3 2" xfId="14247" xr:uid="{77E2A6C5-F87B-44B4-A863-9D73DBB5387B}"/>
    <cellStyle name="40% - Accent1 3 5 4" xfId="10029" xr:uid="{6B84FE2A-6706-473C-8216-83E505C862FC}"/>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D8DA6A14-0A3A-4849-BBA7-FDF2E51BAC1D}"/>
    <cellStyle name="40% - Accent1 3 6 2 3" xfId="12587" xr:uid="{6B35B51A-3883-423D-83DF-A9C4FCF050F3}"/>
    <cellStyle name="40% - Accent1 3 6 3" xfId="6210" xr:uid="{00000000-0005-0000-0000-000036040000}"/>
    <cellStyle name="40% - Accent1 3 6 3 2" xfId="14660" xr:uid="{9053839F-4952-4957-8F30-6D202617199E}"/>
    <cellStyle name="40% - Accent1 3 6 4" xfId="10442" xr:uid="{832E6E30-6666-4854-81CF-5F0DD7C63FEE}"/>
    <cellStyle name="40% - Accent1 3 7" xfId="2317" xr:uid="{00000000-0005-0000-0000-000037040000}"/>
    <cellStyle name="40% - Accent1 3 7 2" xfId="6623" xr:uid="{00000000-0005-0000-0000-000038040000}"/>
    <cellStyle name="40% - Accent1 3 7 2 2" xfId="15073" xr:uid="{9ED3A7D7-B7F0-4BB7-B3FF-30D8939CA7DE}"/>
    <cellStyle name="40% - Accent1 3 7 3" xfId="10855" xr:uid="{BBE236F2-64BF-44BF-9A6B-EC8289E067D1}"/>
    <cellStyle name="40% - Accent1 3 8" xfId="4557" xr:uid="{00000000-0005-0000-0000-000039040000}"/>
    <cellStyle name="40% - Accent1 3 8 2" xfId="13007" xr:uid="{2C15D536-1E27-44D5-95CD-A702BADF1C04}"/>
    <cellStyle name="40% - Accent1 3 9" xfId="17230" xr:uid="{2C60A165-86AE-46F2-A05C-58E83CBD2FFA}"/>
    <cellStyle name="40% - Accent1 4" xfId="56" xr:uid="{00000000-0005-0000-0000-00003A040000}"/>
    <cellStyle name="40% - Accent1 4 10" xfId="18894" xr:uid="{E38194FA-95FD-40C7-A4A2-3409E3612572}"/>
    <cellStyle name="40% - Accent1 4 11" xfId="8791" xr:uid="{3C488B5C-517C-4A28-949A-5C97B48E4D4D}"/>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0EC45F0C-F812-4B44-9364-D673CDBA0CCB}"/>
    <cellStyle name="40% - Accent1 4 2 2 3" xfId="11350" xr:uid="{7E616770-0E37-43DD-B19B-4609C7F88A89}"/>
    <cellStyle name="40% - Accent1 4 2 3" xfId="4973" xr:uid="{00000000-0005-0000-0000-00003E040000}"/>
    <cellStyle name="40% - Accent1 4 2 3 2" xfId="13423" xr:uid="{BBCAE730-7127-4998-8FD4-0599178D5BDA}"/>
    <cellStyle name="40% - Accent1 4 2 4" xfId="17649" xr:uid="{0E736A1D-FF7D-4FE2-9F57-E365688E94D4}"/>
    <cellStyle name="40% - Accent1 4 2 5" xfId="18481" xr:uid="{10F7FA94-A769-4946-A150-EAEF117597C5}"/>
    <cellStyle name="40% - Accent1 4 2 6" xfId="19310" xr:uid="{0760E5B2-7012-45C7-A218-B5D7AD398F5F}"/>
    <cellStyle name="40% - Accent1 4 2 7" xfId="9205" xr:uid="{D65FC0D8-D79E-4494-AA78-0C2E8B25A39D}"/>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83D44E79-D25E-414C-8828-D05112DBB4F4}"/>
    <cellStyle name="40% - Accent1 4 3 2 3" xfId="11763" xr:uid="{C325F028-8411-4EE0-AD92-D5E1ECE4C804}"/>
    <cellStyle name="40% - Accent1 4 3 3" xfId="5386" xr:uid="{00000000-0005-0000-0000-000042040000}"/>
    <cellStyle name="40% - Accent1 4 3 3 2" xfId="13836" xr:uid="{97B7C116-E3F8-45E1-B4F4-2D19BBE4A414}"/>
    <cellStyle name="40% - Accent1 4 3 4" xfId="9618" xr:uid="{D287AEC6-8B0E-4853-8FDF-EB3DF22FECF8}"/>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7C694FB2-1504-48EB-842E-50A5DC8EA6EB}"/>
    <cellStyle name="40% - Accent1 4 4 2 3" xfId="12176" xr:uid="{E6734739-CEBB-4F9D-B037-64C30CE547C6}"/>
    <cellStyle name="40% - Accent1 4 4 3" xfId="5799" xr:uid="{00000000-0005-0000-0000-000046040000}"/>
    <cellStyle name="40% - Accent1 4 4 3 2" xfId="14249" xr:uid="{3C8CAF83-4E71-4A35-8CCA-BC53E4863027}"/>
    <cellStyle name="40% - Accent1 4 4 4" xfId="10031" xr:uid="{8A047B68-187A-45DD-835D-2600D188CBB1}"/>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F782A2C9-A27F-427F-9A43-149DF7766141}"/>
    <cellStyle name="40% - Accent1 4 5 2 3" xfId="12589" xr:uid="{C32214DD-0CD5-4745-A763-C1E679E2FE4B}"/>
    <cellStyle name="40% - Accent1 4 5 3" xfId="6212" xr:uid="{00000000-0005-0000-0000-00004A040000}"/>
    <cellStyle name="40% - Accent1 4 5 3 2" xfId="14662" xr:uid="{5089C293-D9F0-4506-96FE-8F74292AEEFB}"/>
    <cellStyle name="40% - Accent1 4 5 4" xfId="10444" xr:uid="{6AF41798-0C9C-4B6B-AAC2-9FAD72B2FB92}"/>
    <cellStyle name="40% - Accent1 4 6" xfId="2319" xr:uid="{00000000-0005-0000-0000-00004B040000}"/>
    <cellStyle name="40% - Accent1 4 6 2" xfId="6625" xr:uid="{00000000-0005-0000-0000-00004C040000}"/>
    <cellStyle name="40% - Accent1 4 6 2 2" xfId="15075" xr:uid="{4CB3C5B4-0DB4-4E06-A8CE-BBE57F7CC0DF}"/>
    <cellStyle name="40% - Accent1 4 6 3" xfId="10857" xr:uid="{3CDB1EB9-CFBB-4AD6-B2CD-5596E485614D}"/>
    <cellStyle name="40% - Accent1 4 7" xfId="4559" xr:uid="{00000000-0005-0000-0000-00004D040000}"/>
    <cellStyle name="40% - Accent1 4 7 2" xfId="13009" xr:uid="{AA10E8A2-0324-48F0-970C-E38C4E60822D}"/>
    <cellStyle name="40% - Accent1 4 8" xfId="17232" xr:uid="{7F37CBAD-3D1C-4B0D-A1B4-66DD83EB4DFC}"/>
    <cellStyle name="40% - Accent1 4 9" xfId="18065" xr:uid="{8E485425-1364-4533-91C9-19E0DDC8819A}"/>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B9E5EC2F-E36A-4DE9-8FD0-5A414B4590C9}"/>
    <cellStyle name="40% - Accent1 5 2 3" xfId="11343" xr:uid="{EB07DEF2-9AB7-4D49-8D97-34F7ED13256D}"/>
    <cellStyle name="40% - Accent1 5 3" xfId="4966" xr:uid="{00000000-0005-0000-0000-000051040000}"/>
    <cellStyle name="40% - Accent1 5 3 2" xfId="13416" xr:uid="{CAD5C2F4-9702-473E-9E9C-EB0703FD4B74}"/>
    <cellStyle name="40% - Accent1 5 4" xfId="17642" xr:uid="{C1E0B50E-7F7A-4948-A668-BF56A276CFA4}"/>
    <cellStyle name="40% - Accent1 5 5" xfId="18474" xr:uid="{C8341E73-4C0E-4380-8B55-F8005FF7005A}"/>
    <cellStyle name="40% - Accent1 5 6" xfId="19303" xr:uid="{B1C503D9-0624-41EA-AA7C-ECFD8543D54A}"/>
    <cellStyle name="40% - Accent1 5 7" xfId="9198" xr:uid="{ADE8B963-09D8-4C20-9DF2-7DC4208659B8}"/>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8F6EBA19-6F6E-4CCB-8F74-1062A058C381}"/>
    <cellStyle name="40% - Accent1 6 2 3" xfId="11756" xr:uid="{745D5E39-3E76-494B-8308-0A8B4696E563}"/>
    <cellStyle name="40% - Accent1 6 3" xfId="5379" xr:uid="{00000000-0005-0000-0000-000055040000}"/>
    <cellStyle name="40% - Accent1 6 3 2" xfId="13829" xr:uid="{3F41A5FD-A7E1-4FF4-BCDD-19F89809ADAC}"/>
    <cellStyle name="40% - Accent1 6 4" xfId="9611" xr:uid="{77DDA902-67CA-4EBB-B3AD-E3D13E454A79}"/>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1A3FA977-9218-4039-843F-E95912F60C6D}"/>
    <cellStyle name="40% - Accent1 7 2 3" xfId="12169" xr:uid="{FE3B1310-436E-4CDD-A48D-EB266F14DEAE}"/>
    <cellStyle name="40% - Accent1 7 3" xfId="5792" xr:uid="{00000000-0005-0000-0000-000059040000}"/>
    <cellStyle name="40% - Accent1 7 3 2" xfId="14242" xr:uid="{F532A3C4-A063-48E5-9368-E2607802D927}"/>
    <cellStyle name="40% - Accent1 7 4" xfId="10024" xr:uid="{75B5CD95-BE50-4003-BC53-DE1B1D9B726F}"/>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78208489-9CE1-472B-BDEB-05C82C54EC49}"/>
    <cellStyle name="40% - Accent1 8 2 3" xfId="12582" xr:uid="{2A6A9C5C-68A0-411C-A1E2-0599AA4DE36B}"/>
    <cellStyle name="40% - Accent1 8 3" xfId="6205" xr:uid="{00000000-0005-0000-0000-00005D040000}"/>
    <cellStyle name="40% - Accent1 8 3 2" xfId="14655" xr:uid="{C004B285-547F-4D82-AFFE-5598CF29456C}"/>
    <cellStyle name="40% - Accent1 8 4" xfId="10437" xr:uid="{053650B0-AD9F-459D-A511-1C2585F2AD77}"/>
    <cellStyle name="40% - Accent1 9" xfId="2312" xr:uid="{00000000-0005-0000-0000-00005E040000}"/>
    <cellStyle name="40% - Accent1 9 2" xfId="6618" xr:uid="{00000000-0005-0000-0000-00005F040000}"/>
    <cellStyle name="40% - Accent1 9 2 2" xfId="15068" xr:uid="{86A0F355-D081-4C84-903B-F6305A0117BD}"/>
    <cellStyle name="40% - Accent1 9 3" xfId="10850" xr:uid="{933D326A-0F5F-4667-A6CC-7E92C2A01AB5}"/>
    <cellStyle name="40% - Accent2" xfId="57" builtinId="35" customBuiltin="1"/>
    <cellStyle name="40% - Accent2 10" xfId="4560" xr:uid="{00000000-0005-0000-0000-000061040000}"/>
    <cellStyle name="40% - Accent2 10 2" xfId="13010" xr:uid="{11A98D7E-F57D-4B9D-845E-812FC1BB62A3}"/>
    <cellStyle name="40% - Accent2 11" xfId="17233" xr:uid="{339CDDBC-1ADE-4FB1-A16D-150B5D0FDDED}"/>
    <cellStyle name="40% - Accent2 12" xfId="18066" xr:uid="{2DCD2E51-E21E-4EE9-AD65-C948029B6B13}"/>
    <cellStyle name="40% - Accent2 13" xfId="18895" xr:uid="{1F5C459E-4E62-447D-A391-C346E6D62B7E}"/>
    <cellStyle name="40% - Accent2 14" xfId="8792" xr:uid="{AD0B9F4E-17FB-462A-8C46-7B4D00863A70}"/>
    <cellStyle name="40% - Accent2 2" xfId="58" xr:uid="{00000000-0005-0000-0000-000062040000}"/>
    <cellStyle name="40% - Accent2 2 10" xfId="17234" xr:uid="{8C632062-14F5-4162-93C1-0199091EC04E}"/>
    <cellStyle name="40% - Accent2 2 11" xfId="18067" xr:uid="{BA360C12-202A-4FCF-A478-3A81163DA149}"/>
    <cellStyle name="40% - Accent2 2 12" xfId="18896" xr:uid="{D8FDB186-4A75-4EBB-8323-56B648B69B53}"/>
    <cellStyle name="40% - Accent2 2 13" xfId="8793" xr:uid="{651B953C-EEDB-4B80-B153-7A07BC9586CA}"/>
    <cellStyle name="40% - Accent2 2 2" xfId="59" xr:uid="{00000000-0005-0000-0000-000063040000}"/>
    <cellStyle name="40% - Accent2 2 2 10" xfId="18068" xr:uid="{FD552507-64C0-4E51-B9CD-E0AA604A2F61}"/>
    <cellStyle name="40% - Accent2 2 2 11" xfId="18897" xr:uid="{1468A2F7-F044-4446-A22D-2C2AFF5B66F2}"/>
    <cellStyle name="40% - Accent2 2 2 12" xfId="8794" xr:uid="{144F4287-EE05-4330-9E43-18138C869BC7}"/>
    <cellStyle name="40% - Accent2 2 2 2" xfId="60" xr:uid="{00000000-0005-0000-0000-000064040000}"/>
    <cellStyle name="40% - Accent2 2 2 2 10" xfId="18898" xr:uid="{CC18E4DC-D59A-470F-B099-A71EF6349C88}"/>
    <cellStyle name="40% - Accent2 2 2 2 11" xfId="8795" xr:uid="{F328E936-DF15-4424-A5CE-3BA34800FBEA}"/>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9EEA5EC6-3FD6-4A43-9196-F7F59CF6036B}"/>
    <cellStyle name="40% - Accent2 2 2 2 2 2 3" xfId="11354" xr:uid="{FA694BC7-B1C8-4C73-8C27-BFAF34352B19}"/>
    <cellStyle name="40% - Accent2 2 2 2 2 3" xfId="4977" xr:uid="{00000000-0005-0000-0000-000068040000}"/>
    <cellStyle name="40% - Accent2 2 2 2 2 3 2" xfId="13427" xr:uid="{4FCAC50C-08CA-475C-8EA7-3FB3FEBD5077}"/>
    <cellStyle name="40% - Accent2 2 2 2 2 4" xfId="17653" xr:uid="{060318D0-B8F4-4F78-8EF2-C48179E96208}"/>
    <cellStyle name="40% - Accent2 2 2 2 2 5" xfId="18485" xr:uid="{CCA5D9C3-F280-494A-ADCB-CA02441E190E}"/>
    <cellStyle name="40% - Accent2 2 2 2 2 6" xfId="19314" xr:uid="{91A3C1DF-0237-47CF-9D91-5CC4294778C3}"/>
    <cellStyle name="40% - Accent2 2 2 2 2 7" xfId="9209" xr:uid="{946364C9-EC6C-4035-B95F-8CB451EE48B8}"/>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8CD1491A-B3C0-43D9-A534-53115D916F2D}"/>
    <cellStyle name="40% - Accent2 2 2 2 3 2 3" xfId="11767" xr:uid="{C75B2517-BD01-49BB-8360-070DD8B41823}"/>
    <cellStyle name="40% - Accent2 2 2 2 3 3" xfId="5390" xr:uid="{00000000-0005-0000-0000-00006C040000}"/>
    <cellStyle name="40% - Accent2 2 2 2 3 3 2" xfId="13840" xr:uid="{C09CBEFC-9A91-43FE-B341-26DEB4937388}"/>
    <cellStyle name="40% - Accent2 2 2 2 3 4" xfId="9622" xr:uid="{4E4DAB39-2597-4BE5-9728-41556AF80C3F}"/>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E86FA2EC-7428-4AF2-BB77-11E6FCB94F39}"/>
    <cellStyle name="40% - Accent2 2 2 2 4 2 3" xfId="12180" xr:uid="{287801C3-46CB-4F1D-A711-4B77186683B3}"/>
    <cellStyle name="40% - Accent2 2 2 2 4 3" xfId="5803" xr:uid="{00000000-0005-0000-0000-000070040000}"/>
    <cellStyle name="40% - Accent2 2 2 2 4 3 2" xfId="14253" xr:uid="{482B3A54-F5E8-4689-BD29-166CB6FB8750}"/>
    <cellStyle name="40% - Accent2 2 2 2 4 4" xfId="10035" xr:uid="{22FF04AC-E0CF-4241-9F4D-DA732EB31F33}"/>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158B6000-F09F-4281-B03D-0AFF23AC8A54}"/>
    <cellStyle name="40% - Accent2 2 2 2 5 2 3" xfId="12593" xr:uid="{0EB4B7D0-8EB1-44E2-A240-91CEEE583E7B}"/>
    <cellStyle name="40% - Accent2 2 2 2 5 3" xfId="6216" xr:uid="{00000000-0005-0000-0000-000074040000}"/>
    <cellStyle name="40% - Accent2 2 2 2 5 3 2" xfId="14666" xr:uid="{0D83E994-F28A-4315-8078-A28F8F9B2856}"/>
    <cellStyle name="40% - Accent2 2 2 2 5 4" xfId="10448" xr:uid="{883FEE1C-758C-4A63-8734-25B9CD1BC427}"/>
    <cellStyle name="40% - Accent2 2 2 2 6" xfId="2323" xr:uid="{00000000-0005-0000-0000-000075040000}"/>
    <cellStyle name="40% - Accent2 2 2 2 6 2" xfId="6629" xr:uid="{00000000-0005-0000-0000-000076040000}"/>
    <cellStyle name="40% - Accent2 2 2 2 6 2 2" xfId="15079" xr:uid="{6DEFA8A7-54E5-4948-A2A1-93A8EA896148}"/>
    <cellStyle name="40% - Accent2 2 2 2 6 3" xfId="10861" xr:uid="{F3F59C2F-F1F7-4525-8178-64E38D5D69F8}"/>
    <cellStyle name="40% - Accent2 2 2 2 7" xfId="4563" xr:uid="{00000000-0005-0000-0000-000077040000}"/>
    <cellStyle name="40% - Accent2 2 2 2 7 2" xfId="13013" xr:uid="{4B153A01-7C47-4C04-B60F-79792D998F1E}"/>
    <cellStyle name="40% - Accent2 2 2 2 8" xfId="17236" xr:uid="{85EF4474-05AD-4ED0-985A-BED92C46918C}"/>
    <cellStyle name="40% - Accent2 2 2 2 9" xfId="18069" xr:uid="{DFCAA15E-ECC9-4814-AE3F-22DD21BF2DDD}"/>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66E82D9F-1430-433B-8377-B3567E54273E}"/>
    <cellStyle name="40% - Accent2 2 2 3 2 3" xfId="11353" xr:uid="{783CB6CB-3364-44A4-B62E-ADAA26104DC5}"/>
    <cellStyle name="40% - Accent2 2 2 3 3" xfId="4976" xr:uid="{00000000-0005-0000-0000-00007B040000}"/>
    <cellStyle name="40% - Accent2 2 2 3 3 2" xfId="13426" xr:uid="{31D94356-A747-4B06-89D3-5C3073A32AFF}"/>
    <cellStyle name="40% - Accent2 2 2 3 4" xfId="17652" xr:uid="{4A3990CD-295A-4F03-9A43-E6EE09E534FB}"/>
    <cellStyle name="40% - Accent2 2 2 3 5" xfId="18484" xr:uid="{C8631A02-0C5A-44E4-A315-C63FB5174A03}"/>
    <cellStyle name="40% - Accent2 2 2 3 6" xfId="19313" xr:uid="{25E37153-F86F-49AB-9DE0-C09B98BD5FC3}"/>
    <cellStyle name="40% - Accent2 2 2 3 7" xfId="9208" xr:uid="{42133F7E-B445-40C4-BB0C-3B59AB430777}"/>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D9D52B77-8542-4776-8356-C947B16FF17F}"/>
    <cellStyle name="40% - Accent2 2 2 4 2 3" xfId="11766" xr:uid="{7F63A006-8F8D-45A0-B394-9624210463C7}"/>
    <cellStyle name="40% - Accent2 2 2 4 3" xfId="5389" xr:uid="{00000000-0005-0000-0000-00007F040000}"/>
    <cellStyle name="40% - Accent2 2 2 4 3 2" xfId="13839" xr:uid="{998E3D33-DB96-40C0-BDBE-B267D52E907B}"/>
    <cellStyle name="40% - Accent2 2 2 4 4" xfId="9621" xr:uid="{B294D4F5-1D8B-435E-A9F5-A6175E2EB257}"/>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901545B8-4CB8-46D9-B209-E11E1B60D57B}"/>
    <cellStyle name="40% - Accent2 2 2 5 2 3" xfId="12179" xr:uid="{88CBE416-5D09-4546-92D9-C7694534EFCC}"/>
    <cellStyle name="40% - Accent2 2 2 5 3" xfId="5802" xr:uid="{00000000-0005-0000-0000-000083040000}"/>
    <cellStyle name="40% - Accent2 2 2 5 3 2" xfId="14252" xr:uid="{00BDE613-19A0-444C-9162-D20C4438DACD}"/>
    <cellStyle name="40% - Accent2 2 2 5 4" xfId="10034" xr:uid="{13B8E8F2-65C3-4B46-8520-28E7CAFBBF5F}"/>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A25CD7EE-F6B5-4101-82AC-83F72772CA02}"/>
    <cellStyle name="40% - Accent2 2 2 6 2 3" xfId="12592" xr:uid="{A7F39540-7C88-477D-95D2-81B607A9F6C4}"/>
    <cellStyle name="40% - Accent2 2 2 6 3" xfId="6215" xr:uid="{00000000-0005-0000-0000-000087040000}"/>
    <cellStyle name="40% - Accent2 2 2 6 3 2" xfId="14665" xr:uid="{4720BE66-6506-4A09-8AEA-0EB481D7C75E}"/>
    <cellStyle name="40% - Accent2 2 2 6 4" xfId="10447" xr:uid="{F1D93CA7-45E8-4900-9BFB-72FD66D8F95F}"/>
    <cellStyle name="40% - Accent2 2 2 7" xfId="2322" xr:uid="{00000000-0005-0000-0000-000088040000}"/>
    <cellStyle name="40% - Accent2 2 2 7 2" xfId="6628" xr:uid="{00000000-0005-0000-0000-000089040000}"/>
    <cellStyle name="40% - Accent2 2 2 7 2 2" xfId="15078" xr:uid="{DA3145FE-6370-4B77-AEFF-0B080C3764E8}"/>
    <cellStyle name="40% - Accent2 2 2 7 3" xfId="10860" xr:uid="{AA4ED3B5-8BFE-4C44-BBC1-1FC30876D1D9}"/>
    <cellStyle name="40% - Accent2 2 2 8" xfId="4562" xr:uid="{00000000-0005-0000-0000-00008A040000}"/>
    <cellStyle name="40% - Accent2 2 2 8 2" xfId="13012" xr:uid="{9AADF2BF-DAD4-43C4-8B08-12C46A20C888}"/>
    <cellStyle name="40% - Accent2 2 2 9" xfId="17235" xr:uid="{FB445743-2408-4EA4-8750-D8892862A303}"/>
    <cellStyle name="40% - Accent2 2 3" xfId="61" xr:uid="{00000000-0005-0000-0000-00008B040000}"/>
    <cellStyle name="40% - Accent2 2 3 10" xfId="18899" xr:uid="{51FD00F0-F6D0-4A89-A5FD-96523008F02C}"/>
    <cellStyle name="40% - Accent2 2 3 11" xfId="8796" xr:uid="{0CEFBD8D-C9A8-414B-B41E-0C277EFC1E6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4D2A5425-24C8-4787-84B1-1B60354FBE80}"/>
    <cellStyle name="40% - Accent2 2 3 2 2 3" xfId="11355" xr:uid="{DB9178C4-B004-450B-9129-BA10D88A7471}"/>
    <cellStyle name="40% - Accent2 2 3 2 3" xfId="4978" xr:uid="{00000000-0005-0000-0000-00008F040000}"/>
    <cellStyle name="40% - Accent2 2 3 2 3 2" xfId="13428" xr:uid="{A7E7018B-C052-4F4F-BC94-75AD271DA9DD}"/>
    <cellStyle name="40% - Accent2 2 3 2 4" xfId="17654" xr:uid="{6406B2A1-9833-41FA-8278-9B97C8732DF5}"/>
    <cellStyle name="40% - Accent2 2 3 2 5" xfId="18486" xr:uid="{E1E8AB7D-B71A-43C0-A709-E32AE4E152A5}"/>
    <cellStyle name="40% - Accent2 2 3 2 6" xfId="19315" xr:uid="{9E88A99E-4A44-4BBA-AB78-1425BDB7D6D7}"/>
    <cellStyle name="40% - Accent2 2 3 2 7" xfId="9210" xr:uid="{913E6462-29A0-4A23-8433-0E7A21129146}"/>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7749D979-483C-4294-AB97-E10DBE65D17A}"/>
    <cellStyle name="40% - Accent2 2 3 3 2 3" xfId="11768" xr:uid="{17CE6B44-429B-4193-89EF-A837F32B93E6}"/>
    <cellStyle name="40% - Accent2 2 3 3 3" xfId="5391" xr:uid="{00000000-0005-0000-0000-000093040000}"/>
    <cellStyle name="40% - Accent2 2 3 3 3 2" xfId="13841" xr:uid="{1211FCB6-723E-465A-9459-5012B2FC8A7B}"/>
    <cellStyle name="40% - Accent2 2 3 3 4" xfId="9623" xr:uid="{CEDF2989-4B39-4F1E-86AC-9E55BAFB25DD}"/>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655A9982-16E1-4817-BD66-058EFDFBBBFE}"/>
    <cellStyle name="40% - Accent2 2 3 4 2 3" xfId="12181" xr:uid="{C61B4AA4-F890-4104-A5BA-542D793A6138}"/>
    <cellStyle name="40% - Accent2 2 3 4 3" xfId="5804" xr:uid="{00000000-0005-0000-0000-000097040000}"/>
    <cellStyle name="40% - Accent2 2 3 4 3 2" xfId="14254" xr:uid="{DD797813-2747-493E-9843-274485928E7A}"/>
    <cellStyle name="40% - Accent2 2 3 4 4" xfId="10036" xr:uid="{776D2319-6C79-4ABE-8098-442D2FADA256}"/>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F5417449-13B1-4EFB-8579-0592BFF60911}"/>
    <cellStyle name="40% - Accent2 2 3 5 2 3" xfId="12594" xr:uid="{9ABA6D3C-B41E-46D4-8872-35A4C7CE42B3}"/>
    <cellStyle name="40% - Accent2 2 3 5 3" xfId="6217" xr:uid="{00000000-0005-0000-0000-00009B040000}"/>
    <cellStyle name="40% - Accent2 2 3 5 3 2" xfId="14667" xr:uid="{B8B91C66-482D-4E3D-B9E4-7B3B49EF4FD4}"/>
    <cellStyle name="40% - Accent2 2 3 5 4" xfId="10449" xr:uid="{F599793E-24CF-493C-A57C-214F62080717}"/>
    <cellStyle name="40% - Accent2 2 3 6" xfId="2324" xr:uid="{00000000-0005-0000-0000-00009C040000}"/>
    <cellStyle name="40% - Accent2 2 3 6 2" xfId="6630" xr:uid="{00000000-0005-0000-0000-00009D040000}"/>
    <cellStyle name="40% - Accent2 2 3 6 2 2" xfId="15080" xr:uid="{42CDC71C-E566-4E35-8FD7-CEEB4926D3C0}"/>
    <cellStyle name="40% - Accent2 2 3 6 3" xfId="10862" xr:uid="{1400F2EB-6841-4701-A1FE-687DD9933EC3}"/>
    <cellStyle name="40% - Accent2 2 3 7" xfId="4564" xr:uid="{00000000-0005-0000-0000-00009E040000}"/>
    <cellStyle name="40% - Accent2 2 3 7 2" xfId="13014" xr:uid="{CFB5DCC0-1837-476D-ACE6-C5111606F943}"/>
    <cellStyle name="40% - Accent2 2 3 8" xfId="17237" xr:uid="{55EF7AAF-A784-41E3-AFF2-1F1A1DCAEEFD}"/>
    <cellStyle name="40% - Accent2 2 3 9" xfId="18070" xr:uid="{234A65D8-FDF5-4F3B-A0D8-B2D3D6E8365E}"/>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2009F2B0-BF7B-4337-BFE2-FB77FFBB06F8}"/>
    <cellStyle name="40% - Accent2 2 4 2 3" xfId="11352" xr:uid="{6D5EC874-6BB3-49E2-AC9C-2189A14D2655}"/>
    <cellStyle name="40% - Accent2 2 4 3" xfId="4975" xr:uid="{00000000-0005-0000-0000-0000A2040000}"/>
    <cellStyle name="40% - Accent2 2 4 3 2" xfId="13425" xr:uid="{1FEBDCF5-81CC-4C4E-B714-41F78A4AC8E9}"/>
    <cellStyle name="40% - Accent2 2 4 4" xfId="17651" xr:uid="{84B2A151-5755-440B-BB85-80A9A7D88996}"/>
    <cellStyle name="40% - Accent2 2 4 5" xfId="18483" xr:uid="{7BDD623D-937F-4F46-ACB0-04BEEE8EBCC7}"/>
    <cellStyle name="40% - Accent2 2 4 6" xfId="19312" xr:uid="{B4E13526-45EF-40B8-84CD-3BC63448A49E}"/>
    <cellStyle name="40% - Accent2 2 4 7" xfId="9207" xr:uid="{F101B9C1-89D2-47E9-B445-5708738ED7DF}"/>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DFB9F80E-61AB-4A77-BA27-BBAEA7D8886E}"/>
    <cellStyle name="40% - Accent2 2 5 2 3" xfId="11765" xr:uid="{AD78AFCA-A470-4716-A515-B377395B3882}"/>
    <cellStyle name="40% - Accent2 2 5 3" xfId="5388" xr:uid="{00000000-0005-0000-0000-0000A6040000}"/>
    <cellStyle name="40% - Accent2 2 5 3 2" xfId="13838" xr:uid="{D57AC49E-052B-4B26-ACBE-109E4ABB5B4C}"/>
    <cellStyle name="40% - Accent2 2 5 4" xfId="9620" xr:uid="{E949C02B-3487-4848-8843-2AC0E4BFAF43}"/>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F771FABA-5F31-4130-88EC-1192A5EE8F9A}"/>
    <cellStyle name="40% - Accent2 2 6 2 3" xfId="12178" xr:uid="{93426353-B578-4A6B-8945-9169155B63AC}"/>
    <cellStyle name="40% - Accent2 2 6 3" xfId="5801" xr:uid="{00000000-0005-0000-0000-0000AA040000}"/>
    <cellStyle name="40% - Accent2 2 6 3 2" xfId="14251" xr:uid="{E4C0494F-C969-4E3E-95E2-5CCBF3B60FC5}"/>
    <cellStyle name="40% - Accent2 2 6 4" xfId="10033" xr:uid="{CFF930DD-203D-436C-86ED-C8D68191DF13}"/>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84C0C995-BEB9-434D-8ABC-D806D1EFC198}"/>
    <cellStyle name="40% - Accent2 2 7 2 3" xfId="12591" xr:uid="{CCCF3E36-9AB8-47C8-91E3-02EF66ECBEC5}"/>
    <cellStyle name="40% - Accent2 2 7 3" xfId="6214" xr:uid="{00000000-0005-0000-0000-0000AE040000}"/>
    <cellStyle name="40% - Accent2 2 7 3 2" xfId="14664" xr:uid="{55BD0CAC-A2E8-4C19-8832-AD7CA5AAEC91}"/>
    <cellStyle name="40% - Accent2 2 7 4" xfId="10446" xr:uid="{D4A14FB8-D18D-41CC-A0F7-C6CCE2E1538A}"/>
    <cellStyle name="40% - Accent2 2 8" xfId="2321" xr:uid="{00000000-0005-0000-0000-0000AF040000}"/>
    <cellStyle name="40% - Accent2 2 8 2" xfId="6627" xr:uid="{00000000-0005-0000-0000-0000B0040000}"/>
    <cellStyle name="40% - Accent2 2 8 2 2" xfId="15077" xr:uid="{E815C4E4-5048-4633-865D-B3A9B1788312}"/>
    <cellStyle name="40% - Accent2 2 8 3" xfId="10859" xr:uid="{0C7A772C-F8D8-40EA-9C50-C575518DFC0A}"/>
    <cellStyle name="40% - Accent2 2 9" xfId="4561" xr:uid="{00000000-0005-0000-0000-0000B1040000}"/>
    <cellStyle name="40% - Accent2 2 9 2" xfId="13011" xr:uid="{0096B103-2212-4451-BFE4-3E0AC7984CD1}"/>
    <cellStyle name="40% - Accent2 3" xfId="62" xr:uid="{00000000-0005-0000-0000-0000B2040000}"/>
    <cellStyle name="40% - Accent2 3 10" xfId="18071" xr:uid="{FD84B329-CF7C-4181-AE68-378EB37EEC48}"/>
    <cellStyle name="40% - Accent2 3 11" xfId="18900" xr:uid="{BEC98E33-09BA-480E-85AA-295D492B5FA1}"/>
    <cellStyle name="40% - Accent2 3 12" xfId="8797" xr:uid="{FEC017D5-2214-46F5-84BB-4D0DC9F3C3BE}"/>
    <cellStyle name="40% - Accent2 3 2" xfId="63" xr:uid="{00000000-0005-0000-0000-0000B3040000}"/>
    <cellStyle name="40% - Accent2 3 2 10" xfId="18901" xr:uid="{AC629E58-B4B7-4CE2-BB4C-1851950D2D70}"/>
    <cellStyle name="40% - Accent2 3 2 11" xfId="8798" xr:uid="{2932338B-8AEA-4B74-8986-A0B585B7F9E3}"/>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8671C9FB-0A2B-4D73-8A1A-735551E12EAD}"/>
    <cellStyle name="40% - Accent2 3 2 2 2 3" xfId="11357" xr:uid="{A5EB5484-32D5-46ED-A7D4-82C2C2383B1E}"/>
    <cellStyle name="40% - Accent2 3 2 2 3" xfId="4980" xr:uid="{00000000-0005-0000-0000-0000B7040000}"/>
    <cellStyle name="40% - Accent2 3 2 2 3 2" xfId="13430" xr:uid="{05D2C2B0-E32C-4508-BFBE-58D312490C51}"/>
    <cellStyle name="40% - Accent2 3 2 2 4" xfId="17656" xr:uid="{427B1906-6F1F-457C-AE78-789520080F0E}"/>
    <cellStyle name="40% - Accent2 3 2 2 5" xfId="18488" xr:uid="{DF2A2362-61E7-43BA-887E-F20BF7E0188D}"/>
    <cellStyle name="40% - Accent2 3 2 2 6" xfId="19317" xr:uid="{44ADC96F-734B-4F02-B4A4-F8604ED6624D}"/>
    <cellStyle name="40% - Accent2 3 2 2 7" xfId="9212" xr:uid="{4010D9C1-0364-4E54-AD04-74205149F78B}"/>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77615B73-1AA3-42D5-BA82-1D67289BF2C8}"/>
    <cellStyle name="40% - Accent2 3 2 3 2 3" xfId="11770" xr:uid="{5764560D-6268-4F88-BFD3-529A969CC526}"/>
    <cellStyle name="40% - Accent2 3 2 3 3" xfId="5393" xr:uid="{00000000-0005-0000-0000-0000BB040000}"/>
    <cellStyle name="40% - Accent2 3 2 3 3 2" xfId="13843" xr:uid="{D6E29E67-C66C-45D4-BE84-A22FB611852F}"/>
    <cellStyle name="40% - Accent2 3 2 3 4" xfId="9625" xr:uid="{656D5390-1EC3-410D-B05E-F679698D282B}"/>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06DB3EF1-FA58-4464-A467-E312A9012607}"/>
    <cellStyle name="40% - Accent2 3 2 4 2 3" xfId="12183" xr:uid="{B32E5D97-EB54-4C9C-9AA2-9135E8066135}"/>
    <cellStyle name="40% - Accent2 3 2 4 3" xfId="5806" xr:uid="{00000000-0005-0000-0000-0000BF040000}"/>
    <cellStyle name="40% - Accent2 3 2 4 3 2" xfId="14256" xr:uid="{3A3D14AE-11A0-40D7-9B74-C99C8C597FED}"/>
    <cellStyle name="40% - Accent2 3 2 4 4" xfId="10038" xr:uid="{A005B8C9-3941-423E-93C4-4C6CEF42BA49}"/>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DA0C81E5-F1D0-4543-A579-CD8554F19475}"/>
    <cellStyle name="40% - Accent2 3 2 5 2 3" xfId="12596" xr:uid="{12D5E0D8-67DC-4DCF-87B9-B19239AA3EE2}"/>
    <cellStyle name="40% - Accent2 3 2 5 3" xfId="6219" xr:uid="{00000000-0005-0000-0000-0000C3040000}"/>
    <cellStyle name="40% - Accent2 3 2 5 3 2" xfId="14669" xr:uid="{803B1EE4-670B-400D-A68D-105B6C6EFD19}"/>
    <cellStyle name="40% - Accent2 3 2 5 4" xfId="10451" xr:uid="{98A91C49-6EC3-4C1A-AE83-7E264B134961}"/>
    <cellStyle name="40% - Accent2 3 2 6" xfId="2326" xr:uid="{00000000-0005-0000-0000-0000C4040000}"/>
    <cellStyle name="40% - Accent2 3 2 6 2" xfId="6632" xr:uid="{00000000-0005-0000-0000-0000C5040000}"/>
    <cellStyle name="40% - Accent2 3 2 6 2 2" xfId="15082" xr:uid="{3B5B4AA5-4A26-42DE-A98C-60B96FE90738}"/>
    <cellStyle name="40% - Accent2 3 2 6 3" xfId="10864" xr:uid="{B36F09B5-2253-42A2-B747-F1A65D5E4836}"/>
    <cellStyle name="40% - Accent2 3 2 7" xfId="4566" xr:uid="{00000000-0005-0000-0000-0000C6040000}"/>
    <cellStyle name="40% - Accent2 3 2 7 2" xfId="13016" xr:uid="{29D20113-A73F-484E-8A2A-8882475AFBA3}"/>
    <cellStyle name="40% - Accent2 3 2 8" xfId="17239" xr:uid="{5490556C-EF19-4312-BB6F-5D2C83F6DACB}"/>
    <cellStyle name="40% - Accent2 3 2 9" xfId="18072" xr:uid="{06DF8EAD-3073-4200-BBC1-EE639901E375}"/>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683363E3-36BF-4FFE-9D32-610C00D861C3}"/>
    <cellStyle name="40% - Accent2 3 3 2 3" xfId="11356" xr:uid="{EBB36D0B-A111-45D0-8165-F8ACA8CD118E}"/>
    <cellStyle name="40% - Accent2 3 3 3" xfId="4979" xr:uid="{00000000-0005-0000-0000-0000CA040000}"/>
    <cellStyle name="40% - Accent2 3 3 3 2" xfId="13429" xr:uid="{733F0406-7BAA-4A9F-855A-A3D2F747FC2F}"/>
    <cellStyle name="40% - Accent2 3 3 4" xfId="17655" xr:uid="{EC9A198E-1E25-4D1F-A6D4-850AF6F0769E}"/>
    <cellStyle name="40% - Accent2 3 3 5" xfId="18487" xr:uid="{63116236-E584-48A6-89C9-DCCDAC309CD2}"/>
    <cellStyle name="40% - Accent2 3 3 6" xfId="19316" xr:uid="{27322DE2-7620-4A57-80B4-5FA4F2F27525}"/>
    <cellStyle name="40% - Accent2 3 3 7" xfId="9211" xr:uid="{908CDAFC-08FE-40FC-8C37-CE0714BC7824}"/>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96C7FC2D-EF9A-416C-A1B2-7F3561E64CC7}"/>
    <cellStyle name="40% - Accent2 3 4 2 3" xfId="11769" xr:uid="{9608232E-35B4-4AB3-B956-263E543BF6FA}"/>
    <cellStyle name="40% - Accent2 3 4 3" xfId="5392" xr:uid="{00000000-0005-0000-0000-0000CE040000}"/>
    <cellStyle name="40% - Accent2 3 4 3 2" xfId="13842" xr:uid="{AF7C8329-B09F-45E0-9ECE-7862250E442C}"/>
    <cellStyle name="40% - Accent2 3 4 4" xfId="9624" xr:uid="{C23D422B-431F-42D6-A44D-E631E931CEF7}"/>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C3F93EDE-654D-463D-8672-F658B6AFF160}"/>
    <cellStyle name="40% - Accent2 3 5 2 3" xfId="12182" xr:uid="{232B3A8F-094C-431D-BB37-490037539205}"/>
    <cellStyle name="40% - Accent2 3 5 3" xfId="5805" xr:uid="{00000000-0005-0000-0000-0000D2040000}"/>
    <cellStyle name="40% - Accent2 3 5 3 2" xfId="14255" xr:uid="{7ADA3E6A-D051-483B-9793-D49B0A246978}"/>
    <cellStyle name="40% - Accent2 3 5 4" xfId="10037" xr:uid="{AFBD4EBA-8343-4952-82C1-AE77D515E463}"/>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3A5EC6EE-06DB-4C54-B968-7088EE434422}"/>
    <cellStyle name="40% - Accent2 3 6 2 3" xfId="12595" xr:uid="{95302A77-AF1F-4997-9059-622E3A474D2A}"/>
    <cellStyle name="40% - Accent2 3 6 3" xfId="6218" xr:uid="{00000000-0005-0000-0000-0000D6040000}"/>
    <cellStyle name="40% - Accent2 3 6 3 2" xfId="14668" xr:uid="{BF70417F-8C00-4B76-8EA5-33A484C0C858}"/>
    <cellStyle name="40% - Accent2 3 6 4" xfId="10450" xr:uid="{D2413859-C371-4E4F-AEC0-1ED7D8353987}"/>
    <cellStyle name="40% - Accent2 3 7" xfId="2325" xr:uid="{00000000-0005-0000-0000-0000D7040000}"/>
    <cellStyle name="40% - Accent2 3 7 2" xfId="6631" xr:uid="{00000000-0005-0000-0000-0000D8040000}"/>
    <cellStyle name="40% - Accent2 3 7 2 2" xfId="15081" xr:uid="{E7746D78-8C25-445B-BCA1-10B1D86DDE45}"/>
    <cellStyle name="40% - Accent2 3 7 3" xfId="10863" xr:uid="{F837D441-C0F4-4AA5-BD80-2D839A5C7B87}"/>
    <cellStyle name="40% - Accent2 3 8" xfId="4565" xr:uid="{00000000-0005-0000-0000-0000D9040000}"/>
    <cellStyle name="40% - Accent2 3 8 2" xfId="13015" xr:uid="{9FA44A9C-5D76-4886-B224-CA8EB0F49009}"/>
    <cellStyle name="40% - Accent2 3 9" xfId="17238" xr:uid="{B11E968E-352F-4BE1-85A0-1788A34F50DC}"/>
    <cellStyle name="40% - Accent2 4" xfId="64" xr:uid="{00000000-0005-0000-0000-0000DA040000}"/>
    <cellStyle name="40% - Accent2 4 10" xfId="18902" xr:uid="{D31829CA-7806-4779-8443-CBB1C2CE885C}"/>
    <cellStyle name="40% - Accent2 4 11" xfId="8799" xr:uid="{C9373A62-D86A-46B9-B52A-0A0920CCA364}"/>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7A55EF21-BC12-44C2-BFBF-53103319081F}"/>
    <cellStyle name="40% - Accent2 4 2 2 3" xfId="11358" xr:uid="{CD63D26D-0B8A-43AD-8477-8E0DE3CD5E26}"/>
    <cellStyle name="40% - Accent2 4 2 3" xfId="4981" xr:uid="{00000000-0005-0000-0000-0000DE040000}"/>
    <cellStyle name="40% - Accent2 4 2 3 2" xfId="13431" xr:uid="{B229F175-052E-44F7-B029-042A0BFB250A}"/>
    <cellStyle name="40% - Accent2 4 2 4" xfId="17657" xr:uid="{69E0B8F5-E645-4754-8B5B-0CC4783B3320}"/>
    <cellStyle name="40% - Accent2 4 2 5" xfId="18489" xr:uid="{DF4ABF59-D134-436E-9D36-E2E80480A38D}"/>
    <cellStyle name="40% - Accent2 4 2 6" xfId="19318" xr:uid="{3B31FBB3-5628-4D2A-9522-B553BF3365B6}"/>
    <cellStyle name="40% - Accent2 4 2 7" xfId="9213" xr:uid="{D252BED3-DD91-43B3-B81A-D968F834D02E}"/>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3792F841-2AC0-4E81-B62A-FBC3F19207CC}"/>
    <cellStyle name="40% - Accent2 4 3 2 3" xfId="11771" xr:uid="{5C893C72-D02F-4F5D-AB17-3388D1F27468}"/>
    <cellStyle name="40% - Accent2 4 3 3" xfId="5394" xr:uid="{00000000-0005-0000-0000-0000E2040000}"/>
    <cellStyle name="40% - Accent2 4 3 3 2" xfId="13844" xr:uid="{BB3BD65A-8C2F-4ADB-B3D8-073C5A7D0194}"/>
    <cellStyle name="40% - Accent2 4 3 4" xfId="9626" xr:uid="{F6B61A8A-F903-44A0-9709-330C3EA78CD8}"/>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A7923352-7923-4E37-844F-8A30103A784D}"/>
    <cellStyle name="40% - Accent2 4 4 2 3" xfId="12184" xr:uid="{0936E3F9-299B-44C6-8158-A5E8D877CBBF}"/>
    <cellStyle name="40% - Accent2 4 4 3" xfId="5807" xr:uid="{00000000-0005-0000-0000-0000E6040000}"/>
    <cellStyle name="40% - Accent2 4 4 3 2" xfId="14257" xr:uid="{0F8C9FC2-2DC9-4BAA-A5D9-0499118CD0CE}"/>
    <cellStyle name="40% - Accent2 4 4 4" xfId="10039" xr:uid="{D4B654FD-4E34-466E-A4BF-5B6CCCF7507C}"/>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725D4135-A4BD-4E44-8DE2-7CF5B926F6F8}"/>
    <cellStyle name="40% - Accent2 4 5 2 3" xfId="12597" xr:uid="{C27D3F7C-3A81-4C02-9585-7D1D0B752D7C}"/>
    <cellStyle name="40% - Accent2 4 5 3" xfId="6220" xr:uid="{00000000-0005-0000-0000-0000EA040000}"/>
    <cellStyle name="40% - Accent2 4 5 3 2" xfId="14670" xr:uid="{6DFB78DA-4DDE-42C7-9448-AE7637ECA0B9}"/>
    <cellStyle name="40% - Accent2 4 5 4" xfId="10452" xr:uid="{2D29A5E3-0DBF-4A7B-A86A-1ACF1D53F159}"/>
    <cellStyle name="40% - Accent2 4 6" xfId="2327" xr:uid="{00000000-0005-0000-0000-0000EB040000}"/>
    <cellStyle name="40% - Accent2 4 6 2" xfId="6633" xr:uid="{00000000-0005-0000-0000-0000EC040000}"/>
    <cellStyle name="40% - Accent2 4 6 2 2" xfId="15083" xr:uid="{E64EC349-6E84-40E9-9CF1-6C7B60C0E421}"/>
    <cellStyle name="40% - Accent2 4 6 3" xfId="10865" xr:uid="{781DCC7D-F99A-4657-9B20-5C0F54FC47CB}"/>
    <cellStyle name="40% - Accent2 4 7" xfId="4567" xr:uid="{00000000-0005-0000-0000-0000ED040000}"/>
    <cellStyle name="40% - Accent2 4 7 2" xfId="13017" xr:uid="{0DA41CBB-3F84-4375-9AD6-DAA956710F01}"/>
    <cellStyle name="40% - Accent2 4 8" xfId="17240" xr:uid="{99AB8624-C233-4AA6-A8DC-3A1D0F3C4063}"/>
    <cellStyle name="40% - Accent2 4 9" xfId="18073" xr:uid="{5C3C3FA3-31BE-4873-8008-E11841D16700}"/>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7B0FB268-CB18-494B-B0EB-C11A9D5759A5}"/>
    <cellStyle name="40% - Accent2 5 2 3" xfId="11351" xr:uid="{5F120F8B-F276-44AC-A24F-A2ECCACADB97}"/>
    <cellStyle name="40% - Accent2 5 3" xfId="4974" xr:uid="{00000000-0005-0000-0000-0000F1040000}"/>
    <cellStyle name="40% - Accent2 5 3 2" xfId="13424" xr:uid="{DBF3E756-8464-41BB-8AB3-2F7EF02479DA}"/>
    <cellStyle name="40% - Accent2 5 4" xfId="17650" xr:uid="{291F3EF3-6C1C-46E1-9DD5-F7F03BB3F8E3}"/>
    <cellStyle name="40% - Accent2 5 5" xfId="18482" xr:uid="{0988ECFF-6CCF-4804-A1E8-518469981BEC}"/>
    <cellStyle name="40% - Accent2 5 6" xfId="19311" xr:uid="{F2AD13CF-A6BC-4E5C-A54C-EB6F002EC99C}"/>
    <cellStyle name="40% - Accent2 5 7" xfId="9206" xr:uid="{61F10DF6-3AA9-46C2-A817-9B4A0AFCD28D}"/>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863141C3-D729-48CF-9DB9-E53C13D70199}"/>
    <cellStyle name="40% - Accent2 6 2 3" xfId="11764" xr:uid="{96461947-96C7-4180-84A1-0991AAD19C0B}"/>
    <cellStyle name="40% - Accent2 6 3" xfId="5387" xr:uid="{00000000-0005-0000-0000-0000F5040000}"/>
    <cellStyle name="40% - Accent2 6 3 2" xfId="13837" xr:uid="{302B34A4-D941-4C38-974A-ED17152C11E3}"/>
    <cellStyle name="40% - Accent2 6 4" xfId="9619" xr:uid="{562A833F-1B49-4292-92AF-4F192C545E09}"/>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DDFAE152-CAA9-44E5-8873-AD500FD4F8EA}"/>
    <cellStyle name="40% - Accent2 7 2 3" xfId="12177" xr:uid="{AC71AC0A-EB59-4314-881C-19A51B55E273}"/>
    <cellStyle name="40% - Accent2 7 3" xfId="5800" xr:uid="{00000000-0005-0000-0000-0000F9040000}"/>
    <cellStyle name="40% - Accent2 7 3 2" xfId="14250" xr:uid="{809F5494-0081-4CB8-830F-BDB1265B7F9B}"/>
    <cellStyle name="40% - Accent2 7 4" xfId="10032" xr:uid="{D18846C3-F0EE-4C39-8A0C-04DEA739033E}"/>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553E40D3-E177-46A8-9677-2CA8D4D199DC}"/>
    <cellStyle name="40% - Accent2 8 2 3" xfId="12590" xr:uid="{652153BD-00FE-4E55-B955-401F0DE7B426}"/>
    <cellStyle name="40% - Accent2 8 3" xfId="6213" xr:uid="{00000000-0005-0000-0000-0000FD040000}"/>
    <cellStyle name="40% - Accent2 8 3 2" xfId="14663" xr:uid="{0AD397B2-B1F2-4E98-B644-1BF8ECBA15EE}"/>
    <cellStyle name="40% - Accent2 8 4" xfId="10445" xr:uid="{130023F1-5DC3-48DA-B80F-B57BF2CA567D}"/>
    <cellStyle name="40% - Accent2 9" xfId="2320" xr:uid="{00000000-0005-0000-0000-0000FE040000}"/>
    <cellStyle name="40% - Accent2 9 2" xfId="6626" xr:uid="{00000000-0005-0000-0000-0000FF040000}"/>
    <cellStyle name="40% - Accent2 9 2 2" xfId="15076" xr:uid="{5E24227B-09E7-4D39-BCED-E488DAAD8869}"/>
    <cellStyle name="40% - Accent2 9 3" xfId="10858" xr:uid="{28F120EF-F6CC-4E02-8BF0-15409FB55BDE}"/>
    <cellStyle name="40% - Accent3" xfId="65" builtinId="39" customBuiltin="1"/>
    <cellStyle name="40% - Accent3 10" xfId="4568" xr:uid="{00000000-0005-0000-0000-000001050000}"/>
    <cellStyle name="40% - Accent3 10 2" xfId="13018" xr:uid="{A9AC0F1E-7D0A-40F7-BF90-451A97F54F24}"/>
    <cellStyle name="40% - Accent3 11" xfId="17241" xr:uid="{B712528A-E588-4656-8721-3E8C5E5E24F6}"/>
    <cellStyle name="40% - Accent3 12" xfId="18074" xr:uid="{7F01374E-6DAE-4E7C-9F05-FAD953831CD6}"/>
    <cellStyle name="40% - Accent3 13" xfId="18903" xr:uid="{F43887EB-5BED-4684-BA10-28576ACA1C91}"/>
    <cellStyle name="40% - Accent3 14" xfId="8800" xr:uid="{B945DAA9-7CCA-49C2-8EF6-9B18FD9D52CD}"/>
    <cellStyle name="40% - Accent3 2" xfId="66" xr:uid="{00000000-0005-0000-0000-000002050000}"/>
    <cellStyle name="40% - Accent3 2 10" xfId="17242" xr:uid="{E1C7373E-5E66-4A0B-889F-118983A3084D}"/>
    <cellStyle name="40% - Accent3 2 11" xfId="18075" xr:uid="{201462BE-5831-4ABA-953C-BE9C24057AA4}"/>
    <cellStyle name="40% - Accent3 2 12" xfId="18904" xr:uid="{B5D20698-93D2-4FC4-A9ED-3C04FAA11113}"/>
    <cellStyle name="40% - Accent3 2 13" xfId="8801" xr:uid="{820B793F-DB1D-4C95-8714-AF3EE45C4C24}"/>
    <cellStyle name="40% - Accent3 2 2" xfId="67" xr:uid="{00000000-0005-0000-0000-000003050000}"/>
    <cellStyle name="40% - Accent3 2 2 10" xfId="18076" xr:uid="{0622B92D-0337-42BF-87FB-93966BFD1936}"/>
    <cellStyle name="40% - Accent3 2 2 11" xfId="18905" xr:uid="{8ECA75E3-7679-467B-B23C-EF457F052513}"/>
    <cellStyle name="40% - Accent3 2 2 12" xfId="8802" xr:uid="{7AD0CA19-039D-4B3A-9127-FA3E11120FEE}"/>
    <cellStyle name="40% - Accent3 2 2 2" xfId="68" xr:uid="{00000000-0005-0000-0000-000004050000}"/>
    <cellStyle name="40% - Accent3 2 2 2 10" xfId="18906" xr:uid="{7CDD8657-96E2-4A48-80F1-D49C21D1148A}"/>
    <cellStyle name="40% - Accent3 2 2 2 11" xfId="8803" xr:uid="{FB83D021-EACD-4C8B-8683-4F47DA033B63}"/>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72AD2434-31CA-414C-9A8E-D114B68DB39C}"/>
    <cellStyle name="40% - Accent3 2 2 2 2 2 3" xfId="11362" xr:uid="{6A8F2BAA-61F1-4ADC-8FAE-D5ADB4199D07}"/>
    <cellStyle name="40% - Accent3 2 2 2 2 3" xfId="4985" xr:uid="{00000000-0005-0000-0000-000008050000}"/>
    <cellStyle name="40% - Accent3 2 2 2 2 3 2" xfId="13435" xr:uid="{FBB6A260-8DE1-434E-8175-5E5CE21F6DA9}"/>
    <cellStyle name="40% - Accent3 2 2 2 2 4" xfId="17661" xr:uid="{44989E8D-23F8-4423-BFCE-D456C1317305}"/>
    <cellStyle name="40% - Accent3 2 2 2 2 5" xfId="18493" xr:uid="{5E6B9012-E87E-4C1A-A210-3C05ABD9A82A}"/>
    <cellStyle name="40% - Accent3 2 2 2 2 6" xfId="19322" xr:uid="{969EC47F-CC3F-4F85-B5A3-7199E45DB7EC}"/>
    <cellStyle name="40% - Accent3 2 2 2 2 7" xfId="9217" xr:uid="{BF43E7BD-5F51-405E-8E5B-7586F718A9E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625218A2-EE07-4B5E-8E37-F67ABCC8242E}"/>
    <cellStyle name="40% - Accent3 2 2 2 3 2 3" xfId="11775" xr:uid="{B4FD68A2-5D32-453F-AE4E-6F9714D274F4}"/>
    <cellStyle name="40% - Accent3 2 2 2 3 3" xfId="5398" xr:uid="{00000000-0005-0000-0000-00000C050000}"/>
    <cellStyle name="40% - Accent3 2 2 2 3 3 2" xfId="13848" xr:uid="{EA038166-0462-4C38-B6D9-39CE8CC7CFCC}"/>
    <cellStyle name="40% - Accent3 2 2 2 3 4" xfId="9630" xr:uid="{C37414AC-CC79-4104-BFAB-AD74515264D1}"/>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8B76E5CB-4811-467C-835F-FF948B84F157}"/>
    <cellStyle name="40% - Accent3 2 2 2 4 2 3" xfId="12188" xr:uid="{7E896071-AE36-40C4-8E6B-EF0EE50E31C5}"/>
    <cellStyle name="40% - Accent3 2 2 2 4 3" xfId="5811" xr:uid="{00000000-0005-0000-0000-000010050000}"/>
    <cellStyle name="40% - Accent3 2 2 2 4 3 2" xfId="14261" xr:uid="{0CDEE0A6-ECC0-4AC0-B47F-DA42BC69F1BA}"/>
    <cellStyle name="40% - Accent3 2 2 2 4 4" xfId="10043" xr:uid="{4A484990-BF0B-43F3-B151-2020669D80D9}"/>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71D8B293-6C20-4683-9ED7-D97729885C31}"/>
    <cellStyle name="40% - Accent3 2 2 2 5 2 3" xfId="12601" xr:uid="{B6D7A30E-DDFB-469C-90AE-377A1661C919}"/>
    <cellStyle name="40% - Accent3 2 2 2 5 3" xfId="6224" xr:uid="{00000000-0005-0000-0000-000014050000}"/>
    <cellStyle name="40% - Accent3 2 2 2 5 3 2" xfId="14674" xr:uid="{2C0B7221-299B-4366-9A83-A9798E63A353}"/>
    <cellStyle name="40% - Accent3 2 2 2 5 4" xfId="10456" xr:uid="{9E17C04F-3141-4F89-AE4D-BFC1FF1624BE}"/>
    <cellStyle name="40% - Accent3 2 2 2 6" xfId="2331" xr:uid="{00000000-0005-0000-0000-000015050000}"/>
    <cellStyle name="40% - Accent3 2 2 2 6 2" xfId="6637" xr:uid="{00000000-0005-0000-0000-000016050000}"/>
    <cellStyle name="40% - Accent3 2 2 2 6 2 2" xfId="15087" xr:uid="{FAD5812E-0FA2-4135-8D88-63923037FB12}"/>
    <cellStyle name="40% - Accent3 2 2 2 6 3" xfId="10869" xr:uid="{EA074D50-5095-49B9-9F2C-86ADBF3E9829}"/>
    <cellStyle name="40% - Accent3 2 2 2 7" xfId="4571" xr:uid="{00000000-0005-0000-0000-000017050000}"/>
    <cellStyle name="40% - Accent3 2 2 2 7 2" xfId="13021" xr:uid="{0595A528-E190-4BD4-BCB3-75AB701A198B}"/>
    <cellStyle name="40% - Accent3 2 2 2 8" xfId="17244" xr:uid="{6219D728-69C7-4F3D-A64C-C886292F9ED3}"/>
    <cellStyle name="40% - Accent3 2 2 2 9" xfId="18077" xr:uid="{1C1FCAFF-847B-4360-9DFD-3D6CB21D72B8}"/>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04B32DC0-FEF4-466A-9885-16A26995EB08}"/>
    <cellStyle name="40% - Accent3 2 2 3 2 3" xfId="11361" xr:uid="{58563CBE-1DB1-4716-9B70-2CE3AFB4ACFD}"/>
    <cellStyle name="40% - Accent3 2 2 3 3" xfId="4984" xr:uid="{00000000-0005-0000-0000-00001B050000}"/>
    <cellStyle name="40% - Accent3 2 2 3 3 2" xfId="13434" xr:uid="{B7F69A4F-7BF0-401E-9966-31D9566AF842}"/>
    <cellStyle name="40% - Accent3 2 2 3 4" xfId="17660" xr:uid="{DCB93FF5-184A-414F-8728-0F64B34D91AD}"/>
    <cellStyle name="40% - Accent3 2 2 3 5" xfId="18492" xr:uid="{5196ECD6-EEF8-4605-ADC8-6292EE0C5861}"/>
    <cellStyle name="40% - Accent3 2 2 3 6" xfId="19321" xr:uid="{15040139-209D-4866-9FBE-4CF1C6AFCABB}"/>
    <cellStyle name="40% - Accent3 2 2 3 7" xfId="9216" xr:uid="{F6D75E80-EE00-40C3-96E6-41C6C9136660}"/>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68719092-EE9E-4827-BF89-12E76A2BB33B}"/>
    <cellStyle name="40% - Accent3 2 2 4 2 3" xfId="11774" xr:uid="{9121254E-1CDF-4849-A11F-5A05AB9233D4}"/>
    <cellStyle name="40% - Accent3 2 2 4 3" xfId="5397" xr:uid="{00000000-0005-0000-0000-00001F050000}"/>
    <cellStyle name="40% - Accent3 2 2 4 3 2" xfId="13847" xr:uid="{B9654E83-5C36-4BAD-AD35-42895F9D7021}"/>
    <cellStyle name="40% - Accent3 2 2 4 4" xfId="9629" xr:uid="{E7733690-6D45-4828-A5D4-BF290D6A87C7}"/>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57147E84-1C99-4894-A41B-AAD9BFC9105B}"/>
    <cellStyle name="40% - Accent3 2 2 5 2 3" xfId="12187" xr:uid="{963FB28D-3BEE-4F4D-AF2B-C05C9EE435B3}"/>
    <cellStyle name="40% - Accent3 2 2 5 3" xfId="5810" xr:uid="{00000000-0005-0000-0000-000023050000}"/>
    <cellStyle name="40% - Accent3 2 2 5 3 2" xfId="14260" xr:uid="{B212A91D-17AF-40F5-A236-AABE8569D672}"/>
    <cellStyle name="40% - Accent3 2 2 5 4" xfId="10042" xr:uid="{8A456A9D-1DBD-467B-94C0-E1B0086314F1}"/>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69D12FE5-3811-4353-8236-6E3FBA813D70}"/>
    <cellStyle name="40% - Accent3 2 2 6 2 3" xfId="12600" xr:uid="{150FD815-D219-496E-B3C1-738480DDABA1}"/>
    <cellStyle name="40% - Accent3 2 2 6 3" xfId="6223" xr:uid="{00000000-0005-0000-0000-000027050000}"/>
    <cellStyle name="40% - Accent3 2 2 6 3 2" xfId="14673" xr:uid="{37585076-492A-42E3-BFF9-DAEC254E44F8}"/>
    <cellStyle name="40% - Accent3 2 2 6 4" xfId="10455" xr:uid="{EAE16CE0-2F30-4456-9739-685C74E03736}"/>
    <cellStyle name="40% - Accent3 2 2 7" xfId="2330" xr:uid="{00000000-0005-0000-0000-000028050000}"/>
    <cellStyle name="40% - Accent3 2 2 7 2" xfId="6636" xr:uid="{00000000-0005-0000-0000-000029050000}"/>
    <cellStyle name="40% - Accent3 2 2 7 2 2" xfId="15086" xr:uid="{35B2FA98-49C3-4139-BAB6-D6F8B1043F5F}"/>
    <cellStyle name="40% - Accent3 2 2 7 3" xfId="10868" xr:uid="{8A797D31-7F2D-4E5E-A3A3-F1CA4CA372E6}"/>
    <cellStyle name="40% - Accent3 2 2 8" xfId="4570" xr:uid="{00000000-0005-0000-0000-00002A050000}"/>
    <cellStyle name="40% - Accent3 2 2 8 2" xfId="13020" xr:uid="{76DD6DEE-38A3-4DA3-9551-7177D8469791}"/>
    <cellStyle name="40% - Accent3 2 2 9" xfId="17243" xr:uid="{8571C44C-E6FC-4860-B55D-894B35EA490C}"/>
    <cellStyle name="40% - Accent3 2 3" xfId="69" xr:uid="{00000000-0005-0000-0000-00002B050000}"/>
    <cellStyle name="40% - Accent3 2 3 10" xfId="18907" xr:uid="{B7BE2E03-41B0-401E-93BE-44A75D370B57}"/>
    <cellStyle name="40% - Accent3 2 3 11" xfId="8804" xr:uid="{6E3C4030-0C7B-4421-BCD3-4453C718E6DE}"/>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A45328DF-1D2A-487B-9FE5-F4C7CC5B40C3}"/>
    <cellStyle name="40% - Accent3 2 3 2 2 3" xfId="11363" xr:uid="{3E52C441-DBE4-45E7-BAE3-AF2E02DA9163}"/>
    <cellStyle name="40% - Accent3 2 3 2 3" xfId="4986" xr:uid="{00000000-0005-0000-0000-00002F050000}"/>
    <cellStyle name="40% - Accent3 2 3 2 3 2" xfId="13436" xr:uid="{400D3E3B-9EBA-460A-8B2F-3CC429E152DE}"/>
    <cellStyle name="40% - Accent3 2 3 2 4" xfId="17662" xr:uid="{BB89C749-E9A6-443B-BB54-D51FD3B2ADF7}"/>
    <cellStyle name="40% - Accent3 2 3 2 5" xfId="18494" xr:uid="{D27DB236-D67C-4180-B605-71691749E3B2}"/>
    <cellStyle name="40% - Accent3 2 3 2 6" xfId="19323" xr:uid="{C44F03D6-E9C1-48F3-BF5D-552939052F33}"/>
    <cellStyle name="40% - Accent3 2 3 2 7" xfId="9218" xr:uid="{AAE664E1-17AE-48F4-AFF5-839F23D270A8}"/>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A6A4F392-BDA9-45EF-8A7D-C3CE897A34E5}"/>
    <cellStyle name="40% - Accent3 2 3 3 2 3" xfId="11776" xr:uid="{44AD46A8-44C1-4D9B-9C32-E831DEF4264C}"/>
    <cellStyle name="40% - Accent3 2 3 3 3" xfId="5399" xr:uid="{00000000-0005-0000-0000-000033050000}"/>
    <cellStyle name="40% - Accent3 2 3 3 3 2" xfId="13849" xr:uid="{62BB4DF6-E7C6-4C07-9F42-800A31987BB4}"/>
    <cellStyle name="40% - Accent3 2 3 3 4" xfId="9631" xr:uid="{8F22211C-8D78-4505-B4DB-68F6EFB2B8D9}"/>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51B614D4-F910-413A-81A8-E699234EC0F4}"/>
    <cellStyle name="40% - Accent3 2 3 4 2 3" xfId="12189" xr:uid="{9C614197-31FB-45D4-8FE1-549ECA3F8969}"/>
    <cellStyle name="40% - Accent3 2 3 4 3" xfId="5812" xr:uid="{00000000-0005-0000-0000-000037050000}"/>
    <cellStyle name="40% - Accent3 2 3 4 3 2" xfId="14262" xr:uid="{7439B9AE-4FC3-420D-8068-7A36D62758E9}"/>
    <cellStyle name="40% - Accent3 2 3 4 4" xfId="10044" xr:uid="{8BD39787-1D0D-4092-96E9-1DC20F8C3C74}"/>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27835CB3-AC66-43A0-AD96-860C2F88D98C}"/>
    <cellStyle name="40% - Accent3 2 3 5 2 3" xfId="12602" xr:uid="{A2377263-E564-4CBF-810C-56920C7B3622}"/>
    <cellStyle name="40% - Accent3 2 3 5 3" xfId="6225" xr:uid="{00000000-0005-0000-0000-00003B050000}"/>
    <cellStyle name="40% - Accent3 2 3 5 3 2" xfId="14675" xr:uid="{597FB2D7-96A6-405C-BF76-2EF8B0325797}"/>
    <cellStyle name="40% - Accent3 2 3 5 4" xfId="10457" xr:uid="{8042AD33-93E1-4A03-A29F-39CC3BBA5E9C}"/>
    <cellStyle name="40% - Accent3 2 3 6" xfId="2332" xr:uid="{00000000-0005-0000-0000-00003C050000}"/>
    <cellStyle name="40% - Accent3 2 3 6 2" xfId="6638" xr:uid="{00000000-0005-0000-0000-00003D050000}"/>
    <cellStyle name="40% - Accent3 2 3 6 2 2" xfId="15088" xr:uid="{29B4EC08-BF38-4F05-96D2-1018904EF10E}"/>
    <cellStyle name="40% - Accent3 2 3 6 3" xfId="10870" xr:uid="{5099E427-3214-4332-AED7-A2E8145194DE}"/>
    <cellStyle name="40% - Accent3 2 3 7" xfId="4572" xr:uid="{00000000-0005-0000-0000-00003E050000}"/>
    <cellStyle name="40% - Accent3 2 3 7 2" xfId="13022" xr:uid="{7FEE11FA-CA02-41A4-803F-5A01079CFD87}"/>
    <cellStyle name="40% - Accent3 2 3 8" xfId="17245" xr:uid="{3CD091BC-7D65-47F4-83A6-37019DD873D3}"/>
    <cellStyle name="40% - Accent3 2 3 9" xfId="18078" xr:uid="{18B71AEB-64E9-4DE3-8456-4A53C7CECF22}"/>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27E586B4-A977-4B83-84F0-BFE50C05B8DE}"/>
    <cellStyle name="40% - Accent3 2 4 2 3" xfId="11360" xr:uid="{06EF11D1-4F22-4BFC-BF76-5219734E4B29}"/>
    <cellStyle name="40% - Accent3 2 4 3" xfId="4983" xr:uid="{00000000-0005-0000-0000-000042050000}"/>
    <cellStyle name="40% - Accent3 2 4 3 2" xfId="13433" xr:uid="{4C1C9ADD-106D-4D97-ADD5-F3276FC3A207}"/>
    <cellStyle name="40% - Accent3 2 4 4" xfId="17659" xr:uid="{219ABA36-1352-407B-A8EC-9A139B54B0F8}"/>
    <cellStyle name="40% - Accent3 2 4 5" xfId="18491" xr:uid="{B56AC9C7-5144-44D4-9291-F5E00B9A4DB9}"/>
    <cellStyle name="40% - Accent3 2 4 6" xfId="19320" xr:uid="{6424000A-9D1C-45DD-9DDE-E2202BF9E44C}"/>
    <cellStyle name="40% - Accent3 2 4 7" xfId="9215" xr:uid="{D9D5AD09-DC9F-4225-BD8F-E0048D16EF80}"/>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9CD6ED1D-D86D-4FF4-8680-EA2C9CB82824}"/>
    <cellStyle name="40% - Accent3 2 5 2 3" xfId="11773" xr:uid="{BB1E3F00-A1B2-45A4-8279-ADBE9FB7A302}"/>
    <cellStyle name="40% - Accent3 2 5 3" xfId="5396" xr:uid="{00000000-0005-0000-0000-000046050000}"/>
    <cellStyle name="40% - Accent3 2 5 3 2" xfId="13846" xr:uid="{B5CFC2E0-11F3-4E58-B71E-F71D3FCA11CA}"/>
    <cellStyle name="40% - Accent3 2 5 4" xfId="9628" xr:uid="{D3213FFC-7049-4183-A6C6-3C9D305DA8E5}"/>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6E4BE8A3-1D77-4418-B899-1C11EE12DCAF}"/>
    <cellStyle name="40% - Accent3 2 6 2 3" xfId="12186" xr:uid="{279C4431-1DE2-4219-8B06-62BACDE37E47}"/>
    <cellStyle name="40% - Accent3 2 6 3" xfId="5809" xr:uid="{00000000-0005-0000-0000-00004A050000}"/>
    <cellStyle name="40% - Accent3 2 6 3 2" xfId="14259" xr:uid="{B2C4E3EF-E1C4-4C33-AD8F-02E56680A294}"/>
    <cellStyle name="40% - Accent3 2 6 4" xfId="10041" xr:uid="{A25F084F-9CA4-47A3-8129-8010C3168CAE}"/>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86CDE125-16B4-4F14-A4D4-315A4E34B420}"/>
    <cellStyle name="40% - Accent3 2 7 2 3" xfId="12599" xr:uid="{E3C2F61D-9E73-468E-9FE8-DFAE0F201722}"/>
    <cellStyle name="40% - Accent3 2 7 3" xfId="6222" xr:uid="{00000000-0005-0000-0000-00004E050000}"/>
    <cellStyle name="40% - Accent3 2 7 3 2" xfId="14672" xr:uid="{65F61B11-40D4-4E27-8401-115105F50D77}"/>
    <cellStyle name="40% - Accent3 2 7 4" xfId="10454" xr:uid="{6DDD3FF9-B73E-4AE2-82F0-FE0CF9264731}"/>
    <cellStyle name="40% - Accent3 2 8" xfId="2329" xr:uid="{00000000-0005-0000-0000-00004F050000}"/>
    <cellStyle name="40% - Accent3 2 8 2" xfId="6635" xr:uid="{00000000-0005-0000-0000-000050050000}"/>
    <cellStyle name="40% - Accent3 2 8 2 2" xfId="15085" xr:uid="{6D172711-0132-4BB4-B3FA-1FFC196897D7}"/>
    <cellStyle name="40% - Accent3 2 8 3" xfId="10867" xr:uid="{8E755E93-441F-4B8C-A4C9-ADF0DA477BCC}"/>
    <cellStyle name="40% - Accent3 2 9" xfId="4569" xr:uid="{00000000-0005-0000-0000-000051050000}"/>
    <cellStyle name="40% - Accent3 2 9 2" xfId="13019" xr:uid="{2E6AE3EB-33FA-4BB3-AA94-B1A400F6B54B}"/>
    <cellStyle name="40% - Accent3 3" xfId="70" xr:uid="{00000000-0005-0000-0000-000052050000}"/>
    <cellStyle name="40% - Accent3 3 10" xfId="18079" xr:uid="{A493C13D-B048-4D00-A093-399917358FA8}"/>
    <cellStyle name="40% - Accent3 3 11" xfId="18908" xr:uid="{24537042-03DD-4054-8C89-E53065AFF3B0}"/>
    <cellStyle name="40% - Accent3 3 12" xfId="8805" xr:uid="{6E13B9BB-6485-46A0-9081-02EC67600D2D}"/>
    <cellStyle name="40% - Accent3 3 2" xfId="71" xr:uid="{00000000-0005-0000-0000-000053050000}"/>
    <cellStyle name="40% - Accent3 3 2 10" xfId="18909" xr:uid="{54421662-814E-463A-B36C-22C76B1C6D45}"/>
    <cellStyle name="40% - Accent3 3 2 11" xfId="8806" xr:uid="{F3F51728-9B0B-4258-94F8-1D9FD0D15ED6}"/>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738FCE1F-521B-45A7-A175-A41553F33D6E}"/>
    <cellStyle name="40% - Accent3 3 2 2 2 3" xfId="11365" xr:uid="{AED646F3-75A2-4B0D-AC10-A4001A968BEA}"/>
    <cellStyle name="40% - Accent3 3 2 2 3" xfId="4988" xr:uid="{00000000-0005-0000-0000-000057050000}"/>
    <cellStyle name="40% - Accent3 3 2 2 3 2" xfId="13438" xr:uid="{F1D3C13B-EEE4-403E-B374-9D29B5862C03}"/>
    <cellStyle name="40% - Accent3 3 2 2 4" xfId="17664" xr:uid="{B1B08E18-4778-4775-BD78-F5F8D8FAC693}"/>
    <cellStyle name="40% - Accent3 3 2 2 5" xfId="18496" xr:uid="{76834461-1796-4B94-B7D5-B9DE2EB1645E}"/>
    <cellStyle name="40% - Accent3 3 2 2 6" xfId="19325" xr:uid="{7BE9B8E4-A35A-462D-8628-11AA7290B6D7}"/>
    <cellStyle name="40% - Accent3 3 2 2 7" xfId="9220" xr:uid="{1759EA37-AB7E-495F-8362-99E1CABE5C7F}"/>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2CADAC3F-E514-4D57-9405-659699A164E2}"/>
    <cellStyle name="40% - Accent3 3 2 3 2 3" xfId="11778" xr:uid="{B4FC1A7C-63C2-4275-AB31-A41881610F9D}"/>
    <cellStyle name="40% - Accent3 3 2 3 3" xfId="5401" xr:uid="{00000000-0005-0000-0000-00005B050000}"/>
    <cellStyle name="40% - Accent3 3 2 3 3 2" xfId="13851" xr:uid="{43A66DC6-FD04-4862-835F-883487994343}"/>
    <cellStyle name="40% - Accent3 3 2 3 4" xfId="9633" xr:uid="{EA4E67E8-DBC5-4369-AB95-32B6D889D120}"/>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B5C65847-50F3-4BA7-8488-DADCC69DBA58}"/>
    <cellStyle name="40% - Accent3 3 2 4 2 3" xfId="12191" xr:uid="{7128E616-3061-4F8A-A0DC-7EEF349C804D}"/>
    <cellStyle name="40% - Accent3 3 2 4 3" xfId="5814" xr:uid="{00000000-0005-0000-0000-00005F050000}"/>
    <cellStyle name="40% - Accent3 3 2 4 3 2" xfId="14264" xr:uid="{EE3A6E47-4BBA-453D-8814-1361652E5729}"/>
    <cellStyle name="40% - Accent3 3 2 4 4" xfId="10046" xr:uid="{59F1EE78-C01F-4DD3-9EF7-22659730CC2D}"/>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2D2C7945-A437-4E9C-8EB5-21022B71EA38}"/>
    <cellStyle name="40% - Accent3 3 2 5 2 3" xfId="12604" xr:uid="{72A4C66A-3BE0-4D8D-927D-2CDFF4754F8B}"/>
    <cellStyle name="40% - Accent3 3 2 5 3" xfId="6227" xr:uid="{00000000-0005-0000-0000-000063050000}"/>
    <cellStyle name="40% - Accent3 3 2 5 3 2" xfId="14677" xr:uid="{43A91484-ED03-4A03-A7BC-97F377D04E1E}"/>
    <cellStyle name="40% - Accent3 3 2 5 4" xfId="10459" xr:uid="{1E60DC17-E63D-4AB9-86F9-96BB002ABA19}"/>
    <cellStyle name="40% - Accent3 3 2 6" xfId="2334" xr:uid="{00000000-0005-0000-0000-000064050000}"/>
    <cellStyle name="40% - Accent3 3 2 6 2" xfId="6640" xr:uid="{00000000-0005-0000-0000-000065050000}"/>
    <cellStyle name="40% - Accent3 3 2 6 2 2" xfId="15090" xr:uid="{017DAF6E-A4D4-45C5-BD42-2CEB39E9C339}"/>
    <cellStyle name="40% - Accent3 3 2 6 3" xfId="10872" xr:uid="{5EAE1E0F-436B-4C43-80EB-380AA99344BA}"/>
    <cellStyle name="40% - Accent3 3 2 7" xfId="4574" xr:uid="{00000000-0005-0000-0000-000066050000}"/>
    <cellStyle name="40% - Accent3 3 2 7 2" xfId="13024" xr:uid="{8E9F0342-4E75-41AD-9C40-C1F198F3F4F4}"/>
    <cellStyle name="40% - Accent3 3 2 8" xfId="17247" xr:uid="{0BA1C7C8-476B-4DEE-9702-5383AE463EB7}"/>
    <cellStyle name="40% - Accent3 3 2 9" xfId="18080" xr:uid="{AE739E1D-45E0-44BB-BA35-7232B3D34843}"/>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BAD2E05D-E464-4FAE-A76F-6FF85262A152}"/>
    <cellStyle name="40% - Accent3 3 3 2 3" xfId="11364" xr:uid="{1C29033B-57EB-4BB5-A72C-36E01D51D838}"/>
    <cellStyle name="40% - Accent3 3 3 3" xfId="4987" xr:uid="{00000000-0005-0000-0000-00006A050000}"/>
    <cellStyle name="40% - Accent3 3 3 3 2" xfId="13437" xr:uid="{C8507BF4-ED02-4ECA-853F-AA260AC20AA3}"/>
    <cellStyle name="40% - Accent3 3 3 4" xfId="17663" xr:uid="{917630DB-3FD3-4A9A-B5D1-46DB333274C6}"/>
    <cellStyle name="40% - Accent3 3 3 5" xfId="18495" xr:uid="{692EE98E-5EA0-492B-9141-F5F3953AC1E4}"/>
    <cellStyle name="40% - Accent3 3 3 6" xfId="19324" xr:uid="{3B76F09F-8BEE-4BCB-8C84-BA896B5C340E}"/>
    <cellStyle name="40% - Accent3 3 3 7" xfId="9219" xr:uid="{1CB10C80-0006-427E-9A1E-B60CA59A4699}"/>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984DE1F0-CDB5-4769-9E11-11114A368B55}"/>
    <cellStyle name="40% - Accent3 3 4 2 3" xfId="11777" xr:uid="{94E257CE-784D-481E-B282-04D9A446F901}"/>
    <cellStyle name="40% - Accent3 3 4 3" xfId="5400" xr:uid="{00000000-0005-0000-0000-00006E050000}"/>
    <cellStyle name="40% - Accent3 3 4 3 2" xfId="13850" xr:uid="{D7AF2172-965B-48EF-A4E7-3586E9F83F22}"/>
    <cellStyle name="40% - Accent3 3 4 4" xfId="9632" xr:uid="{191FAEAA-4EAF-4A32-BB23-58E356276015}"/>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180C7CA8-BD01-4BFD-AF7E-C6C55A0BECB6}"/>
    <cellStyle name="40% - Accent3 3 5 2 3" xfId="12190" xr:uid="{E8084D7A-E0B0-48A4-9F62-E66DE8518685}"/>
    <cellStyle name="40% - Accent3 3 5 3" xfId="5813" xr:uid="{00000000-0005-0000-0000-000072050000}"/>
    <cellStyle name="40% - Accent3 3 5 3 2" xfId="14263" xr:uid="{F667F811-59AE-463F-B570-9AAA4BE74675}"/>
    <cellStyle name="40% - Accent3 3 5 4" xfId="10045" xr:uid="{41C17CF5-760C-40D4-A781-0193A159623B}"/>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AAED883D-5987-4701-BCDC-A8A5FC79C788}"/>
    <cellStyle name="40% - Accent3 3 6 2 3" xfId="12603" xr:uid="{36B825A1-EC3B-481B-9EC7-DBF42EB16503}"/>
    <cellStyle name="40% - Accent3 3 6 3" xfId="6226" xr:uid="{00000000-0005-0000-0000-000076050000}"/>
    <cellStyle name="40% - Accent3 3 6 3 2" xfId="14676" xr:uid="{29ED3A0B-9EEF-4EE6-885F-5EA0736513BC}"/>
    <cellStyle name="40% - Accent3 3 6 4" xfId="10458" xr:uid="{F6B31606-E844-4B08-BA58-A537EA61A3CE}"/>
    <cellStyle name="40% - Accent3 3 7" xfId="2333" xr:uid="{00000000-0005-0000-0000-000077050000}"/>
    <cellStyle name="40% - Accent3 3 7 2" xfId="6639" xr:uid="{00000000-0005-0000-0000-000078050000}"/>
    <cellStyle name="40% - Accent3 3 7 2 2" xfId="15089" xr:uid="{E6385330-4A0E-4E66-8686-4FB07B9EE28C}"/>
    <cellStyle name="40% - Accent3 3 7 3" xfId="10871" xr:uid="{31A566A0-6201-4D58-AB06-BD64EA06640D}"/>
    <cellStyle name="40% - Accent3 3 8" xfId="4573" xr:uid="{00000000-0005-0000-0000-000079050000}"/>
    <cellStyle name="40% - Accent3 3 8 2" xfId="13023" xr:uid="{7598B6D3-023F-43EB-9873-F2B66E967CF2}"/>
    <cellStyle name="40% - Accent3 3 9" xfId="17246" xr:uid="{C77BD060-796C-4400-BE94-FA7CA6B295A9}"/>
    <cellStyle name="40% - Accent3 4" xfId="72" xr:uid="{00000000-0005-0000-0000-00007A050000}"/>
    <cellStyle name="40% - Accent3 4 10" xfId="18910" xr:uid="{BC2D4300-D22F-459D-B9FA-E38F54234BB6}"/>
    <cellStyle name="40% - Accent3 4 11" xfId="8807" xr:uid="{E69C0BE7-153E-4BDC-8F3D-B4B7D027DDAC}"/>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A7080DA8-CB10-4F2B-84BA-7FFB82A030C7}"/>
    <cellStyle name="40% - Accent3 4 2 2 3" xfId="11366" xr:uid="{DD1EA90D-56A8-4029-9678-C71F454EE1F1}"/>
    <cellStyle name="40% - Accent3 4 2 3" xfId="4989" xr:uid="{00000000-0005-0000-0000-00007E050000}"/>
    <cellStyle name="40% - Accent3 4 2 3 2" xfId="13439" xr:uid="{33761936-1B2A-471A-8AC6-0E24550E6C35}"/>
    <cellStyle name="40% - Accent3 4 2 4" xfId="17665" xr:uid="{602BD6D8-46EE-4CC7-8CDF-42F62711416B}"/>
    <cellStyle name="40% - Accent3 4 2 5" xfId="18497" xr:uid="{224778C9-50F9-4BFD-B5B8-F1F665AB0E57}"/>
    <cellStyle name="40% - Accent3 4 2 6" xfId="19326" xr:uid="{6B39872E-2613-4CA6-92CA-B23C8D2D6BD8}"/>
    <cellStyle name="40% - Accent3 4 2 7" xfId="9221" xr:uid="{60B6D151-C56E-4151-B8D3-3EC84B39C3C2}"/>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D9F1C108-6972-4770-8805-041C5E467966}"/>
    <cellStyle name="40% - Accent3 4 3 2 3" xfId="11779" xr:uid="{709B88B2-2DF9-4641-8313-6AF48E486BA9}"/>
    <cellStyle name="40% - Accent3 4 3 3" xfId="5402" xr:uid="{00000000-0005-0000-0000-000082050000}"/>
    <cellStyle name="40% - Accent3 4 3 3 2" xfId="13852" xr:uid="{8AD36938-46CC-478E-BA7F-637149C69700}"/>
    <cellStyle name="40% - Accent3 4 3 4" xfId="9634" xr:uid="{58272B5A-3E88-44EC-B169-E8E0E5C63B59}"/>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524A7E0F-DAB8-47BD-899E-50D71357D951}"/>
    <cellStyle name="40% - Accent3 4 4 2 3" xfId="12192" xr:uid="{007BE9B1-954A-475F-B838-9FEB42F0D06E}"/>
    <cellStyle name="40% - Accent3 4 4 3" xfId="5815" xr:uid="{00000000-0005-0000-0000-000086050000}"/>
    <cellStyle name="40% - Accent3 4 4 3 2" xfId="14265" xr:uid="{B75BF8E7-203F-461C-9A0F-5A522C96074B}"/>
    <cellStyle name="40% - Accent3 4 4 4" xfId="10047" xr:uid="{0BB10B77-0EA9-46A8-AA93-368A9D7ED3EB}"/>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DD443F40-1340-4453-A5DB-3E65630D94D7}"/>
    <cellStyle name="40% - Accent3 4 5 2 3" xfId="12605" xr:uid="{2C06FA16-0C40-4E1B-B92A-8C21E15B85BE}"/>
    <cellStyle name="40% - Accent3 4 5 3" xfId="6228" xr:uid="{00000000-0005-0000-0000-00008A050000}"/>
    <cellStyle name="40% - Accent3 4 5 3 2" xfId="14678" xr:uid="{0441B9AF-2577-4EF2-BEDE-B246E48AA022}"/>
    <cellStyle name="40% - Accent3 4 5 4" xfId="10460" xr:uid="{4171C25F-2B6A-4A66-8D45-FD60A619CA12}"/>
    <cellStyle name="40% - Accent3 4 6" xfId="2335" xr:uid="{00000000-0005-0000-0000-00008B050000}"/>
    <cellStyle name="40% - Accent3 4 6 2" xfId="6641" xr:uid="{00000000-0005-0000-0000-00008C050000}"/>
    <cellStyle name="40% - Accent3 4 6 2 2" xfId="15091" xr:uid="{12E39C7E-C42D-4EC5-8C29-B911C0155BD6}"/>
    <cellStyle name="40% - Accent3 4 6 3" xfId="10873" xr:uid="{0976F766-0226-4AC1-9128-3107624D7BAE}"/>
    <cellStyle name="40% - Accent3 4 7" xfId="4575" xr:uid="{00000000-0005-0000-0000-00008D050000}"/>
    <cellStyle name="40% - Accent3 4 7 2" xfId="13025" xr:uid="{244EA576-8FF2-49E6-A071-915B64720A19}"/>
    <cellStyle name="40% - Accent3 4 8" xfId="17248" xr:uid="{462F3553-5B85-4CF4-A084-5DBB8EB95B4C}"/>
    <cellStyle name="40% - Accent3 4 9" xfId="18081" xr:uid="{6D0DB80B-A9D5-47E0-8E9D-9671A769E879}"/>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7E8BB739-5896-4709-B1D7-049CF90F978A}"/>
    <cellStyle name="40% - Accent3 5 2 3" xfId="11359" xr:uid="{50FE635E-86CF-4736-84D2-B1D30D226562}"/>
    <cellStyle name="40% - Accent3 5 3" xfId="4982" xr:uid="{00000000-0005-0000-0000-000091050000}"/>
    <cellStyle name="40% - Accent3 5 3 2" xfId="13432" xr:uid="{E2F25FC4-025E-4424-9D90-EB8BFB95AAF7}"/>
    <cellStyle name="40% - Accent3 5 4" xfId="17658" xr:uid="{0DA1DB37-4DB4-4357-B9F1-03EC90E5C0E4}"/>
    <cellStyle name="40% - Accent3 5 5" xfId="18490" xr:uid="{B43FACE8-014E-4E10-A510-4144B445F11C}"/>
    <cellStyle name="40% - Accent3 5 6" xfId="19319" xr:uid="{44A2A779-CDFB-4A32-9BBF-ECC3BFE3B672}"/>
    <cellStyle name="40% - Accent3 5 7" xfId="9214" xr:uid="{7EE0B98B-9001-4665-8D55-77610510270F}"/>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47211617-611D-4141-99DB-5712CCFA25F5}"/>
    <cellStyle name="40% - Accent3 6 2 3" xfId="11772" xr:uid="{477F0079-AE1A-4455-8055-D036D03ADFFB}"/>
    <cellStyle name="40% - Accent3 6 3" xfId="5395" xr:uid="{00000000-0005-0000-0000-000095050000}"/>
    <cellStyle name="40% - Accent3 6 3 2" xfId="13845" xr:uid="{9E0760D6-DE92-45BB-A806-1B0A09109333}"/>
    <cellStyle name="40% - Accent3 6 4" xfId="9627" xr:uid="{2B453A3B-A636-4082-B57A-A35F92E14F90}"/>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ADACDA83-F604-4986-8EAF-20F6B7C01591}"/>
    <cellStyle name="40% - Accent3 7 2 3" xfId="12185" xr:uid="{401FD0ED-9D70-4024-8660-D19C5339051A}"/>
    <cellStyle name="40% - Accent3 7 3" xfId="5808" xr:uid="{00000000-0005-0000-0000-000099050000}"/>
    <cellStyle name="40% - Accent3 7 3 2" xfId="14258" xr:uid="{3550454E-D92F-4B5F-8D30-63BAAF85AC0C}"/>
    <cellStyle name="40% - Accent3 7 4" xfId="10040" xr:uid="{E0329A4B-1697-4F4D-B88E-6FF36196468D}"/>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2B53682E-1623-4216-AAF9-BA5878E1731F}"/>
    <cellStyle name="40% - Accent3 8 2 3" xfId="12598" xr:uid="{276FD776-D533-4E67-A814-2D35E15C75A5}"/>
    <cellStyle name="40% - Accent3 8 3" xfId="6221" xr:uid="{00000000-0005-0000-0000-00009D050000}"/>
    <cellStyle name="40% - Accent3 8 3 2" xfId="14671" xr:uid="{20F2D4E1-E9D1-489F-8087-BA1C9860B759}"/>
    <cellStyle name="40% - Accent3 8 4" xfId="10453" xr:uid="{931AE0E6-7589-4A55-B82C-EFBBCCF9A1FA}"/>
    <cellStyle name="40% - Accent3 9" xfId="2328" xr:uid="{00000000-0005-0000-0000-00009E050000}"/>
    <cellStyle name="40% - Accent3 9 2" xfId="6634" xr:uid="{00000000-0005-0000-0000-00009F050000}"/>
    <cellStyle name="40% - Accent3 9 2 2" xfId="15084" xr:uid="{D23CFC38-8003-4FC1-A3A4-8C1D1F1CFF70}"/>
    <cellStyle name="40% - Accent3 9 3" xfId="10866" xr:uid="{DE788ED7-6B7D-433D-9E91-BE2C761E0F7B}"/>
    <cellStyle name="40% - Accent4" xfId="73" builtinId="43" customBuiltin="1"/>
    <cellStyle name="40% - Accent4 10" xfId="4576" xr:uid="{00000000-0005-0000-0000-0000A1050000}"/>
    <cellStyle name="40% - Accent4 10 2" xfId="13026" xr:uid="{D2B0BE55-ADE8-45D0-9DFA-7D0D1A5E7C7B}"/>
    <cellStyle name="40% - Accent4 11" xfId="17249" xr:uid="{1A6A7B14-1A9F-4D55-BD6F-90C00FFAB761}"/>
    <cellStyle name="40% - Accent4 12" xfId="18082" xr:uid="{41A90DCA-081F-4D7E-9A65-4D65FF265847}"/>
    <cellStyle name="40% - Accent4 13" xfId="18911" xr:uid="{F9CBB941-D255-4883-8CBD-1F13ACC2DCFE}"/>
    <cellStyle name="40% - Accent4 14" xfId="8808" xr:uid="{6E2F32B7-5360-4E04-8392-1F79C8553332}"/>
    <cellStyle name="40% - Accent4 2" xfId="74" xr:uid="{00000000-0005-0000-0000-0000A2050000}"/>
    <cellStyle name="40% - Accent4 2 10" xfId="17250" xr:uid="{BF5AF192-DCE1-4389-A2F5-B25A530CEAD7}"/>
    <cellStyle name="40% - Accent4 2 11" xfId="18083" xr:uid="{4954173D-AB27-4E03-BF27-E45B0F6A113B}"/>
    <cellStyle name="40% - Accent4 2 12" xfId="18912" xr:uid="{0082B1B2-27A4-4C94-8CFB-97D99D724EAE}"/>
    <cellStyle name="40% - Accent4 2 13" xfId="8809" xr:uid="{B4B342BC-6989-4CE9-BCA1-B5D20A612BBF}"/>
    <cellStyle name="40% - Accent4 2 2" xfId="75" xr:uid="{00000000-0005-0000-0000-0000A3050000}"/>
    <cellStyle name="40% - Accent4 2 2 10" xfId="18084" xr:uid="{2E773B6F-0CDC-46D6-868B-B1613FFEB214}"/>
    <cellStyle name="40% - Accent4 2 2 11" xfId="18913" xr:uid="{384D7728-A889-46DC-BF17-254A04203E82}"/>
    <cellStyle name="40% - Accent4 2 2 12" xfId="8810" xr:uid="{60A7C9ED-D8FF-46AC-B0D5-86A2253C0F92}"/>
    <cellStyle name="40% - Accent4 2 2 2" xfId="76" xr:uid="{00000000-0005-0000-0000-0000A4050000}"/>
    <cellStyle name="40% - Accent4 2 2 2 10" xfId="18914" xr:uid="{129295B7-844A-459F-9A03-E01606AD8B63}"/>
    <cellStyle name="40% - Accent4 2 2 2 11" xfId="8811" xr:uid="{A84DECC5-E8C6-4FEF-875B-FE1A43FF0835}"/>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F7002105-93AF-4E1D-A286-992C4DCB421E}"/>
    <cellStyle name="40% - Accent4 2 2 2 2 2 3" xfId="11370" xr:uid="{A1B4CC5F-CFEF-4DE3-B705-46EF6DB95B18}"/>
    <cellStyle name="40% - Accent4 2 2 2 2 3" xfId="4993" xr:uid="{00000000-0005-0000-0000-0000A8050000}"/>
    <cellStyle name="40% - Accent4 2 2 2 2 3 2" xfId="13443" xr:uid="{265575B3-2B44-488C-A59E-01CD8A314220}"/>
    <cellStyle name="40% - Accent4 2 2 2 2 4" xfId="17669" xr:uid="{6F131148-EFCD-41E9-94D9-2BA4E8C317C7}"/>
    <cellStyle name="40% - Accent4 2 2 2 2 5" xfId="18501" xr:uid="{D64E0CF2-A3DA-4E54-B62B-98C95460D7AE}"/>
    <cellStyle name="40% - Accent4 2 2 2 2 6" xfId="19330" xr:uid="{8E95518C-314A-4F2C-B4C3-2344F8640DEA}"/>
    <cellStyle name="40% - Accent4 2 2 2 2 7" xfId="9225" xr:uid="{A8B84447-FB22-4E3D-9C3F-B37D7F627D46}"/>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AADCD644-3C8C-4DBB-847F-99CEBB830F5B}"/>
    <cellStyle name="40% - Accent4 2 2 2 3 2 3" xfId="11783" xr:uid="{01BD4AD2-D358-4255-B751-C75AA166E6BD}"/>
    <cellStyle name="40% - Accent4 2 2 2 3 3" xfId="5406" xr:uid="{00000000-0005-0000-0000-0000AC050000}"/>
    <cellStyle name="40% - Accent4 2 2 2 3 3 2" xfId="13856" xr:uid="{940AFA5D-89A5-46B2-A739-64D12A9D1DCF}"/>
    <cellStyle name="40% - Accent4 2 2 2 3 4" xfId="9638" xr:uid="{1F2E9955-B9C8-4FC4-968F-175A7B38DC06}"/>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4B04F943-281C-4EC5-86DB-AD72451D5464}"/>
    <cellStyle name="40% - Accent4 2 2 2 4 2 3" xfId="12196" xr:uid="{EC254793-A1FA-4496-ADA8-580886977C59}"/>
    <cellStyle name="40% - Accent4 2 2 2 4 3" xfId="5819" xr:uid="{00000000-0005-0000-0000-0000B0050000}"/>
    <cellStyle name="40% - Accent4 2 2 2 4 3 2" xfId="14269" xr:uid="{7207BDDE-C5BE-487B-B8AC-0E576AD916D0}"/>
    <cellStyle name="40% - Accent4 2 2 2 4 4" xfId="10051" xr:uid="{C6448F58-5BA8-460E-A0C1-A912788AE7F3}"/>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789BD825-B410-453E-B795-85133FA7767F}"/>
    <cellStyle name="40% - Accent4 2 2 2 5 2 3" xfId="12609" xr:uid="{A08AFAE5-E132-4B8B-B27F-16EB99AFB7BB}"/>
    <cellStyle name="40% - Accent4 2 2 2 5 3" xfId="6232" xr:uid="{00000000-0005-0000-0000-0000B4050000}"/>
    <cellStyle name="40% - Accent4 2 2 2 5 3 2" xfId="14682" xr:uid="{FCB4CE67-4C09-49AA-9FEC-FAEC5364005C}"/>
    <cellStyle name="40% - Accent4 2 2 2 5 4" xfId="10464" xr:uid="{AE1908B0-F210-4BA8-9F1F-B11A62C76EC1}"/>
    <cellStyle name="40% - Accent4 2 2 2 6" xfId="2339" xr:uid="{00000000-0005-0000-0000-0000B5050000}"/>
    <cellStyle name="40% - Accent4 2 2 2 6 2" xfId="6645" xr:uid="{00000000-0005-0000-0000-0000B6050000}"/>
    <cellStyle name="40% - Accent4 2 2 2 6 2 2" xfId="15095" xr:uid="{11E12162-8B5F-414B-8942-97993AC5B44D}"/>
    <cellStyle name="40% - Accent4 2 2 2 6 3" xfId="10877" xr:uid="{B9132129-2A77-4A80-9707-0F15E287F2D5}"/>
    <cellStyle name="40% - Accent4 2 2 2 7" xfId="4579" xr:uid="{00000000-0005-0000-0000-0000B7050000}"/>
    <cellStyle name="40% - Accent4 2 2 2 7 2" xfId="13029" xr:uid="{FABE47C2-FF03-4C27-BA11-533C12F211FE}"/>
    <cellStyle name="40% - Accent4 2 2 2 8" xfId="17252" xr:uid="{49D90521-9A09-480C-AE86-D755ED6159B7}"/>
    <cellStyle name="40% - Accent4 2 2 2 9" xfId="18085" xr:uid="{F4CA167D-AD82-4699-AB50-0FB73E2BE47C}"/>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A3B444DD-C69D-4439-8E23-8901A34A1AF6}"/>
    <cellStyle name="40% - Accent4 2 2 3 2 3" xfId="11369" xr:uid="{3018311B-9D58-4E15-964D-0CFA74D9ACA1}"/>
    <cellStyle name="40% - Accent4 2 2 3 3" xfId="4992" xr:uid="{00000000-0005-0000-0000-0000BB050000}"/>
    <cellStyle name="40% - Accent4 2 2 3 3 2" xfId="13442" xr:uid="{3074CB38-90E1-4C19-BDD1-7D52F8BA22A9}"/>
    <cellStyle name="40% - Accent4 2 2 3 4" xfId="17668" xr:uid="{F2D2253D-BF2A-4F33-AF17-98771E6BA677}"/>
    <cellStyle name="40% - Accent4 2 2 3 5" xfId="18500" xr:uid="{B6375E73-FE5D-43F7-BAF6-0459D2895199}"/>
    <cellStyle name="40% - Accent4 2 2 3 6" xfId="19329" xr:uid="{A247A03F-2DE4-401A-99D1-2B4295F73956}"/>
    <cellStyle name="40% - Accent4 2 2 3 7" xfId="9224" xr:uid="{33ADAD05-7B7E-495B-BFC5-96117C5AC4C7}"/>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8657764C-28C7-4EFF-B5CD-7C0566CDD837}"/>
    <cellStyle name="40% - Accent4 2 2 4 2 3" xfId="11782" xr:uid="{310CF24A-E17F-4A05-A6B5-A36560D8AE4D}"/>
    <cellStyle name="40% - Accent4 2 2 4 3" xfId="5405" xr:uid="{00000000-0005-0000-0000-0000BF050000}"/>
    <cellStyle name="40% - Accent4 2 2 4 3 2" xfId="13855" xr:uid="{1A95F6FA-7029-430D-B335-1B582405E054}"/>
    <cellStyle name="40% - Accent4 2 2 4 4" xfId="9637" xr:uid="{48729698-AD5D-43EF-BB5D-774D002C4D4E}"/>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2086D97E-1019-4AB0-A731-271B8B6D21A1}"/>
    <cellStyle name="40% - Accent4 2 2 5 2 3" xfId="12195" xr:uid="{59B143D4-4B38-4D4B-AD4F-0BFDA2B3428E}"/>
    <cellStyle name="40% - Accent4 2 2 5 3" xfId="5818" xr:uid="{00000000-0005-0000-0000-0000C3050000}"/>
    <cellStyle name="40% - Accent4 2 2 5 3 2" xfId="14268" xr:uid="{B1D27F2D-5070-4F58-8B13-B0C5EB71C681}"/>
    <cellStyle name="40% - Accent4 2 2 5 4" xfId="10050" xr:uid="{8034C06E-A8EB-4E83-ABDB-1F65FA201B23}"/>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1CF218EF-890C-4A28-9FE8-1FB0A53E7BB8}"/>
    <cellStyle name="40% - Accent4 2 2 6 2 3" xfId="12608" xr:uid="{10AADFF5-0A68-47EB-B16A-B0E10276A908}"/>
    <cellStyle name="40% - Accent4 2 2 6 3" xfId="6231" xr:uid="{00000000-0005-0000-0000-0000C7050000}"/>
    <cellStyle name="40% - Accent4 2 2 6 3 2" xfId="14681" xr:uid="{0BB21318-C7AC-4ED1-9655-9DFA50312797}"/>
    <cellStyle name="40% - Accent4 2 2 6 4" xfId="10463" xr:uid="{A21650D6-2351-47A9-A283-09EDAC25F149}"/>
    <cellStyle name="40% - Accent4 2 2 7" xfId="2338" xr:uid="{00000000-0005-0000-0000-0000C8050000}"/>
    <cellStyle name="40% - Accent4 2 2 7 2" xfId="6644" xr:uid="{00000000-0005-0000-0000-0000C9050000}"/>
    <cellStyle name="40% - Accent4 2 2 7 2 2" xfId="15094" xr:uid="{DF78FCCE-4410-4A15-A39E-F8E832DF4A2D}"/>
    <cellStyle name="40% - Accent4 2 2 7 3" xfId="10876" xr:uid="{8932A372-0906-4806-83D2-FC50DF788EBC}"/>
    <cellStyle name="40% - Accent4 2 2 8" xfId="4578" xr:uid="{00000000-0005-0000-0000-0000CA050000}"/>
    <cellStyle name="40% - Accent4 2 2 8 2" xfId="13028" xr:uid="{B0FB06A7-1B16-4B33-9629-EBD79A257176}"/>
    <cellStyle name="40% - Accent4 2 2 9" xfId="17251" xr:uid="{C3AEB5E7-5DA7-440E-8B4D-DF9A9399670A}"/>
    <cellStyle name="40% - Accent4 2 3" xfId="77" xr:uid="{00000000-0005-0000-0000-0000CB050000}"/>
    <cellStyle name="40% - Accent4 2 3 10" xfId="18915" xr:uid="{F5838884-5F1F-48F5-B770-EF9BC55DB90A}"/>
    <cellStyle name="40% - Accent4 2 3 11" xfId="8812" xr:uid="{DBE8D9EE-D3D5-40A1-B0E0-86D1EDDACB8C}"/>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9793DD5A-80E7-479B-B4F4-6D7261A2B8C5}"/>
    <cellStyle name="40% - Accent4 2 3 2 2 3" xfId="11371" xr:uid="{1B1C3CA7-4BE2-4640-A5D4-D2F718095C96}"/>
    <cellStyle name="40% - Accent4 2 3 2 3" xfId="4994" xr:uid="{00000000-0005-0000-0000-0000CF050000}"/>
    <cellStyle name="40% - Accent4 2 3 2 3 2" xfId="13444" xr:uid="{9A5B8AF3-A6A7-4D46-B633-5CC95DA0088F}"/>
    <cellStyle name="40% - Accent4 2 3 2 4" xfId="17670" xr:uid="{7063B706-8825-4883-96AC-445AB8C53FC9}"/>
    <cellStyle name="40% - Accent4 2 3 2 5" xfId="18502" xr:uid="{6B1BABBB-6963-494B-9F7C-F3C67C5330EE}"/>
    <cellStyle name="40% - Accent4 2 3 2 6" xfId="19331" xr:uid="{45AC47BB-65B6-43D2-8E94-59086D31342F}"/>
    <cellStyle name="40% - Accent4 2 3 2 7" xfId="9226" xr:uid="{821376AD-EAEC-4DE0-871E-E05CF2FCE125}"/>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4D155F8E-1CF0-439E-9E8B-E437056EB150}"/>
    <cellStyle name="40% - Accent4 2 3 3 2 3" xfId="11784" xr:uid="{6B09A79A-27F5-4293-B749-4AB09EA84E1B}"/>
    <cellStyle name="40% - Accent4 2 3 3 3" xfId="5407" xr:uid="{00000000-0005-0000-0000-0000D3050000}"/>
    <cellStyle name="40% - Accent4 2 3 3 3 2" xfId="13857" xr:uid="{10979743-7425-4A55-8424-0538AEC8AF7B}"/>
    <cellStyle name="40% - Accent4 2 3 3 4" xfId="9639" xr:uid="{2DD05465-8502-4D48-8CDC-3EDF1263C2A3}"/>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B9D9178A-0360-45B1-8FE4-3CD7DFCC33AF}"/>
    <cellStyle name="40% - Accent4 2 3 4 2 3" xfId="12197" xr:uid="{AC2D0F2B-B070-40EE-88F8-41CC0B152E55}"/>
    <cellStyle name="40% - Accent4 2 3 4 3" xfId="5820" xr:uid="{00000000-0005-0000-0000-0000D7050000}"/>
    <cellStyle name="40% - Accent4 2 3 4 3 2" xfId="14270" xr:uid="{10428159-3013-4474-ADDF-519F86338E61}"/>
    <cellStyle name="40% - Accent4 2 3 4 4" xfId="10052" xr:uid="{D9CC7442-B583-49FD-810D-4D5E8770E97F}"/>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8965BAC9-E6A9-4A8C-A207-1664DFE2B6A6}"/>
    <cellStyle name="40% - Accent4 2 3 5 2 3" xfId="12610" xr:uid="{890A3E7A-F838-44E9-9019-83D3B573ADB5}"/>
    <cellStyle name="40% - Accent4 2 3 5 3" xfId="6233" xr:uid="{00000000-0005-0000-0000-0000DB050000}"/>
    <cellStyle name="40% - Accent4 2 3 5 3 2" xfId="14683" xr:uid="{5C638018-47A7-40F4-9103-DAE3440D7815}"/>
    <cellStyle name="40% - Accent4 2 3 5 4" xfId="10465" xr:uid="{B14D1A93-2F77-413A-A3A4-30D889636FE6}"/>
    <cellStyle name="40% - Accent4 2 3 6" xfId="2340" xr:uid="{00000000-0005-0000-0000-0000DC050000}"/>
    <cellStyle name="40% - Accent4 2 3 6 2" xfId="6646" xr:uid="{00000000-0005-0000-0000-0000DD050000}"/>
    <cellStyle name="40% - Accent4 2 3 6 2 2" xfId="15096" xr:uid="{631C571C-380D-4FA1-9D63-0A7D7AFB8C78}"/>
    <cellStyle name="40% - Accent4 2 3 6 3" xfId="10878" xr:uid="{E2847FEC-08A9-44D0-9470-570ED56AEA4E}"/>
    <cellStyle name="40% - Accent4 2 3 7" xfId="4580" xr:uid="{00000000-0005-0000-0000-0000DE050000}"/>
    <cellStyle name="40% - Accent4 2 3 7 2" xfId="13030" xr:uid="{A1353E3B-34E6-48A9-BAD6-206F4F560864}"/>
    <cellStyle name="40% - Accent4 2 3 8" xfId="17253" xr:uid="{B1DFCCE1-8521-4DEB-8D8A-4329326211B1}"/>
    <cellStyle name="40% - Accent4 2 3 9" xfId="18086" xr:uid="{65B586F9-9EA4-40BF-BCEF-954B3CDF2CAA}"/>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3FAA442E-9C8D-44D0-BAB4-946872A21177}"/>
    <cellStyle name="40% - Accent4 2 4 2 3" xfId="11368" xr:uid="{86EE41D0-87AF-4117-8EF0-49325696CA49}"/>
    <cellStyle name="40% - Accent4 2 4 3" xfId="4991" xr:uid="{00000000-0005-0000-0000-0000E2050000}"/>
    <cellStyle name="40% - Accent4 2 4 3 2" xfId="13441" xr:uid="{8D93451E-D488-4FCE-ADE2-0CCBAD78EE39}"/>
    <cellStyle name="40% - Accent4 2 4 4" xfId="17667" xr:uid="{038DEE7A-7F80-46B7-8EB0-009D793CB72F}"/>
    <cellStyle name="40% - Accent4 2 4 5" xfId="18499" xr:uid="{B7ED17D1-9551-4045-A0EB-CB0EAEF35760}"/>
    <cellStyle name="40% - Accent4 2 4 6" xfId="19328" xr:uid="{FE81A204-4B05-4CDC-896A-51BB6E945B92}"/>
    <cellStyle name="40% - Accent4 2 4 7" xfId="9223" xr:uid="{4500A3FE-0AAD-450C-8A77-E0AE9EF0CA77}"/>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F0559CE2-2D1B-4C39-A871-06F3D9D41876}"/>
    <cellStyle name="40% - Accent4 2 5 2 3" xfId="11781" xr:uid="{81687BE5-F8CF-4268-ABE2-B4552A75AD7D}"/>
    <cellStyle name="40% - Accent4 2 5 3" xfId="5404" xr:uid="{00000000-0005-0000-0000-0000E6050000}"/>
    <cellStyle name="40% - Accent4 2 5 3 2" xfId="13854" xr:uid="{A451E982-23DB-4FC6-A3A6-408C1C2D9E7F}"/>
    <cellStyle name="40% - Accent4 2 5 4" xfId="9636" xr:uid="{4B302552-CBB2-41B8-A425-7BF928A9056D}"/>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0D97A7C8-7620-4356-9448-58AF92665E9D}"/>
    <cellStyle name="40% - Accent4 2 6 2 3" xfId="12194" xr:uid="{57706D13-0F24-445A-9D74-256ABACF92B1}"/>
    <cellStyle name="40% - Accent4 2 6 3" xfId="5817" xr:uid="{00000000-0005-0000-0000-0000EA050000}"/>
    <cellStyle name="40% - Accent4 2 6 3 2" xfId="14267" xr:uid="{45778139-A44B-49AA-99BE-BE588C89233A}"/>
    <cellStyle name="40% - Accent4 2 6 4" xfId="10049" xr:uid="{7A5C0AF6-D4F8-4134-A87B-D59BD962D4E7}"/>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0D385ABD-BFCA-45FF-A32D-EBD6ECE4B6DD}"/>
    <cellStyle name="40% - Accent4 2 7 2 3" xfId="12607" xr:uid="{05E73C1D-EEAC-4F76-BD3A-39135EF1A24C}"/>
    <cellStyle name="40% - Accent4 2 7 3" xfId="6230" xr:uid="{00000000-0005-0000-0000-0000EE050000}"/>
    <cellStyle name="40% - Accent4 2 7 3 2" xfId="14680" xr:uid="{F31BA301-1CF3-47F6-B32F-2A3B757CD340}"/>
    <cellStyle name="40% - Accent4 2 7 4" xfId="10462" xr:uid="{8812C436-648A-4374-B9A0-D4B6EBFCD859}"/>
    <cellStyle name="40% - Accent4 2 8" xfId="2337" xr:uid="{00000000-0005-0000-0000-0000EF050000}"/>
    <cellStyle name="40% - Accent4 2 8 2" xfId="6643" xr:uid="{00000000-0005-0000-0000-0000F0050000}"/>
    <cellStyle name="40% - Accent4 2 8 2 2" xfId="15093" xr:uid="{634B760F-3743-4435-9221-56872CB6BE0C}"/>
    <cellStyle name="40% - Accent4 2 8 3" xfId="10875" xr:uid="{0469FCF2-9D31-47B4-B05A-BF575385CFD5}"/>
    <cellStyle name="40% - Accent4 2 9" xfId="4577" xr:uid="{00000000-0005-0000-0000-0000F1050000}"/>
    <cellStyle name="40% - Accent4 2 9 2" xfId="13027" xr:uid="{91FEEC3B-373D-4EA8-8420-862A870925E7}"/>
    <cellStyle name="40% - Accent4 3" xfId="78" xr:uid="{00000000-0005-0000-0000-0000F2050000}"/>
    <cellStyle name="40% - Accent4 3 10" xfId="18087" xr:uid="{DCC3A7D2-C3E9-4440-A38F-5669FE660C99}"/>
    <cellStyle name="40% - Accent4 3 11" xfId="18916" xr:uid="{63728045-E394-4A30-8D29-F94ABF608E65}"/>
    <cellStyle name="40% - Accent4 3 12" xfId="8813" xr:uid="{1A5F2D02-5118-46E4-84E2-7C8BE97C310D}"/>
    <cellStyle name="40% - Accent4 3 2" xfId="79" xr:uid="{00000000-0005-0000-0000-0000F3050000}"/>
    <cellStyle name="40% - Accent4 3 2 10" xfId="18917" xr:uid="{8CE0B275-455B-476E-A96F-D3A627789A79}"/>
    <cellStyle name="40% - Accent4 3 2 11" xfId="8814" xr:uid="{C55E9265-A964-4577-A2A8-9142AEBCC35E}"/>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8FD718FE-5887-4D0D-8942-6C762B45D8AC}"/>
    <cellStyle name="40% - Accent4 3 2 2 2 3" xfId="11373" xr:uid="{DDD83664-E602-42F5-821B-04CFA64088BE}"/>
    <cellStyle name="40% - Accent4 3 2 2 3" xfId="4996" xr:uid="{00000000-0005-0000-0000-0000F7050000}"/>
    <cellStyle name="40% - Accent4 3 2 2 3 2" xfId="13446" xr:uid="{811B1DE3-3706-42F2-A5E0-754214DA7B2B}"/>
    <cellStyle name="40% - Accent4 3 2 2 4" xfId="17672" xr:uid="{877925D8-71CF-4B72-A165-C76DD30DF2CE}"/>
    <cellStyle name="40% - Accent4 3 2 2 5" xfId="18504" xr:uid="{5BBB9683-9D00-4EF3-A4CF-DF81B726D5D4}"/>
    <cellStyle name="40% - Accent4 3 2 2 6" xfId="19333" xr:uid="{621DBEC8-666E-46F3-ADC3-D187BCA83A0D}"/>
    <cellStyle name="40% - Accent4 3 2 2 7" xfId="9228" xr:uid="{FBA0484E-25A9-49D5-9CAF-DFA99F12BD08}"/>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276B3E9A-D723-4A8F-B5D9-AF206B5F2A8D}"/>
    <cellStyle name="40% - Accent4 3 2 3 2 3" xfId="11786" xr:uid="{A4216BA5-F8FF-48B5-AF6B-A5197056A8D4}"/>
    <cellStyle name="40% - Accent4 3 2 3 3" xfId="5409" xr:uid="{00000000-0005-0000-0000-0000FB050000}"/>
    <cellStyle name="40% - Accent4 3 2 3 3 2" xfId="13859" xr:uid="{DDCFB71A-A21C-4F3E-B78D-B905EAE8622F}"/>
    <cellStyle name="40% - Accent4 3 2 3 4" xfId="9641" xr:uid="{0D2EE978-57F4-4BDB-9623-64CB9EEAB916}"/>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46C48FBA-555D-42DF-9B1B-A1EBCD189D20}"/>
    <cellStyle name="40% - Accent4 3 2 4 2 3" xfId="12199" xr:uid="{03EAC43A-BE22-4325-BBBF-B19D9B396CB7}"/>
    <cellStyle name="40% - Accent4 3 2 4 3" xfId="5822" xr:uid="{00000000-0005-0000-0000-0000FF050000}"/>
    <cellStyle name="40% - Accent4 3 2 4 3 2" xfId="14272" xr:uid="{13608A23-11AE-4F25-A63B-B31DEBAC1CA1}"/>
    <cellStyle name="40% - Accent4 3 2 4 4" xfId="10054" xr:uid="{68092BF8-866A-4AFE-A20D-3D42AFEC571D}"/>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DD7B00DB-F232-4379-AC33-BE551B2560F2}"/>
    <cellStyle name="40% - Accent4 3 2 5 2 3" xfId="12612" xr:uid="{9D739EDF-2A9B-49F0-8982-19C3F2764B36}"/>
    <cellStyle name="40% - Accent4 3 2 5 3" xfId="6235" xr:uid="{00000000-0005-0000-0000-000003060000}"/>
    <cellStyle name="40% - Accent4 3 2 5 3 2" xfId="14685" xr:uid="{E02B52AF-7A0C-4C00-A368-0EE6E50A24FB}"/>
    <cellStyle name="40% - Accent4 3 2 5 4" xfId="10467" xr:uid="{A68B4935-654C-4324-87BF-82E8D042AD30}"/>
    <cellStyle name="40% - Accent4 3 2 6" xfId="2342" xr:uid="{00000000-0005-0000-0000-000004060000}"/>
    <cellStyle name="40% - Accent4 3 2 6 2" xfId="6648" xr:uid="{00000000-0005-0000-0000-000005060000}"/>
    <cellStyle name="40% - Accent4 3 2 6 2 2" xfId="15098" xr:uid="{B16D8660-B6D1-4CD6-839B-B910D5AEDBA0}"/>
    <cellStyle name="40% - Accent4 3 2 6 3" xfId="10880" xr:uid="{1348F2E6-2448-456D-9F82-1E8CDD5276C9}"/>
    <cellStyle name="40% - Accent4 3 2 7" xfId="4582" xr:uid="{00000000-0005-0000-0000-000006060000}"/>
    <cellStyle name="40% - Accent4 3 2 7 2" xfId="13032" xr:uid="{BF1AE160-F5CC-47B3-A67F-A95D1108EEC5}"/>
    <cellStyle name="40% - Accent4 3 2 8" xfId="17255" xr:uid="{DFBC4D1B-5484-4482-9A72-891C0080F10A}"/>
    <cellStyle name="40% - Accent4 3 2 9" xfId="18088" xr:uid="{42513A0E-B0C4-4214-ACCE-D2883D977CC4}"/>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C327028F-2880-4B40-8AE4-3953262D9A1E}"/>
    <cellStyle name="40% - Accent4 3 3 2 3" xfId="11372" xr:uid="{2B05BA6C-1063-4644-84ED-12A4058C4C0F}"/>
    <cellStyle name="40% - Accent4 3 3 3" xfId="4995" xr:uid="{00000000-0005-0000-0000-00000A060000}"/>
    <cellStyle name="40% - Accent4 3 3 3 2" xfId="13445" xr:uid="{071ECEF7-A88B-4931-A1B0-8536186E144A}"/>
    <cellStyle name="40% - Accent4 3 3 4" xfId="17671" xr:uid="{A4DE45A1-BE43-4324-B003-81FB512D9E48}"/>
    <cellStyle name="40% - Accent4 3 3 5" xfId="18503" xr:uid="{477F54A1-26EE-431D-9568-37010A4FF995}"/>
    <cellStyle name="40% - Accent4 3 3 6" xfId="19332" xr:uid="{DA96F2FE-721A-40B4-9CF2-275218A379CA}"/>
    <cellStyle name="40% - Accent4 3 3 7" xfId="9227" xr:uid="{FCEB020C-0371-4AFD-BBA2-4BCD912914C6}"/>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E0F80C68-B6F2-4FC9-8345-F8934057E0E7}"/>
    <cellStyle name="40% - Accent4 3 4 2 3" xfId="11785" xr:uid="{80820239-BF17-45D4-8FA4-D33DA557DB68}"/>
    <cellStyle name="40% - Accent4 3 4 3" xfId="5408" xr:uid="{00000000-0005-0000-0000-00000E060000}"/>
    <cellStyle name="40% - Accent4 3 4 3 2" xfId="13858" xr:uid="{D983B0D8-25F2-42D9-B513-99F4D11D7820}"/>
    <cellStyle name="40% - Accent4 3 4 4" xfId="9640" xr:uid="{2D61D05A-FC62-4C95-ABF5-BDB6DD4A16BA}"/>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BA5C816F-E2B9-4912-AAE5-E18A33AA14E1}"/>
    <cellStyle name="40% - Accent4 3 5 2 3" xfId="12198" xr:uid="{F5E10A38-47B3-4CFD-92E7-5C80EEF2FD84}"/>
    <cellStyle name="40% - Accent4 3 5 3" xfId="5821" xr:uid="{00000000-0005-0000-0000-000012060000}"/>
    <cellStyle name="40% - Accent4 3 5 3 2" xfId="14271" xr:uid="{94645C5F-89F9-472B-8537-1470D5243B5A}"/>
    <cellStyle name="40% - Accent4 3 5 4" xfId="10053" xr:uid="{8ACB7301-8F13-4303-91AA-5028B04FA631}"/>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DAF8AD56-DEEA-46F2-8D1E-C18F0A21BC0D}"/>
    <cellStyle name="40% - Accent4 3 6 2 3" xfId="12611" xr:uid="{23E78B30-D620-4126-90A9-0C705CDC7359}"/>
    <cellStyle name="40% - Accent4 3 6 3" xfId="6234" xr:uid="{00000000-0005-0000-0000-000016060000}"/>
    <cellStyle name="40% - Accent4 3 6 3 2" xfId="14684" xr:uid="{E405F23C-C6DD-4C65-BF7C-6DD510C50C73}"/>
    <cellStyle name="40% - Accent4 3 6 4" xfId="10466" xr:uid="{B12C855A-CA4D-4A17-9806-111728EB3698}"/>
    <cellStyle name="40% - Accent4 3 7" xfId="2341" xr:uid="{00000000-0005-0000-0000-000017060000}"/>
    <cellStyle name="40% - Accent4 3 7 2" xfId="6647" xr:uid="{00000000-0005-0000-0000-000018060000}"/>
    <cellStyle name="40% - Accent4 3 7 2 2" xfId="15097" xr:uid="{1930E520-8C08-48CB-BBB3-8C998EFA8A84}"/>
    <cellStyle name="40% - Accent4 3 7 3" xfId="10879" xr:uid="{30B285E6-86D5-4A65-8B90-705CE3385B32}"/>
    <cellStyle name="40% - Accent4 3 8" xfId="4581" xr:uid="{00000000-0005-0000-0000-000019060000}"/>
    <cellStyle name="40% - Accent4 3 8 2" xfId="13031" xr:uid="{61CC4C00-9C03-470D-84D2-F908E37A5F80}"/>
    <cellStyle name="40% - Accent4 3 9" xfId="17254" xr:uid="{8BF9EC31-650B-4619-A7F1-F31281A886AA}"/>
    <cellStyle name="40% - Accent4 4" xfId="80" xr:uid="{00000000-0005-0000-0000-00001A060000}"/>
    <cellStyle name="40% - Accent4 4 10" xfId="18918" xr:uid="{0B02F717-9E43-431C-8B55-444E69FFB540}"/>
    <cellStyle name="40% - Accent4 4 11" xfId="8815" xr:uid="{99E1121D-49FB-45AC-A9D4-0F252CABCA7F}"/>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72492744-B85B-4098-BB82-B902AA44CC61}"/>
    <cellStyle name="40% - Accent4 4 2 2 3" xfId="11374" xr:uid="{FC7CA3F1-9F6F-45F7-9051-E2FE8753B6F0}"/>
    <cellStyle name="40% - Accent4 4 2 3" xfId="4997" xr:uid="{00000000-0005-0000-0000-00001E060000}"/>
    <cellStyle name="40% - Accent4 4 2 3 2" xfId="13447" xr:uid="{250EE80F-8FC8-4AAC-A3E6-8D5D02BBC7B5}"/>
    <cellStyle name="40% - Accent4 4 2 4" xfId="17673" xr:uid="{59C20D02-6E22-468B-A1BA-FE4C19F188CC}"/>
    <cellStyle name="40% - Accent4 4 2 5" xfId="18505" xr:uid="{DFE3DEC9-997F-41F2-88DD-C14CC6517EFF}"/>
    <cellStyle name="40% - Accent4 4 2 6" xfId="19334" xr:uid="{6B49ED50-7C52-497F-9E2A-3D35BFB189BE}"/>
    <cellStyle name="40% - Accent4 4 2 7" xfId="9229" xr:uid="{EA4B3966-4726-45F0-8EBA-664A52878BD6}"/>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A2F20E49-D7C9-4DB3-88CC-3884EDA47D18}"/>
    <cellStyle name="40% - Accent4 4 3 2 3" xfId="11787" xr:uid="{68DBE204-2998-42AD-93D5-3C43F2925D37}"/>
    <cellStyle name="40% - Accent4 4 3 3" xfId="5410" xr:uid="{00000000-0005-0000-0000-000022060000}"/>
    <cellStyle name="40% - Accent4 4 3 3 2" xfId="13860" xr:uid="{F439F276-87F7-45B6-A3BB-4D4F4E242509}"/>
    <cellStyle name="40% - Accent4 4 3 4" xfId="9642" xr:uid="{7748F800-BDB8-41CB-A4F5-9DCB82FD9D7B}"/>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628C7BF0-1C46-43D2-878A-2B37C19BDF9E}"/>
    <cellStyle name="40% - Accent4 4 4 2 3" xfId="12200" xr:uid="{8E6127D3-688E-43F6-A705-166C11CCB87E}"/>
    <cellStyle name="40% - Accent4 4 4 3" xfId="5823" xr:uid="{00000000-0005-0000-0000-000026060000}"/>
    <cellStyle name="40% - Accent4 4 4 3 2" xfId="14273" xr:uid="{DCFAA608-5FCE-44EA-8AC1-FCCF6A20A1AF}"/>
    <cellStyle name="40% - Accent4 4 4 4" xfId="10055" xr:uid="{2AFAE5A6-8EEF-4CAB-8D34-E8F0D1793E20}"/>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1349CAAF-BB24-4817-8ED8-1BA78789BF40}"/>
    <cellStyle name="40% - Accent4 4 5 2 3" xfId="12613" xr:uid="{8CE09BBD-46A2-4814-8E78-7A17CCAA522C}"/>
    <cellStyle name="40% - Accent4 4 5 3" xfId="6236" xr:uid="{00000000-0005-0000-0000-00002A060000}"/>
    <cellStyle name="40% - Accent4 4 5 3 2" xfId="14686" xr:uid="{5FF2E445-D389-4415-BDA0-61D50D90D1A1}"/>
    <cellStyle name="40% - Accent4 4 5 4" xfId="10468" xr:uid="{4575E8AB-2A3D-4CDD-90C9-C0A6979D765E}"/>
    <cellStyle name="40% - Accent4 4 6" xfId="2343" xr:uid="{00000000-0005-0000-0000-00002B060000}"/>
    <cellStyle name="40% - Accent4 4 6 2" xfId="6649" xr:uid="{00000000-0005-0000-0000-00002C060000}"/>
    <cellStyle name="40% - Accent4 4 6 2 2" xfId="15099" xr:uid="{F5685334-9414-43C6-9CC1-866F53B763D1}"/>
    <cellStyle name="40% - Accent4 4 6 3" xfId="10881" xr:uid="{A4ABE58C-4E46-4CF0-BD35-9A1C990E07E6}"/>
    <cellStyle name="40% - Accent4 4 7" xfId="4583" xr:uid="{00000000-0005-0000-0000-00002D060000}"/>
    <cellStyle name="40% - Accent4 4 7 2" xfId="13033" xr:uid="{08111F50-547F-4E85-BE24-E8D9E67104C5}"/>
    <cellStyle name="40% - Accent4 4 8" xfId="17256" xr:uid="{920BB005-BC77-40AF-8E14-ED7FFA9A052F}"/>
    <cellStyle name="40% - Accent4 4 9" xfId="18089" xr:uid="{5F6D9068-2567-40C0-AB97-EC1661476B6A}"/>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26D5D829-8912-4C5E-935C-0E94BDDB685F}"/>
    <cellStyle name="40% - Accent4 5 2 3" xfId="11367" xr:uid="{5DD9290E-1069-47E6-BBE2-6AAD8C57D9CA}"/>
    <cellStyle name="40% - Accent4 5 3" xfId="4990" xr:uid="{00000000-0005-0000-0000-000031060000}"/>
    <cellStyle name="40% - Accent4 5 3 2" xfId="13440" xr:uid="{2834D483-EC65-4C82-94F2-E56CF3960423}"/>
    <cellStyle name="40% - Accent4 5 4" xfId="17666" xr:uid="{04DFE3A8-301C-49BC-8CFC-7569475F051D}"/>
    <cellStyle name="40% - Accent4 5 5" xfId="18498" xr:uid="{9CDF0AAD-EAE6-4B10-BCC3-FFBC90AD840D}"/>
    <cellStyle name="40% - Accent4 5 6" xfId="19327" xr:uid="{72470E93-5231-49E4-9665-83623E150255}"/>
    <cellStyle name="40% - Accent4 5 7" xfId="9222" xr:uid="{DAA0B8FF-120B-4F0C-A7CA-8B9596FC8FF5}"/>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10199FE4-F64F-44DC-A067-E30EDC6E40D0}"/>
    <cellStyle name="40% - Accent4 6 2 3" xfId="11780" xr:uid="{B5830885-7C1F-40D6-88F9-91E32E21CF3A}"/>
    <cellStyle name="40% - Accent4 6 3" xfId="5403" xr:uid="{00000000-0005-0000-0000-000035060000}"/>
    <cellStyle name="40% - Accent4 6 3 2" xfId="13853" xr:uid="{B428C606-F279-412D-9446-D1CB4F1EC035}"/>
    <cellStyle name="40% - Accent4 6 4" xfId="9635" xr:uid="{542A30C0-E922-4534-B826-2159B2708990}"/>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5737D919-7FF5-4E15-990C-EFF8BB936C86}"/>
    <cellStyle name="40% - Accent4 7 2 3" xfId="12193" xr:uid="{685C172A-03FA-4DC0-842F-1DF984383E20}"/>
    <cellStyle name="40% - Accent4 7 3" xfId="5816" xr:uid="{00000000-0005-0000-0000-000039060000}"/>
    <cellStyle name="40% - Accent4 7 3 2" xfId="14266" xr:uid="{B2D08463-9B6A-44AF-8DEA-8DD039E1E6C5}"/>
    <cellStyle name="40% - Accent4 7 4" xfId="10048" xr:uid="{85840A5A-90D6-4E17-9129-BBA8849156C9}"/>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F57F679B-04B7-4EFD-B2F8-4A447D1C34CB}"/>
    <cellStyle name="40% - Accent4 8 2 3" xfId="12606" xr:uid="{707A3EFE-A273-4BD4-BB0F-B2DF8716B370}"/>
    <cellStyle name="40% - Accent4 8 3" xfId="6229" xr:uid="{00000000-0005-0000-0000-00003D060000}"/>
    <cellStyle name="40% - Accent4 8 3 2" xfId="14679" xr:uid="{126274FD-F347-4BA9-8702-0D56A76BF838}"/>
    <cellStyle name="40% - Accent4 8 4" xfId="10461" xr:uid="{AC347B54-F231-40A7-8F93-C57D9910B542}"/>
    <cellStyle name="40% - Accent4 9" xfId="2336" xr:uid="{00000000-0005-0000-0000-00003E060000}"/>
    <cellStyle name="40% - Accent4 9 2" xfId="6642" xr:uid="{00000000-0005-0000-0000-00003F060000}"/>
    <cellStyle name="40% - Accent4 9 2 2" xfId="15092" xr:uid="{CE96DC94-A7EC-47FD-ADF4-11BCF71B0B26}"/>
    <cellStyle name="40% - Accent4 9 3" xfId="10874" xr:uid="{922CF872-2A93-497E-9440-60382FA9FB7B}"/>
    <cellStyle name="40% - Accent5" xfId="81" builtinId="47" customBuiltin="1"/>
    <cellStyle name="40% - Accent5 10" xfId="4584" xr:uid="{00000000-0005-0000-0000-000041060000}"/>
    <cellStyle name="40% - Accent5 10 2" xfId="13034" xr:uid="{28CF351B-50D3-4A03-B7E3-363716C4EDC9}"/>
    <cellStyle name="40% - Accent5 11" xfId="17257" xr:uid="{19AF5EB3-C7A6-4882-9CF0-42CFA41702B1}"/>
    <cellStyle name="40% - Accent5 12" xfId="18090" xr:uid="{9713C148-8A63-4DC6-B5EC-D7DAFCCE9508}"/>
    <cellStyle name="40% - Accent5 13" xfId="18919" xr:uid="{8844E8DD-88A9-438D-ADC9-02561997CB58}"/>
    <cellStyle name="40% - Accent5 14" xfId="8816" xr:uid="{62380118-2877-4959-A8BF-96D3E90027FD}"/>
    <cellStyle name="40% - Accent5 2" xfId="82" xr:uid="{00000000-0005-0000-0000-000042060000}"/>
    <cellStyle name="40% - Accent5 2 10" xfId="17258" xr:uid="{886E27FB-C6D5-431F-8343-4E700D8544CF}"/>
    <cellStyle name="40% - Accent5 2 11" xfId="18091" xr:uid="{2A129FE2-534D-483E-91DA-89E8C97AE811}"/>
    <cellStyle name="40% - Accent5 2 12" xfId="18920" xr:uid="{874CB21A-9DF1-47E8-A46C-7090E57B3D10}"/>
    <cellStyle name="40% - Accent5 2 13" xfId="8817" xr:uid="{5D9DFCB1-C56E-4D71-B4CE-3E49E385BEA7}"/>
    <cellStyle name="40% - Accent5 2 2" xfId="83" xr:uid="{00000000-0005-0000-0000-000043060000}"/>
    <cellStyle name="40% - Accent5 2 2 10" xfId="18092" xr:uid="{AA6579ED-1C48-488A-9083-A478A7A5D572}"/>
    <cellStyle name="40% - Accent5 2 2 11" xfId="18921" xr:uid="{9224797C-E43D-4381-9D65-22011CCA18FE}"/>
    <cellStyle name="40% - Accent5 2 2 12" xfId="8818" xr:uid="{CA6564CB-37E3-4375-AC54-E156E688EE7F}"/>
    <cellStyle name="40% - Accent5 2 2 2" xfId="84" xr:uid="{00000000-0005-0000-0000-000044060000}"/>
    <cellStyle name="40% - Accent5 2 2 2 10" xfId="18922" xr:uid="{AA5C9F71-7881-448F-9AA3-85E0A34811A7}"/>
    <cellStyle name="40% - Accent5 2 2 2 11" xfId="8819" xr:uid="{3BB45E02-9633-4573-88E9-36FF398E53B9}"/>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037094BD-7915-4D7A-9569-03843FAF8196}"/>
    <cellStyle name="40% - Accent5 2 2 2 2 2 3" xfId="11378" xr:uid="{975EE9A0-4168-4D65-9863-C71B43A7E0AE}"/>
    <cellStyle name="40% - Accent5 2 2 2 2 3" xfId="5001" xr:uid="{00000000-0005-0000-0000-000048060000}"/>
    <cellStyle name="40% - Accent5 2 2 2 2 3 2" xfId="13451" xr:uid="{2E0FD9F2-F80F-4261-B1B2-43B2BE82B70A}"/>
    <cellStyle name="40% - Accent5 2 2 2 2 4" xfId="17677" xr:uid="{8EE36A60-D303-436C-8D7B-242B1AD85E49}"/>
    <cellStyle name="40% - Accent5 2 2 2 2 5" xfId="18509" xr:uid="{522FC011-6802-44FF-B1D5-276110AC0EAF}"/>
    <cellStyle name="40% - Accent5 2 2 2 2 6" xfId="19338" xr:uid="{AC69C0D1-DCF1-40E8-A108-07312C0B8D35}"/>
    <cellStyle name="40% - Accent5 2 2 2 2 7" xfId="9233" xr:uid="{660DC90A-06B9-4819-9D65-A9D0C158CA5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EEF5226C-D085-4D67-B4C4-F6E059B9A51C}"/>
    <cellStyle name="40% - Accent5 2 2 2 3 2 3" xfId="11791" xr:uid="{1EC0C842-2504-4FFC-9F3A-D89982C820DF}"/>
    <cellStyle name="40% - Accent5 2 2 2 3 3" xfId="5414" xr:uid="{00000000-0005-0000-0000-00004C060000}"/>
    <cellStyle name="40% - Accent5 2 2 2 3 3 2" xfId="13864" xr:uid="{BDA2BD80-C2AA-42BA-A4AE-8B782117370B}"/>
    <cellStyle name="40% - Accent5 2 2 2 3 4" xfId="9646" xr:uid="{127AD9DB-8023-423E-AF8F-DFBF18BC5789}"/>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1EF240AE-31B8-44EF-9BB2-814A9411D160}"/>
    <cellStyle name="40% - Accent5 2 2 2 4 2 3" xfId="12204" xr:uid="{5DAFF8A3-BA14-44AD-B70B-36BC490E3540}"/>
    <cellStyle name="40% - Accent5 2 2 2 4 3" xfId="5827" xr:uid="{00000000-0005-0000-0000-000050060000}"/>
    <cellStyle name="40% - Accent5 2 2 2 4 3 2" xfId="14277" xr:uid="{F10BC7E5-92D1-4C74-B5A0-51233330BAF0}"/>
    <cellStyle name="40% - Accent5 2 2 2 4 4" xfId="10059" xr:uid="{A4EF623C-CE20-40B2-8993-49FEBDDFAA3E}"/>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05D4E823-6CB7-489C-8E1E-0E84975AF1D4}"/>
    <cellStyle name="40% - Accent5 2 2 2 5 2 3" xfId="12617" xr:uid="{E078B4E3-EE4F-4687-BA0E-0C8429727D2C}"/>
    <cellStyle name="40% - Accent5 2 2 2 5 3" xfId="6240" xr:uid="{00000000-0005-0000-0000-000054060000}"/>
    <cellStyle name="40% - Accent5 2 2 2 5 3 2" xfId="14690" xr:uid="{8B653104-9B48-440D-A600-0CE32718DC11}"/>
    <cellStyle name="40% - Accent5 2 2 2 5 4" xfId="10472" xr:uid="{FD389AC8-9066-4054-8FE9-D01CF376E562}"/>
    <cellStyle name="40% - Accent5 2 2 2 6" xfId="2347" xr:uid="{00000000-0005-0000-0000-000055060000}"/>
    <cellStyle name="40% - Accent5 2 2 2 6 2" xfId="6653" xr:uid="{00000000-0005-0000-0000-000056060000}"/>
    <cellStyle name="40% - Accent5 2 2 2 6 2 2" xfId="15103" xr:uid="{3AAF5FEB-8ACA-4D5D-8ACE-117F6CDCF4DB}"/>
    <cellStyle name="40% - Accent5 2 2 2 6 3" xfId="10885" xr:uid="{5B757997-E0FF-4980-A517-7281C1D8713C}"/>
    <cellStyle name="40% - Accent5 2 2 2 7" xfId="4587" xr:uid="{00000000-0005-0000-0000-000057060000}"/>
    <cellStyle name="40% - Accent5 2 2 2 7 2" xfId="13037" xr:uid="{0750F4C4-5851-4819-A97A-F6E8853692C8}"/>
    <cellStyle name="40% - Accent5 2 2 2 8" xfId="17260" xr:uid="{838725DB-F403-4D12-B5CD-A61D2A3852F8}"/>
    <cellStyle name="40% - Accent5 2 2 2 9" xfId="18093" xr:uid="{1C7C5D4C-5338-4C12-B36D-45FFDF0EAE2B}"/>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DD61712B-449C-4CD9-8A65-32CDE0BB7CFB}"/>
    <cellStyle name="40% - Accent5 2 2 3 2 3" xfId="11377" xr:uid="{2FCE64CC-B2D9-4FB3-A10E-5A6072B77BD0}"/>
    <cellStyle name="40% - Accent5 2 2 3 3" xfId="5000" xr:uid="{00000000-0005-0000-0000-00005B060000}"/>
    <cellStyle name="40% - Accent5 2 2 3 3 2" xfId="13450" xr:uid="{0787B8DE-B88C-4D90-A08F-8849AF719189}"/>
    <cellStyle name="40% - Accent5 2 2 3 4" xfId="17676" xr:uid="{66133AF2-AD22-4AD7-968C-2292D96E8334}"/>
    <cellStyle name="40% - Accent5 2 2 3 5" xfId="18508" xr:uid="{3B2E9BD3-E2B2-4F9C-9C3A-B37ED323B5F1}"/>
    <cellStyle name="40% - Accent5 2 2 3 6" xfId="19337" xr:uid="{B5E44786-9FC9-430D-93C3-39BA58F56667}"/>
    <cellStyle name="40% - Accent5 2 2 3 7" xfId="9232" xr:uid="{3CB35D9C-68A7-40D0-8EA4-9CB9053B5504}"/>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D9DE1EDC-85E7-47A6-A577-10DD2ABE0A05}"/>
    <cellStyle name="40% - Accent5 2 2 4 2 3" xfId="11790" xr:uid="{315816F1-7E70-44B1-AFFE-A8205F842666}"/>
    <cellStyle name="40% - Accent5 2 2 4 3" xfId="5413" xr:uid="{00000000-0005-0000-0000-00005F060000}"/>
    <cellStyle name="40% - Accent5 2 2 4 3 2" xfId="13863" xr:uid="{A711E7BF-4DC0-407C-A722-A1B82F940BE5}"/>
    <cellStyle name="40% - Accent5 2 2 4 4" xfId="9645" xr:uid="{C8CDDAFC-3C14-4B13-ABC6-B5E42329F9AD}"/>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0585DBF9-252C-4E8D-A26C-E6F43F36C31F}"/>
    <cellStyle name="40% - Accent5 2 2 5 2 3" xfId="12203" xr:uid="{FD398E66-19EC-4A5B-AD92-E6A123314C2D}"/>
    <cellStyle name="40% - Accent5 2 2 5 3" xfId="5826" xr:uid="{00000000-0005-0000-0000-000063060000}"/>
    <cellStyle name="40% - Accent5 2 2 5 3 2" xfId="14276" xr:uid="{BDC0F87E-4B66-47F1-834D-08E9669DFE05}"/>
    <cellStyle name="40% - Accent5 2 2 5 4" xfId="10058" xr:uid="{F9085995-6E8C-4944-BFAF-C9B27055AD44}"/>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9A54BEE4-B84B-4A8A-A3F9-83DB74E04944}"/>
    <cellStyle name="40% - Accent5 2 2 6 2 3" xfId="12616" xr:uid="{FAB4660E-9133-4871-8D69-B379588DBDED}"/>
    <cellStyle name="40% - Accent5 2 2 6 3" xfId="6239" xr:uid="{00000000-0005-0000-0000-000067060000}"/>
    <cellStyle name="40% - Accent5 2 2 6 3 2" xfId="14689" xr:uid="{199A92CD-7C95-4B94-8E9D-21C7E6504056}"/>
    <cellStyle name="40% - Accent5 2 2 6 4" xfId="10471" xr:uid="{035BA849-06FF-40E7-AF65-F8B2D79AB647}"/>
    <cellStyle name="40% - Accent5 2 2 7" xfId="2346" xr:uid="{00000000-0005-0000-0000-000068060000}"/>
    <cellStyle name="40% - Accent5 2 2 7 2" xfId="6652" xr:uid="{00000000-0005-0000-0000-000069060000}"/>
    <cellStyle name="40% - Accent5 2 2 7 2 2" xfId="15102" xr:uid="{80443B42-881D-4CEB-A086-FF8971F03649}"/>
    <cellStyle name="40% - Accent5 2 2 7 3" xfId="10884" xr:uid="{378DD2A3-496D-4981-B15E-F9BA332DD74E}"/>
    <cellStyle name="40% - Accent5 2 2 8" xfId="4586" xr:uid="{00000000-0005-0000-0000-00006A060000}"/>
    <cellStyle name="40% - Accent5 2 2 8 2" xfId="13036" xr:uid="{A4E317CF-8E50-453B-A365-7DEA3036718A}"/>
    <cellStyle name="40% - Accent5 2 2 9" xfId="17259" xr:uid="{24CA361A-38D0-432E-82B3-C25C867BE81F}"/>
    <cellStyle name="40% - Accent5 2 3" xfId="85" xr:uid="{00000000-0005-0000-0000-00006B060000}"/>
    <cellStyle name="40% - Accent5 2 3 10" xfId="18923" xr:uid="{A9E5AE0C-9DB7-45F8-8892-BF587AA184AF}"/>
    <cellStyle name="40% - Accent5 2 3 11" xfId="8820" xr:uid="{0CD2A8F8-9669-4E3B-AAFC-AD8958B0C698}"/>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7C00B279-3BC0-458B-8EBD-6338AA8AB162}"/>
    <cellStyle name="40% - Accent5 2 3 2 2 3" xfId="11379" xr:uid="{833B2FE1-4AF6-4709-9A11-4ADB9E22FB10}"/>
    <cellStyle name="40% - Accent5 2 3 2 3" xfId="5002" xr:uid="{00000000-0005-0000-0000-00006F060000}"/>
    <cellStyle name="40% - Accent5 2 3 2 3 2" xfId="13452" xr:uid="{A6BAA3CD-5077-4369-90C6-4FE1BD65EDA5}"/>
    <cellStyle name="40% - Accent5 2 3 2 4" xfId="17678" xr:uid="{7C0260AD-362B-4DFB-8390-E5FFE662BEF5}"/>
    <cellStyle name="40% - Accent5 2 3 2 5" xfId="18510" xr:uid="{2437A5D9-D7BC-4C6D-8A2F-13EC59495FAD}"/>
    <cellStyle name="40% - Accent5 2 3 2 6" xfId="19339" xr:uid="{B18B54F6-4B01-47BD-944E-864C337CE6DE}"/>
    <cellStyle name="40% - Accent5 2 3 2 7" xfId="9234" xr:uid="{33CC87CD-650C-492A-A072-6BF616F9D2B6}"/>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35C3309E-674D-42A8-B6DE-EB968E0E1B64}"/>
    <cellStyle name="40% - Accent5 2 3 3 2 3" xfId="11792" xr:uid="{F78BA090-D5F9-4CC3-B491-F85BF91506F2}"/>
    <cellStyle name="40% - Accent5 2 3 3 3" xfId="5415" xr:uid="{00000000-0005-0000-0000-000073060000}"/>
    <cellStyle name="40% - Accent5 2 3 3 3 2" xfId="13865" xr:uid="{CAFFC315-5158-4960-A3C9-909614CBF2B6}"/>
    <cellStyle name="40% - Accent5 2 3 3 4" xfId="9647" xr:uid="{46D70D07-46D4-41D7-91ED-D4DEE2D5773E}"/>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4240F1C9-2D84-415A-8C94-1730801DDD2B}"/>
    <cellStyle name="40% - Accent5 2 3 4 2 3" xfId="12205" xr:uid="{B7EF2149-EEE1-4DEA-9DE2-BEBB6896A444}"/>
    <cellStyle name="40% - Accent5 2 3 4 3" xfId="5828" xr:uid="{00000000-0005-0000-0000-000077060000}"/>
    <cellStyle name="40% - Accent5 2 3 4 3 2" xfId="14278" xr:uid="{38B754C7-42D3-4B63-810E-20148C563036}"/>
    <cellStyle name="40% - Accent5 2 3 4 4" xfId="10060" xr:uid="{161FD68E-8654-445F-8481-2EC005548ABB}"/>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0E471315-CBF6-49C3-A6E8-B8000AEA2D5C}"/>
    <cellStyle name="40% - Accent5 2 3 5 2 3" xfId="12618" xr:uid="{1E934E30-9203-4A4D-89FB-D680DD843AEF}"/>
    <cellStyle name="40% - Accent5 2 3 5 3" xfId="6241" xr:uid="{00000000-0005-0000-0000-00007B060000}"/>
    <cellStyle name="40% - Accent5 2 3 5 3 2" xfId="14691" xr:uid="{D3335CC2-0363-4812-A82F-61A9EFC8A33B}"/>
    <cellStyle name="40% - Accent5 2 3 5 4" xfId="10473" xr:uid="{CD57E1D0-E073-4F92-845A-3B82969EFC9F}"/>
    <cellStyle name="40% - Accent5 2 3 6" xfId="2348" xr:uid="{00000000-0005-0000-0000-00007C060000}"/>
    <cellStyle name="40% - Accent5 2 3 6 2" xfId="6654" xr:uid="{00000000-0005-0000-0000-00007D060000}"/>
    <cellStyle name="40% - Accent5 2 3 6 2 2" xfId="15104" xr:uid="{03900F9C-4747-4B37-8458-D5137C184012}"/>
    <cellStyle name="40% - Accent5 2 3 6 3" xfId="10886" xr:uid="{5A85D213-01E9-45B1-81FD-33321EDB1FC4}"/>
    <cellStyle name="40% - Accent5 2 3 7" xfId="4588" xr:uid="{00000000-0005-0000-0000-00007E060000}"/>
    <cellStyle name="40% - Accent5 2 3 7 2" xfId="13038" xr:uid="{A1F2F0C1-0F64-46D4-9AC7-CC3E81081DF0}"/>
    <cellStyle name="40% - Accent5 2 3 8" xfId="17261" xr:uid="{D89943C1-1560-4CE7-874B-73060C7F9BDC}"/>
    <cellStyle name="40% - Accent5 2 3 9" xfId="18094" xr:uid="{AAB0E844-7B24-4F02-9CC2-B010C44A2D52}"/>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1D4C7FEE-8C38-44C1-A4ED-E45C25B01BD9}"/>
    <cellStyle name="40% - Accent5 2 4 2 3" xfId="11376" xr:uid="{88F5F3D1-08DD-4F09-B51C-F3EDF4D98C8E}"/>
    <cellStyle name="40% - Accent5 2 4 3" xfId="4999" xr:uid="{00000000-0005-0000-0000-000082060000}"/>
    <cellStyle name="40% - Accent5 2 4 3 2" xfId="13449" xr:uid="{310D1EA9-8C89-4E34-8287-916BA11FC133}"/>
    <cellStyle name="40% - Accent5 2 4 4" xfId="17675" xr:uid="{BCB04D67-B483-4A6B-80B3-5343C424D1A2}"/>
    <cellStyle name="40% - Accent5 2 4 5" xfId="18507" xr:uid="{9F1FE74A-CBB0-48D7-89BE-410380C2D792}"/>
    <cellStyle name="40% - Accent5 2 4 6" xfId="19336" xr:uid="{40592D3F-38D6-4542-83DE-0456BEFEF6C6}"/>
    <cellStyle name="40% - Accent5 2 4 7" xfId="9231" xr:uid="{3F3816D5-A5FC-4444-8BD0-22DD5BC1C177}"/>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E87867D6-8AAC-4761-A3C0-B8D2D1978832}"/>
    <cellStyle name="40% - Accent5 2 5 2 3" xfId="11789" xr:uid="{D5233CC2-CCEF-4A05-BBB1-BAAA7571FE8D}"/>
    <cellStyle name="40% - Accent5 2 5 3" xfId="5412" xr:uid="{00000000-0005-0000-0000-000086060000}"/>
    <cellStyle name="40% - Accent5 2 5 3 2" xfId="13862" xr:uid="{D2F99175-854D-4C7F-B0AD-5791C5518AD7}"/>
    <cellStyle name="40% - Accent5 2 5 4" xfId="9644" xr:uid="{29965DA6-3D6A-4935-A42E-4B43B34D21BC}"/>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D3AB2F76-83F9-412A-8E03-B1FC2D6EB0A2}"/>
    <cellStyle name="40% - Accent5 2 6 2 3" xfId="12202" xr:uid="{DC464768-E65A-4061-994C-113CD88F3744}"/>
    <cellStyle name="40% - Accent5 2 6 3" xfId="5825" xr:uid="{00000000-0005-0000-0000-00008A060000}"/>
    <cellStyle name="40% - Accent5 2 6 3 2" xfId="14275" xr:uid="{6457A478-8446-4EE5-B0FA-23B7A37D208A}"/>
    <cellStyle name="40% - Accent5 2 6 4" xfId="10057" xr:uid="{A902B1B6-BEB4-4CD4-A40F-BE145631A269}"/>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BF56CDE2-A488-4279-8139-4E4C6B1315E6}"/>
    <cellStyle name="40% - Accent5 2 7 2 3" xfId="12615" xr:uid="{4D08ACB9-DFFC-4A67-B3A4-11C16328475F}"/>
    <cellStyle name="40% - Accent5 2 7 3" xfId="6238" xr:uid="{00000000-0005-0000-0000-00008E060000}"/>
    <cellStyle name="40% - Accent5 2 7 3 2" xfId="14688" xr:uid="{FF7204F5-F7DA-4A67-9385-69DB5AAD5E0B}"/>
    <cellStyle name="40% - Accent5 2 7 4" xfId="10470" xr:uid="{8EDA3059-31BD-4656-A062-4D27EAA9CCF0}"/>
    <cellStyle name="40% - Accent5 2 8" xfId="2345" xr:uid="{00000000-0005-0000-0000-00008F060000}"/>
    <cellStyle name="40% - Accent5 2 8 2" xfId="6651" xr:uid="{00000000-0005-0000-0000-000090060000}"/>
    <cellStyle name="40% - Accent5 2 8 2 2" xfId="15101" xr:uid="{21EAACC4-52DD-4667-8CEA-B4AE8333E540}"/>
    <cellStyle name="40% - Accent5 2 8 3" xfId="10883" xr:uid="{741EDF0F-F17D-4AD6-B7D2-51D4D025E3C7}"/>
    <cellStyle name="40% - Accent5 2 9" xfId="4585" xr:uid="{00000000-0005-0000-0000-000091060000}"/>
    <cellStyle name="40% - Accent5 2 9 2" xfId="13035" xr:uid="{15A39C08-3125-4D31-9826-E8E79825AF18}"/>
    <cellStyle name="40% - Accent5 3" xfId="86" xr:uid="{00000000-0005-0000-0000-000092060000}"/>
    <cellStyle name="40% - Accent5 3 10" xfId="18095" xr:uid="{0DE8CD00-2B8A-4B43-8A71-A3C1D6F30871}"/>
    <cellStyle name="40% - Accent5 3 11" xfId="18924" xr:uid="{54DAAEBB-23E9-4883-8944-A13CA76EBE3F}"/>
    <cellStyle name="40% - Accent5 3 12" xfId="8821" xr:uid="{2AC1C8E6-C111-402B-BAE5-0637AB0CAA0B}"/>
    <cellStyle name="40% - Accent5 3 2" xfId="87" xr:uid="{00000000-0005-0000-0000-000093060000}"/>
    <cellStyle name="40% - Accent5 3 2 10" xfId="18925" xr:uid="{BF6F4723-B66F-4117-A134-049392CBF455}"/>
    <cellStyle name="40% - Accent5 3 2 11" xfId="8822" xr:uid="{DE8F7334-18AC-4E6F-AFA8-DAF964AD498F}"/>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043281DB-051C-409A-A6AC-D3F18417C151}"/>
    <cellStyle name="40% - Accent5 3 2 2 2 3" xfId="11381" xr:uid="{9E4F1285-83FD-4532-AA1F-22F347934A4F}"/>
    <cellStyle name="40% - Accent5 3 2 2 3" xfId="5004" xr:uid="{00000000-0005-0000-0000-000097060000}"/>
    <cellStyle name="40% - Accent5 3 2 2 3 2" xfId="13454" xr:uid="{2D79A481-B1CF-4EAC-A0CC-5303B97D4DE2}"/>
    <cellStyle name="40% - Accent5 3 2 2 4" xfId="17680" xr:uid="{AF21C08F-20CB-45CB-B186-DF834404AE88}"/>
    <cellStyle name="40% - Accent5 3 2 2 5" xfId="18512" xr:uid="{D7CB940E-09A2-4FB1-A737-43991670040F}"/>
    <cellStyle name="40% - Accent5 3 2 2 6" xfId="19341" xr:uid="{959173D9-0312-4D26-814C-5EE2B6ADB8F7}"/>
    <cellStyle name="40% - Accent5 3 2 2 7" xfId="9236" xr:uid="{86EEF6BA-9F3D-41D2-8C7E-18F08DFB9DD7}"/>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4E104219-86D2-411F-A90E-08C7DB0A31F8}"/>
    <cellStyle name="40% - Accent5 3 2 3 2 3" xfId="11794" xr:uid="{18879723-A122-48C3-BDE4-CFB5A8AD7254}"/>
    <cellStyle name="40% - Accent5 3 2 3 3" xfId="5417" xr:uid="{00000000-0005-0000-0000-00009B060000}"/>
    <cellStyle name="40% - Accent5 3 2 3 3 2" xfId="13867" xr:uid="{CD2C5824-CD85-4EB4-B3D6-0E0947DFB5AA}"/>
    <cellStyle name="40% - Accent5 3 2 3 4" xfId="9649" xr:uid="{8B14A42E-49D2-46CC-88DC-963983EE889A}"/>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0F28AC15-274E-4642-8B39-1B2ABBA55C45}"/>
    <cellStyle name="40% - Accent5 3 2 4 2 3" xfId="12207" xr:uid="{DA886CA6-8262-49D6-9BA3-3A3D167560EB}"/>
    <cellStyle name="40% - Accent5 3 2 4 3" xfId="5830" xr:uid="{00000000-0005-0000-0000-00009F060000}"/>
    <cellStyle name="40% - Accent5 3 2 4 3 2" xfId="14280" xr:uid="{B39433AD-4769-4B17-A7AC-CA93B3273529}"/>
    <cellStyle name="40% - Accent5 3 2 4 4" xfId="10062" xr:uid="{E5021D9A-ECCF-406D-8C34-B6E6B00CE905}"/>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AF8158F7-FBEC-4311-88CA-ADB90094F047}"/>
    <cellStyle name="40% - Accent5 3 2 5 2 3" xfId="12620" xr:uid="{08DEEC47-856C-41E3-88C1-B9D9EA239346}"/>
    <cellStyle name="40% - Accent5 3 2 5 3" xfId="6243" xr:uid="{00000000-0005-0000-0000-0000A3060000}"/>
    <cellStyle name="40% - Accent5 3 2 5 3 2" xfId="14693" xr:uid="{A1F382E0-25DA-48FA-8AA3-1612DEA29EA6}"/>
    <cellStyle name="40% - Accent5 3 2 5 4" xfId="10475" xr:uid="{F48DE90A-CC86-42DF-A253-024231CEBE08}"/>
    <cellStyle name="40% - Accent5 3 2 6" xfId="2350" xr:uid="{00000000-0005-0000-0000-0000A4060000}"/>
    <cellStyle name="40% - Accent5 3 2 6 2" xfId="6656" xr:uid="{00000000-0005-0000-0000-0000A5060000}"/>
    <cellStyle name="40% - Accent5 3 2 6 2 2" xfId="15106" xr:uid="{EB70253A-F24B-4D4A-82D6-803B02D66C40}"/>
    <cellStyle name="40% - Accent5 3 2 6 3" xfId="10888" xr:uid="{1627B037-68DA-4DFD-8286-688BDC251191}"/>
    <cellStyle name="40% - Accent5 3 2 7" xfId="4590" xr:uid="{00000000-0005-0000-0000-0000A6060000}"/>
    <cellStyle name="40% - Accent5 3 2 7 2" xfId="13040" xr:uid="{245211D9-1C64-4A7F-B8A9-0617DC9F654B}"/>
    <cellStyle name="40% - Accent5 3 2 8" xfId="17263" xr:uid="{89C60D2E-1E25-4241-A9A7-19411A4FF48A}"/>
    <cellStyle name="40% - Accent5 3 2 9" xfId="18096" xr:uid="{41CD11D7-AFF4-4BBB-A12B-F92C1FAE7775}"/>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F8B5D4D3-9DAF-4B25-97AD-6C0065D0807D}"/>
    <cellStyle name="40% - Accent5 3 3 2 3" xfId="11380" xr:uid="{5A2FCBCB-C779-454B-801A-3A459111A054}"/>
    <cellStyle name="40% - Accent5 3 3 3" xfId="5003" xr:uid="{00000000-0005-0000-0000-0000AA060000}"/>
    <cellStyle name="40% - Accent5 3 3 3 2" xfId="13453" xr:uid="{51417D4C-BE3C-4257-83FD-89D31062A48C}"/>
    <cellStyle name="40% - Accent5 3 3 4" xfId="17679" xr:uid="{A5209ACA-C33B-44E7-A2E0-E0EC94758A1B}"/>
    <cellStyle name="40% - Accent5 3 3 5" xfId="18511" xr:uid="{5B3E1E71-4787-442E-AE94-C2C71D6DD557}"/>
    <cellStyle name="40% - Accent5 3 3 6" xfId="19340" xr:uid="{3D8EEFF8-6584-463C-AA31-41EE8DCC9AE6}"/>
    <cellStyle name="40% - Accent5 3 3 7" xfId="9235" xr:uid="{01D147D8-9896-47A1-97FA-039F4241FFE9}"/>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3D3F1CC2-9D82-4B61-965D-57C5B324F759}"/>
    <cellStyle name="40% - Accent5 3 4 2 3" xfId="11793" xr:uid="{6C7AA9E1-8C6C-486A-BC60-C2491DDBDB4E}"/>
    <cellStyle name="40% - Accent5 3 4 3" xfId="5416" xr:uid="{00000000-0005-0000-0000-0000AE060000}"/>
    <cellStyle name="40% - Accent5 3 4 3 2" xfId="13866" xr:uid="{18F96A04-CC61-4108-8967-B30F20C5178A}"/>
    <cellStyle name="40% - Accent5 3 4 4" xfId="9648" xr:uid="{96D5DA87-C773-43A8-A44A-C220B30EF675}"/>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A2D36495-3C8D-46DB-88F1-24A5E1D70995}"/>
    <cellStyle name="40% - Accent5 3 5 2 3" xfId="12206" xr:uid="{5FDF553D-52FB-43BF-8AF2-CF3EF42A4A89}"/>
    <cellStyle name="40% - Accent5 3 5 3" xfId="5829" xr:uid="{00000000-0005-0000-0000-0000B2060000}"/>
    <cellStyle name="40% - Accent5 3 5 3 2" xfId="14279" xr:uid="{1B7C155D-711E-41FE-8901-FF578F5C5046}"/>
    <cellStyle name="40% - Accent5 3 5 4" xfId="10061" xr:uid="{692EEAAC-1F51-4C7F-8200-6BC358900A26}"/>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D2C08048-4FEF-49B1-AEE5-C0503FBE478D}"/>
    <cellStyle name="40% - Accent5 3 6 2 3" xfId="12619" xr:uid="{1D230CE3-A619-4501-A485-9D57C8CB9F91}"/>
    <cellStyle name="40% - Accent5 3 6 3" xfId="6242" xr:uid="{00000000-0005-0000-0000-0000B6060000}"/>
    <cellStyle name="40% - Accent5 3 6 3 2" xfId="14692" xr:uid="{605C7824-0BCF-4C95-A466-EAF8EFEFAFF6}"/>
    <cellStyle name="40% - Accent5 3 6 4" xfId="10474" xr:uid="{A1E8E87C-38C9-420C-B010-E71F0EBE7169}"/>
    <cellStyle name="40% - Accent5 3 7" xfId="2349" xr:uid="{00000000-0005-0000-0000-0000B7060000}"/>
    <cellStyle name="40% - Accent5 3 7 2" xfId="6655" xr:uid="{00000000-0005-0000-0000-0000B8060000}"/>
    <cellStyle name="40% - Accent5 3 7 2 2" xfId="15105" xr:uid="{A9A779DA-8484-4312-9B23-CCAB71AFBC9A}"/>
    <cellStyle name="40% - Accent5 3 7 3" xfId="10887" xr:uid="{72CD3EBD-F20B-48D9-BF17-DEDBF6E0ACCE}"/>
    <cellStyle name="40% - Accent5 3 8" xfId="4589" xr:uid="{00000000-0005-0000-0000-0000B9060000}"/>
    <cellStyle name="40% - Accent5 3 8 2" xfId="13039" xr:uid="{F86E9859-987E-4014-B149-ED2C420AF09D}"/>
    <cellStyle name="40% - Accent5 3 9" xfId="17262" xr:uid="{036990BB-D178-4C57-BCEB-B94854352511}"/>
    <cellStyle name="40% - Accent5 4" xfId="88" xr:uid="{00000000-0005-0000-0000-0000BA060000}"/>
    <cellStyle name="40% - Accent5 4 10" xfId="18926" xr:uid="{346530F2-6889-4E19-8CD5-C080B89E70A6}"/>
    <cellStyle name="40% - Accent5 4 11" xfId="8823" xr:uid="{93FC7115-F56A-40D2-BD6C-26D13F3EDBF1}"/>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C639F7B4-AA2C-4E97-B5BE-C56B7C54E735}"/>
    <cellStyle name="40% - Accent5 4 2 2 3" xfId="11382" xr:uid="{04BCD4BB-D92F-4B58-A873-920FB20B40E5}"/>
    <cellStyle name="40% - Accent5 4 2 3" xfId="5005" xr:uid="{00000000-0005-0000-0000-0000BE060000}"/>
    <cellStyle name="40% - Accent5 4 2 3 2" xfId="13455" xr:uid="{9B36C97F-ECB9-4123-A3D6-99CF544459AD}"/>
    <cellStyle name="40% - Accent5 4 2 4" xfId="17681" xr:uid="{9E4B9DB2-EC67-49BA-A380-4B7725A3FB2B}"/>
    <cellStyle name="40% - Accent5 4 2 5" xfId="18513" xr:uid="{95D63D84-28BA-4C85-947E-AA2DC1224555}"/>
    <cellStyle name="40% - Accent5 4 2 6" xfId="19342" xr:uid="{4A313AB5-C280-48B4-9817-4A3E199F030C}"/>
    <cellStyle name="40% - Accent5 4 2 7" xfId="9237" xr:uid="{5C0D5E29-3FAE-4FD1-B6D0-284E04D7E5A4}"/>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DCE0BA05-B1F8-4D65-95B8-0A0797B1B347}"/>
    <cellStyle name="40% - Accent5 4 3 2 3" xfId="11795" xr:uid="{C77605D7-F339-409F-977E-AC91FA679105}"/>
    <cellStyle name="40% - Accent5 4 3 3" xfId="5418" xr:uid="{00000000-0005-0000-0000-0000C2060000}"/>
    <cellStyle name="40% - Accent5 4 3 3 2" xfId="13868" xr:uid="{1C8589C8-DD19-480C-832C-CEAEE145C735}"/>
    <cellStyle name="40% - Accent5 4 3 4" xfId="9650" xr:uid="{98161F2A-930D-4914-A5C2-35EB3BED665A}"/>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3145FBFC-2068-4637-85DA-A8C4E2F4C19F}"/>
    <cellStyle name="40% - Accent5 4 4 2 3" xfId="12208" xr:uid="{F1F56864-89FF-4B2C-AD18-C428F1AE84FE}"/>
    <cellStyle name="40% - Accent5 4 4 3" xfId="5831" xr:uid="{00000000-0005-0000-0000-0000C6060000}"/>
    <cellStyle name="40% - Accent5 4 4 3 2" xfId="14281" xr:uid="{283FAEAF-B487-4A79-8B47-0ED5FC0523B5}"/>
    <cellStyle name="40% - Accent5 4 4 4" xfId="10063" xr:uid="{397C4EB3-F51C-4D87-B048-7D3B2074C11E}"/>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2F70D91E-4190-444A-9910-CECDAFEB4BB8}"/>
    <cellStyle name="40% - Accent5 4 5 2 3" xfId="12621" xr:uid="{72528ABC-DF10-410F-BE09-9A1372DF1487}"/>
    <cellStyle name="40% - Accent5 4 5 3" xfId="6244" xr:uid="{00000000-0005-0000-0000-0000CA060000}"/>
    <cellStyle name="40% - Accent5 4 5 3 2" xfId="14694" xr:uid="{21664F1A-C6D5-45E1-87D0-E6485115EFE6}"/>
    <cellStyle name="40% - Accent5 4 5 4" xfId="10476" xr:uid="{6FAFB871-78D5-4B86-8E45-EC9712022C8F}"/>
    <cellStyle name="40% - Accent5 4 6" xfId="2351" xr:uid="{00000000-0005-0000-0000-0000CB060000}"/>
    <cellStyle name="40% - Accent5 4 6 2" xfId="6657" xr:uid="{00000000-0005-0000-0000-0000CC060000}"/>
    <cellStyle name="40% - Accent5 4 6 2 2" xfId="15107" xr:uid="{3AA00C49-D58E-4DFA-84F4-EFC0BC19E544}"/>
    <cellStyle name="40% - Accent5 4 6 3" xfId="10889" xr:uid="{4CEA85E6-347C-4737-9369-F0EB16F2FB68}"/>
    <cellStyle name="40% - Accent5 4 7" xfId="4591" xr:uid="{00000000-0005-0000-0000-0000CD060000}"/>
    <cellStyle name="40% - Accent5 4 7 2" xfId="13041" xr:uid="{974D8E37-425E-42F6-A68E-B4A5FA5D0503}"/>
    <cellStyle name="40% - Accent5 4 8" xfId="17264" xr:uid="{B134C5DB-BF7A-41DC-85AD-2F3F30B41F2B}"/>
    <cellStyle name="40% - Accent5 4 9" xfId="18097" xr:uid="{62FB5AC8-AB02-457F-8CAC-17E4BA2E1C4C}"/>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BEF2F868-C22A-4A1A-9C52-F5F214561424}"/>
    <cellStyle name="40% - Accent5 5 2 3" xfId="11375" xr:uid="{17F319DA-3388-4E40-AC3A-FF4885A16E5B}"/>
    <cellStyle name="40% - Accent5 5 3" xfId="4998" xr:uid="{00000000-0005-0000-0000-0000D1060000}"/>
    <cellStyle name="40% - Accent5 5 3 2" xfId="13448" xr:uid="{880AF0B8-A5A8-4DE1-A8D2-965484A722E8}"/>
    <cellStyle name="40% - Accent5 5 4" xfId="17674" xr:uid="{D81A7547-8307-4868-AF9F-64D41FC883D4}"/>
    <cellStyle name="40% - Accent5 5 5" xfId="18506" xr:uid="{513A2D52-B1F5-433F-97ED-69D028F06C25}"/>
    <cellStyle name="40% - Accent5 5 6" xfId="19335" xr:uid="{A7F2F41F-4940-4A55-8DAF-5BB8D911FA6C}"/>
    <cellStyle name="40% - Accent5 5 7" xfId="9230" xr:uid="{893CE234-1DB8-48ED-858A-CA56019FFBDC}"/>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0CAAFEAF-E2D5-45F1-B85A-C779AE24EF71}"/>
    <cellStyle name="40% - Accent5 6 2 3" xfId="11788" xr:uid="{CF86DE7F-203A-436F-978E-2552F463BFDE}"/>
    <cellStyle name="40% - Accent5 6 3" xfId="5411" xr:uid="{00000000-0005-0000-0000-0000D5060000}"/>
    <cellStyle name="40% - Accent5 6 3 2" xfId="13861" xr:uid="{1975E83D-0350-4F8F-9CB7-8549D36C7B2A}"/>
    <cellStyle name="40% - Accent5 6 4" xfId="9643" xr:uid="{A2393CB6-58B1-42C0-86E2-98F36DBB7006}"/>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8543A23E-3CAB-4D7B-8119-2168795785E4}"/>
    <cellStyle name="40% - Accent5 7 2 3" xfId="12201" xr:uid="{8B678BFD-3A14-4529-B975-2212349DBF7E}"/>
    <cellStyle name="40% - Accent5 7 3" xfId="5824" xr:uid="{00000000-0005-0000-0000-0000D9060000}"/>
    <cellStyle name="40% - Accent5 7 3 2" xfId="14274" xr:uid="{985FE866-0CB8-413B-8356-A75A77F03D4A}"/>
    <cellStyle name="40% - Accent5 7 4" xfId="10056" xr:uid="{86256E84-1C7D-4D3E-91F7-F230B6D10D03}"/>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07C5A465-6709-4DB2-8C28-3D40F54F1DA3}"/>
    <cellStyle name="40% - Accent5 8 2 3" xfId="12614" xr:uid="{9C909B9F-1E52-4BA9-9F81-6BB699A76C65}"/>
    <cellStyle name="40% - Accent5 8 3" xfId="6237" xr:uid="{00000000-0005-0000-0000-0000DD060000}"/>
    <cellStyle name="40% - Accent5 8 3 2" xfId="14687" xr:uid="{70A7422B-2918-4259-BABB-32F22BC62997}"/>
    <cellStyle name="40% - Accent5 8 4" xfId="10469" xr:uid="{F987EEA9-F918-43C5-9BD1-A588C356AC4F}"/>
    <cellStyle name="40% - Accent5 9" xfId="2344" xr:uid="{00000000-0005-0000-0000-0000DE060000}"/>
    <cellStyle name="40% - Accent5 9 2" xfId="6650" xr:uid="{00000000-0005-0000-0000-0000DF060000}"/>
    <cellStyle name="40% - Accent5 9 2 2" xfId="15100" xr:uid="{EBF46BA7-ADEF-46FC-A8E9-3C377B3F23FC}"/>
    <cellStyle name="40% - Accent5 9 3" xfId="10882" xr:uid="{A4A1D19F-A613-4635-8DAE-21B4342AA085}"/>
    <cellStyle name="40% - Accent6" xfId="89" builtinId="51" customBuiltin="1"/>
    <cellStyle name="40% - Accent6 10" xfId="4592" xr:uid="{00000000-0005-0000-0000-0000E1060000}"/>
    <cellStyle name="40% - Accent6 10 2" xfId="13042" xr:uid="{5F4855CB-C232-4F9B-9E4C-2FCBE60C69DE}"/>
    <cellStyle name="40% - Accent6 11" xfId="17265" xr:uid="{25E5716A-1833-44DB-919F-AAF60D6731B9}"/>
    <cellStyle name="40% - Accent6 12" xfId="18098" xr:uid="{D0593619-ACA7-4648-AF6B-9198A342096B}"/>
    <cellStyle name="40% - Accent6 13" xfId="18927" xr:uid="{9E60D22F-B485-415F-8107-E937B0019A24}"/>
    <cellStyle name="40% - Accent6 14" xfId="8824" xr:uid="{E7DFF399-29F1-4277-99F9-2D45653638A6}"/>
    <cellStyle name="40% - Accent6 2" xfId="90" xr:uid="{00000000-0005-0000-0000-0000E2060000}"/>
    <cellStyle name="40% - Accent6 2 10" xfId="17266" xr:uid="{6A68829D-AD56-4274-91C7-D35AAD068B14}"/>
    <cellStyle name="40% - Accent6 2 11" xfId="18099" xr:uid="{01D0784F-BFA5-4B7D-9D99-4EB4C9E87AB9}"/>
    <cellStyle name="40% - Accent6 2 12" xfId="18928" xr:uid="{72F206B3-898D-4F89-A49C-0DBB46775F0E}"/>
    <cellStyle name="40% - Accent6 2 13" xfId="8825" xr:uid="{2CC3B985-E4A9-41C5-82E5-D013C52B565A}"/>
    <cellStyle name="40% - Accent6 2 2" xfId="91" xr:uid="{00000000-0005-0000-0000-0000E3060000}"/>
    <cellStyle name="40% - Accent6 2 2 10" xfId="18100" xr:uid="{121F6328-5F97-4EE8-A956-8A0AC4A88CDB}"/>
    <cellStyle name="40% - Accent6 2 2 11" xfId="18929" xr:uid="{E26F35F3-8E3A-483A-BB49-F63DBDEE0D27}"/>
    <cellStyle name="40% - Accent6 2 2 12" xfId="8826" xr:uid="{9BFC443F-4036-421A-9292-58EA4D6A71AE}"/>
    <cellStyle name="40% - Accent6 2 2 2" xfId="92" xr:uid="{00000000-0005-0000-0000-0000E4060000}"/>
    <cellStyle name="40% - Accent6 2 2 2 10" xfId="18930" xr:uid="{4F95E19B-906A-4586-B69D-34B3A7F9D5C6}"/>
    <cellStyle name="40% - Accent6 2 2 2 11" xfId="8827" xr:uid="{9597F2DB-B975-459B-A561-2813A0AA8C3A}"/>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F6A50055-3D96-4061-8A72-D9AA07B631DD}"/>
    <cellStyle name="40% - Accent6 2 2 2 2 2 3" xfId="11386" xr:uid="{937AD59C-5883-4367-BAD3-7FEFF48216CE}"/>
    <cellStyle name="40% - Accent6 2 2 2 2 3" xfId="5009" xr:uid="{00000000-0005-0000-0000-0000E8060000}"/>
    <cellStyle name="40% - Accent6 2 2 2 2 3 2" xfId="13459" xr:uid="{CF6D86DD-1D99-4AEC-80A2-3AFC5DE4F775}"/>
    <cellStyle name="40% - Accent6 2 2 2 2 4" xfId="17685" xr:uid="{7A7ED166-5A0F-4459-91A3-3E8FDBDA8DC2}"/>
    <cellStyle name="40% - Accent6 2 2 2 2 5" xfId="18517" xr:uid="{0EDB1F03-6F26-437A-8A37-40AF49DDD59A}"/>
    <cellStyle name="40% - Accent6 2 2 2 2 6" xfId="19346" xr:uid="{89F86E9E-FB2C-4EAD-8CB2-255E7283B1E5}"/>
    <cellStyle name="40% - Accent6 2 2 2 2 7" xfId="9241" xr:uid="{19596FB7-1157-4122-84AA-1209BF8C1FDB}"/>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4BEA1843-F6BF-41D1-B1DD-751A57CA386E}"/>
    <cellStyle name="40% - Accent6 2 2 2 3 2 3" xfId="11799" xr:uid="{2597D625-AB61-4E83-8E23-1BD29ABB648C}"/>
    <cellStyle name="40% - Accent6 2 2 2 3 3" xfId="5422" xr:uid="{00000000-0005-0000-0000-0000EC060000}"/>
    <cellStyle name="40% - Accent6 2 2 2 3 3 2" xfId="13872" xr:uid="{0738B93B-3DBE-4196-A5E6-45DA819D560A}"/>
    <cellStyle name="40% - Accent6 2 2 2 3 4" xfId="9654" xr:uid="{A10F932F-AE8E-4F0B-B152-AC7CB20C431B}"/>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F09DAED2-8072-40FE-A073-0719EDC379EF}"/>
    <cellStyle name="40% - Accent6 2 2 2 4 2 3" xfId="12212" xr:uid="{97ACC8A4-3443-4BF7-942D-2E88436CC2C8}"/>
    <cellStyle name="40% - Accent6 2 2 2 4 3" xfId="5835" xr:uid="{00000000-0005-0000-0000-0000F0060000}"/>
    <cellStyle name="40% - Accent6 2 2 2 4 3 2" xfId="14285" xr:uid="{A182A76E-CA61-4164-92C5-22B494839A1E}"/>
    <cellStyle name="40% - Accent6 2 2 2 4 4" xfId="10067" xr:uid="{58764AF5-F6BC-449A-A746-5C51C457C6A1}"/>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FE1B6A9C-B17F-44E1-8832-CB0875AAA3E1}"/>
    <cellStyle name="40% - Accent6 2 2 2 5 2 3" xfId="12625" xr:uid="{FA4C9404-EB50-48AF-AEC0-A83105ABF092}"/>
    <cellStyle name="40% - Accent6 2 2 2 5 3" xfId="6248" xr:uid="{00000000-0005-0000-0000-0000F4060000}"/>
    <cellStyle name="40% - Accent6 2 2 2 5 3 2" xfId="14698" xr:uid="{D35635BD-6942-4894-8AA0-7DFE0B58FD7B}"/>
    <cellStyle name="40% - Accent6 2 2 2 5 4" xfId="10480" xr:uid="{A46732C7-7316-4671-8B71-8DC300224643}"/>
    <cellStyle name="40% - Accent6 2 2 2 6" xfId="2355" xr:uid="{00000000-0005-0000-0000-0000F5060000}"/>
    <cellStyle name="40% - Accent6 2 2 2 6 2" xfId="6661" xr:uid="{00000000-0005-0000-0000-0000F6060000}"/>
    <cellStyle name="40% - Accent6 2 2 2 6 2 2" xfId="15111" xr:uid="{AA26ADFC-6D17-4009-B832-14F6EE9AB733}"/>
    <cellStyle name="40% - Accent6 2 2 2 6 3" xfId="10893" xr:uid="{7321E04F-039E-46AC-8F05-C6F6AD11CC85}"/>
    <cellStyle name="40% - Accent6 2 2 2 7" xfId="4595" xr:uid="{00000000-0005-0000-0000-0000F7060000}"/>
    <cellStyle name="40% - Accent6 2 2 2 7 2" xfId="13045" xr:uid="{0633690F-7783-423B-A413-AEC51133698B}"/>
    <cellStyle name="40% - Accent6 2 2 2 8" xfId="17268" xr:uid="{7081B453-6E90-4260-BAB7-A9F5C18CD484}"/>
    <cellStyle name="40% - Accent6 2 2 2 9" xfId="18101" xr:uid="{05006A6D-F90B-4C87-BC7A-8629558A6429}"/>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DCB3FE77-A12C-46B9-B970-A43961870BDB}"/>
    <cellStyle name="40% - Accent6 2 2 3 2 3" xfId="11385" xr:uid="{773CE106-BF8A-4FBF-B16F-9719811BE808}"/>
    <cellStyle name="40% - Accent6 2 2 3 3" xfId="5008" xr:uid="{00000000-0005-0000-0000-0000FB060000}"/>
    <cellStyle name="40% - Accent6 2 2 3 3 2" xfId="13458" xr:uid="{B76E2CF5-F69B-4A62-9069-E8D062A66BB2}"/>
    <cellStyle name="40% - Accent6 2 2 3 4" xfId="17684" xr:uid="{5634BEC1-3010-44BE-971E-D1889A6DAADC}"/>
    <cellStyle name="40% - Accent6 2 2 3 5" xfId="18516" xr:uid="{AE13E162-37E4-4DDC-9C3C-D2063C8E5808}"/>
    <cellStyle name="40% - Accent6 2 2 3 6" xfId="19345" xr:uid="{A8D7BB24-32E0-488F-893A-04B42C793F4C}"/>
    <cellStyle name="40% - Accent6 2 2 3 7" xfId="9240" xr:uid="{8948F41E-1521-4E55-AE40-71484F71A43D}"/>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A4BE77C5-6B5F-4114-95B9-0B5F024F4A2B}"/>
    <cellStyle name="40% - Accent6 2 2 4 2 3" xfId="11798" xr:uid="{6BF02246-4D41-472D-ACCD-6037C7D8AB66}"/>
    <cellStyle name="40% - Accent6 2 2 4 3" xfId="5421" xr:uid="{00000000-0005-0000-0000-0000FF060000}"/>
    <cellStyle name="40% - Accent6 2 2 4 3 2" xfId="13871" xr:uid="{10B9C73F-4DDB-498D-899D-0A8EF9B5A635}"/>
    <cellStyle name="40% - Accent6 2 2 4 4" xfId="9653" xr:uid="{B580E08F-AB34-43F1-8042-01D32B4DF67C}"/>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96D5E1B0-887F-4019-89B6-14122B91DCE6}"/>
    <cellStyle name="40% - Accent6 2 2 5 2 3" xfId="12211" xr:uid="{0CB238B2-7A74-4B63-9B7A-C3E555E91FCF}"/>
    <cellStyle name="40% - Accent6 2 2 5 3" xfId="5834" xr:uid="{00000000-0005-0000-0000-000003070000}"/>
    <cellStyle name="40% - Accent6 2 2 5 3 2" xfId="14284" xr:uid="{9EE6705E-EA0C-48CF-8785-0A0422CC04F7}"/>
    <cellStyle name="40% - Accent6 2 2 5 4" xfId="10066" xr:uid="{9AEED26D-D5A1-49F5-8E57-76EA7753C0E5}"/>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88FE0CF1-30FE-4414-B88B-C819F96043ED}"/>
    <cellStyle name="40% - Accent6 2 2 6 2 3" xfId="12624" xr:uid="{EC9040F7-F6D8-46ED-BFBA-193D46038258}"/>
    <cellStyle name="40% - Accent6 2 2 6 3" xfId="6247" xr:uid="{00000000-0005-0000-0000-000007070000}"/>
    <cellStyle name="40% - Accent6 2 2 6 3 2" xfId="14697" xr:uid="{22BA1FFE-2D6F-43F5-9D96-DA12F6947D1D}"/>
    <cellStyle name="40% - Accent6 2 2 6 4" xfId="10479" xr:uid="{22A2DBAA-83AC-4BA6-BD95-A06DFCAF6AF6}"/>
    <cellStyle name="40% - Accent6 2 2 7" xfId="2354" xr:uid="{00000000-0005-0000-0000-000008070000}"/>
    <cellStyle name="40% - Accent6 2 2 7 2" xfId="6660" xr:uid="{00000000-0005-0000-0000-000009070000}"/>
    <cellStyle name="40% - Accent6 2 2 7 2 2" xfId="15110" xr:uid="{BE4B9349-033F-47B2-9755-7451CB16CA78}"/>
    <cellStyle name="40% - Accent6 2 2 7 3" xfId="10892" xr:uid="{963C9C2F-5D21-4AEC-B7D3-9D6D810C6B85}"/>
    <cellStyle name="40% - Accent6 2 2 8" xfId="4594" xr:uid="{00000000-0005-0000-0000-00000A070000}"/>
    <cellStyle name="40% - Accent6 2 2 8 2" xfId="13044" xr:uid="{9D27B7A0-1829-41EF-9ED6-C4FA51F7470F}"/>
    <cellStyle name="40% - Accent6 2 2 9" xfId="17267" xr:uid="{4EBC618F-F02D-4649-9DF1-E11A47719D9F}"/>
    <cellStyle name="40% - Accent6 2 3" xfId="93" xr:uid="{00000000-0005-0000-0000-00000B070000}"/>
    <cellStyle name="40% - Accent6 2 3 10" xfId="18931" xr:uid="{88C1C0F0-1436-463E-9F5A-EDAB8DA407A9}"/>
    <cellStyle name="40% - Accent6 2 3 11" xfId="8828" xr:uid="{86C5EA90-96C4-4A86-BED4-124EDCF28F3D}"/>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36750098-3D7B-468D-B882-2015DE02C386}"/>
    <cellStyle name="40% - Accent6 2 3 2 2 3" xfId="11387" xr:uid="{7A3A01EE-2A8D-4A62-A732-3F998C0C162A}"/>
    <cellStyle name="40% - Accent6 2 3 2 3" xfId="5010" xr:uid="{00000000-0005-0000-0000-00000F070000}"/>
    <cellStyle name="40% - Accent6 2 3 2 3 2" xfId="13460" xr:uid="{579A5595-0769-4A09-B33E-C1BCAF523A55}"/>
    <cellStyle name="40% - Accent6 2 3 2 4" xfId="17686" xr:uid="{508D770F-FEDA-4DED-BD00-89F6A49A49A9}"/>
    <cellStyle name="40% - Accent6 2 3 2 5" xfId="18518" xr:uid="{0E5167B9-B1BC-442C-BF8C-B148B35959DA}"/>
    <cellStyle name="40% - Accent6 2 3 2 6" xfId="19347" xr:uid="{28E75412-F185-46A7-B396-897A257ED0C9}"/>
    <cellStyle name="40% - Accent6 2 3 2 7" xfId="9242" xr:uid="{8F0C04FA-114E-421C-AAB7-814EF749B05B}"/>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8734F32B-B19D-4B94-AB87-61E42FF4BFA1}"/>
    <cellStyle name="40% - Accent6 2 3 3 2 3" xfId="11800" xr:uid="{E46B2C74-EE51-4CA0-B6F9-6CD5A9E6E1AB}"/>
    <cellStyle name="40% - Accent6 2 3 3 3" xfId="5423" xr:uid="{00000000-0005-0000-0000-000013070000}"/>
    <cellStyle name="40% - Accent6 2 3 3 3 2" xfId="13873" xr:uid="{D69935ED-09A1-470C-83F8-CF1FF5294118}"/>
    <cellStyle name="40% - Accent6 2 3 3 4" xfId="9655" xr:uid="{60A7E5C4-167C-41E4-909C-BCDBDCA1D1B6}"/>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A5E67B77-6DD3-46F4-A29E-C65A27714774}"/>
    <cellStyle name="40% - Accent6 2 3 4 2 3" xfId="12213" xr:uid="{5553E8B5-04A8-412C-8E5D-6B4820E2F9AE}"/>
    <cellStyle name="40% - Accent6 2 3 4 3" xfId="5836" xr:uid="{00000000-0005-0000-0000-000017070000}"/>
    <cellStyle name="40% - Accent6 2 3 4 3 2" xfId="14286" xr:uid="{405BC44F-E878-46F5-888A-242296E5A131}"/>
    <cellStyle name="40% - Accent6 2 3 4 4" xfId="10068" xr:uid="{7876B96F-0F06-4531-8354-97A72F2B5DF3}"/>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16198CE4-B628-4108-907E-FEF662F3F719}"/>
    <cellStyle name="40% - Accent6 2 3 5 2 3" xfId="12626" xr:uid="{4BA8E02A-4DFD-4900-BCFE-2403FA15E328}"/>
    <cellStyle name="40% - Accent6 2 3 5 3" xfId="6249" xr:uid="{00000000-0005-0000-0000-00001B070000}"/>
    <cellStyle name="40% - Accent6 2 3 5 3 2" xfId="14699" xr:uid="{8CF95B31-0F18-4E78-8F99-B66FB64AC94C}"/>
    <cellStyle name="40% - Accent6 2 3 5 4" xfId="10481" xr:uid="{5CF8913D-0656-46B6-B7D1-F1D47A527A89}"/>
    <cellStyle name="40% - Accent6 2 3 6" xfId="2356" xr:uid="{00000000-0005-0000-0000-00001C070000}"/>
    <cellStyle name="40% - Accent6 2 3 6 2" xfId="6662" xr:uid="{00000000-0005-0000-0000-00001D070000}"/>
    <cellStyle name="40% - Accent6 2 3 6 2 2" xfId="15112" xr:uid="{57248545-EA2D-4374-A22B-1FA969928585}"/>
    <cellStyle name="40% - Accent6 2 3 6 3" xfId="10894" xr:uid="{C939CE9E-CFE4-495A-BC7E-614C8BE3A3FC}"/>
    <cellStyle name="40% - Accent6 2 3 7" xfId="4596" xr:uid="{00000000-0005-0000-0000-00001E070000}"/>
    <cellStyle name="40% - Accent6 2 3 7 2" xfId="13046" xr:uid="{BFE8DDCD-B860-49A6-866E-A5D20828C5D0}"/>
    <cellStyle name="40% - Accent6 2 3 8" xfId="17269" xr:uid="{642904DA-1571-4B26-A041-A1CD3185275E}"/>
    <cellStyle name="40% - Accent6 2 3 9" xfId="18102" xr:uid="{A2BB7445-13A1-4233-851F-BD74D1BA39D4}"/>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FEC4F2E2-3924-41BD-8445-EE0E399307A6}"/>
    <cellStyle name="40% - Accent6 2 4 2 3" xfId="11384" xr:uid="{0C34C334-24E8-4679-878C-8F7448DFA509}"/>
    <cellStyle name="40% - Accent6 2 4 3" xfId="5007" xr:uid="{00000000-0005-0000-0000-000022070000}"/>
    <cellStyle name="40% - Accent6 2 4 3 2" xfId="13457" xr:uid="{126E9F8C-D397-410C-AB46-C49C013EEDCB}"/>
    <cellStyle name="40% - Accent6 2 4 4" xfId="17683" xr:uid="{E49C395F-2F52-482A-87AC-1B78126C6E2A}"/>
    <cellStyle name="40% - Accent6 2 4 5" xfId="18515" xr:uid="{1ED477B4-1DAB-41DD-A231-3E2977FB664A}"/>
    <cellStyle name="40% - Accent6 2 4 6" xfId="19344" xr:uid="{BABA9B09-AD17-4B65-A2C8-B1C63174F102}"/>
    <cellStyle name="40% - Accent6 2 4 7" xfId="9239" xr:uid="{0FE0BEA6-87CB-48B5-92D0-B86D69AAC6C1}"/>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B22E56FB-154F-4C63-82DB-83C9D5E56E43}"/>
    <cellStyle name="40% - Accent6 2 5 2 3" xfId="11797" xr:uid="{F5E2AD76-1583-4185-8D25-F7DDF0682D95}"/>
    <cellStyle name="40% - Accent6 2 5 3" xfId="5420" xr:uid="{00000000-0005-0000-0000-000026070000}"/>
    <cellStyle name="40% - Accent6 2 5 3 2" xfId="13870" xr:uid="{AA7AD44C-EC40-4825-A274-3BB19FCF51A1}"/>
    <cellStyle name="40% - Accent6 2 5 4" xfId="9652" xr:uid="{FB4830E0-EDBB-4986-B11C-E4F0D945D4DB}"/>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88D50710-0F8E-4722-AC54-FC75CD05DF84}"/>
    <cellStyle name="40% - Accent6 2 6 2 3" xfId="12210" xr:uid="{28DB362D-54ED-432F-B52D-03CD26549CDE}"/>
    <cellStyle name="40% - Accent6 2 6 3" xfId="5833" xr:uid="{00000000-0005-0000-0000-00002A070000}"/>
    <cellStyle name="40% - Accent6 2 6 3 2" xfId="14283" xr:uid="{06856635-F960-4636-AA33-2874B3EE49C8}"/>
    <cellStyle name="40% - Accent6 2 6 4" xfId="10065" xr:uid="{967C0806-0D97-4430-9C34-30C116C4600A}"/>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C2191DF8-908D-49AB-A8EF-238E2EF8C3DC}"/>
    <cellStyle name="40% - Accent6 2 7 2 3" xfId="12623" xr:uid="{B2DAD4D1-D3CB-497F-A5EF-9396C8A0B75A}"/>
    <cellStyle name="40% - Accent6 2 7 3" xfId="6246" xr:uid="{00000000-0005-0000-0000-00002E070000}"/>
    <cellStyle name="40% - Accent6 2 7 3 2" xfId="14696" xr:uid="{2C8F4D68-3EA1-40A2-876F-FE4AAE001F5A}"/>
    <cellStyle name="40% - Accent6 2 7 4" xfId="10478" xr:uid="{14AB5CD8-6A8B-43EF-8BDC-560B21765890}"/>
    <cellStyle name="40% - Accent6 2 8" xfId="2353" xr:uid="{00000000-0005-0000-0000-00002F070000}"/>
    <cellStyle name="40% - Accent6 2 8 2" xfId="6659" xr:uid="{00000000-0005-0000-0000-000030070000}"/>
    <cellStyle name="40% - Accent6 2 8 2 2" xfId="15109" xr:uid="{C6C64A69-5B5B-4607-9603-07D029A5D020}"/>
    <cellStyle name="40% - Accent6 2 8 3" xfId="10891" xr:uid="{B17DF91A-546B-4A42-AD23-571CEF7B2C7F}"/>
    <cellStyle name="40% - Accent6 2 9" xfId="4593" xr:uid="{00000000-0005-0000-0000-000031070000}"/>
    <cellStyle name="40% - Accent6 2 9 2" xfId="13043" xr:uid="{44889A2E-F1CD-44E7-BAD0-526A16DE2FCE}"/>
    <cellStyle name="40% - Accent6 3" xfId="94" xr:uid="{00000000-0005-0000-0000-000032070000}"/>
    <cellStyle name="40% - Accent6 3 10" xfId="18103" xr:uid="{B204CEEA-F6FB-4260-9FEE-39D3D1FAAB9D}"/>
    <cellStyle name="40% - Accent6 3 11" xfId="18932" xr:uid="{6308A293-5A0A-484D-A791-24C1FBE187BA}"/>
    <cellStyle name="40% - Accent6 3 12" xfId="8829" xr:uid="{B9E89F7B-C1E0-4711-88F9-BACFD9895C39}"/>
    <cellStyle name="40% - Accent6 3 2" xfId="95" xr:uid="{00000000-0005-0000-0000-000033070000}"/>
    <cellStyle name="40% - Accent6 3 2 10" xfId="18933" xr:uid="{4DFBF716-05A2-4998-836C-4166B698D38C}"/>
    <cellStyle name="40% - Accent6 3 2 11" xfId="8830" xr:uid="{44BA9E56-F15B-41CE-8F05-4EB49CD2335B}"/>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4759881E-6CD9-4911-89BC-5F6982F9BE61}"/>
    <cellStyle name="40% - Accent6 3 2 2 2 3" xfId="11389" xr:uid="{04637F4A-4A99-40C8-A337-5EBFCEFF8020}"/>
    <cellStyle name="40% - Accent6 3 2 2 3" xfId="5012" xr:uid="{00000000-0005-0000-0000-000037070000}"/>
    <cellStyle name="40% - Accent6 3 2 2 3 2" xfId="13462" xr:uid="{A0023409-D30F-4B1B-B861-F868573BEE45}"/>
    <cellStyle name="40% - Accent6 3 2 2 4" xfId="17688" xr:uid="{314406B5-EEE6-40AA-8002-C5702A402261}"/>
    <cellStyle name="40% - Accent6 3 2 2 5" xfId="18520" xr:uid="{27409636-0CC4-48C2-8AA6-589829A5A45B}"/>
    <cellStyle name="40% - Accent6 3 2 2 6" xfId="19349" xr:uid="{2115C8E6-050A-449F-9CD7-D9F71045EC11}"/>
    <cellStyle name="40% - Accent6 3 2 2 7" xfId="9244" xr:uid="{EA8A65D6-48D7-44F3-866A-7FDA4510C76F}"/>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AFF03D98-9D52-4073-B100-95D2C46167BC}"/>
    <cellStyle name="40% - Accent6 3 2 3 2 3" xfId="11802" xr:uid="{4487941C-F663-4160-9176-CC6D64B67D16}"/>
    <cellStyle name="40% - Accent6 3 2 3 3" xfId="5425" xr:uid="{00000000-0005-0000-0000-00003B070000}"/>
    <cellStyle name="40% - Accent6 3 2 3 3 2" xfId="13875" xr:uid="{6BBC4518-B4C5-4723-9409-1A06FAE38466}"/>
    <cellStyle name="40% - Accent6 3 2 3 4" xfId="9657" xr:uid="{6904A833-A9CA-4927-B6B2-6F36C06739E9}"/>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36B36DFF-1A3E-4910-B771-41B852C6F492}"/>
    <cellStyle name="40% - Accent6 3 2 4 2 3" xfId="12215" xr:uid="{51866FFE-05C9-4599-B14E-427BE8A442AC}"/>
    <cellStyle name="40% - Accent6 3 2 4 3" xfId="5838" xr:uid="{00000000-0005-0000-0000-00003F070000}"/>
    <cellStyle name="40% - Accent6 3 2 4 3 2" xfId="14288" xr:uid="{25BB435A-8CF1-4E1A-8E4A-D8097C8638E7}"/>
    <cellStyle name="40% - Accent6 3 2 4 4" xfId="10070" xr:uid="{C8EDAABF-D649-4E8C-9F7D-90D88C589407}"/>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56553E69-98A2-417E-8545-8D6EABFF6471}"/>
    <cellStyle name="40% - Accent6 3 2 5 2 3" xfId="12628" xr:uid="{9CB6AFBE-7012-43D7-BC07-29627F10DC6D}"/>
    <cellStyle name="40% - Accent6 3 2 5 3" xfId="6251" xr:uid="{00000000-0005-0000-0000-000043070000}"/>
    <cellStyle name="40% - Accent6 3 2 5 3 2" xfId="14701" xr:uid="{0D24C923-464C-4B40-B243-6EE8AB2C4C29}"/>
    <cellStyle name="40% - Accent6 3 2 5 4" xfId="10483" xr:uid="{201696C1-5591-426D-8C5B-EE05FA17851A}"/>
    <cellStyle name="40% - Accent6 3 2 6" xfId="2358" xr:uid="{00000000-0005-0000-0000-000044070000}"/>
    <cellStyle name="40% - Accent6 3 2 6 2" xfId="6664" xr:uid="{00000000-0005-0000-0000-000045070000}"/>
    <cellStyle name="40% - Accent6 3 2 6 2 2" xfId="15114" xr:uid="{12C8BF6C-838F-40B4-A7D2-47EBFA14BF98}"/>
    <cellStyle name="40% - Accent6 3 2 6 3" xfId="10896" xr:uid="{DBBFBFBB-AEFD-40AD-B0F9-A7C71AE8C378}"/>
    <cellStyle name="40% - Accent6 3 2 7" xfId="4598" xr:uid="{00000000-0005-0000-0000-000046070000}"/>
    <cellStyle name="40% - Accent6 3 2 7 2" xfId="13048" xr:uid="{AD594756-DB29-4E80-A3A7-4C593138B439}"/>
    <cellStyle name="40% - Accent6 3 2 8" xfId="17271" xr:uid="{64C63CAD-F011-4CF1-9728-6E1A7EDB784F}"/>
    <cellStyle name="40% - Accent6 3 2 9" xfId="18104" xr:uid="{D54A951A-3C8C-486A-B81E-18FC036B3FEC}"/>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C5D947E0-47E6-48F7-9B26-A9FDB8C1B559}"/>
    <cellStyle name="40% - Accent6 3 3 2 3" xfId="11388" xr:uid="{AA096A20-F74C-4CC7-B1A0-223D02F04C35}"/>
    <cellStyle name="40% - Accent6 3 3 3" xfId="5011" xr:uid="{00000000-0005-0000-0000-00004A070000}"/>
    <cellStyle name="40% - Accent6 3 3 3 2" xfId="13461" xr:uid="{74D607C7-A1D0-4AC1-8C33-DBA33FD8EAA9}"/>
    <cellStyle name="40% - Accent6 3 3 4" xfId="17687" xr:uid="{BA423284-C60E-4F92-A1D8-6B16B1ABA7C1}"/>
    <cellStyle name="40% - Accent6 3 3 5" xfId="18519" xr:uid="{F9207BC4-D5B3-4A39-9CA6-883F12FACD64}"/>
    <cellStyle name="40% - Accent6 3 3 6" xfId="19348" xr:uid="{90A84A6E-AA35-4BEF-9460-8E8D26FDC362}"/>
    <cellStyle name="40% - Accent6 3 3 7" xfId="9243" xr:uid="{E7FC0BF7-E1A7-4857-9407-EEDF1AB13A6A}"/>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E8AD14B7-53B4-4786-BCF6-717360430E19}"/>
    <cellStyle name="40% - Accent6 3 4 2 3" xfId="11801" xr:uid="{E5CC9D01-B5C3-48D3-8834-77AD5B01E787}"/>
    <cellStyle name="40% - Accent6 3 4 3" xfId="5424" xr:uid="{00000000-0005-0000-0000-00004E070000}"/>
    <cellStyle name="40% - Accent6 3 4 3 2" xfId="13874" xr:uid="{9F07518C-AAD3-4730-869E-6572886BCD95}"/>
    <cellStyle name="40% - Accent6 3 4 4" xfId="9656" xr:uid="{46C7859D-E1E6-4171-9B09-9A56D4F692B0}"/>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564EE6CF-2864-4598-BBF4-BA0F01FCA4AC}"/>
    <cellStyle name="40% - Accent6 3 5 2 3" xfId="12214" xr:uid="{4FD38497-4589-480B-BB5F-6D52508AFB64}"/>
    <cellStyle name="40% - Accent6 3 5 3" xfId="5837" xr:uid="{00000000-0005-0000-0000-000052070000}"/>
    <cellStyle name="40% - Accent6 3 5 3 2" xfId="14287" xr:uid="{5D08775D-31F7-4518-84A7-CEC754FF77C1}"/>
    <cellStyle name="40% - Accent6 3 5 4" xfId="10069" xr:uid="{8925B527-BEA1-42A4-8EFB-E810DEC3CA64}"/>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B05ED544-8BD7-4D59-8B0D-D3FA97375F43}"/>
    <cellStyle name="40% - Accent6 3 6 2 3" xfId="12627" xr:uid="{9D060BFA-CBF7-4F6B-A1BF-01CCA5A0C855}"/>
    <cellStyle name="40% - Accent6 3 6 3" xfId="6250" xr:uid="{00000000-0005-0000-0000-000056070000}"/>
    <cellStyle name="40% - Accent6 3 6 3 2" xfId="14700" xr:uid="{2772FDE7-F2F6-45A3-B5ED-EB2E226EAD49}"/>
    <cellStyle name="40% - Accent6 3 6 4" xfId="10482" xr:uid="{04641A30-DF53-43DF-B858-4DFF963B3E1F}"/>
    <cellStyle name="40% - Accent6 3 7" xfId="2357" xr:uid="{00000000-0005-0000-0000-000057070000}"/>
    <cellStyle name="40% - Accent6 3 7 2" xfId="6663" xr:uid="{00000000-0005-0000-0000-000058070000}"/>
    <cellStyle name="40% - Accent6 3 7 2 2" xfId="15113" xr:uid="{C81CBD31-8316-41CD-915E-194046D80592}"/>
    <cellStyle name="40% - Accent6 3 7 3" xfId="10895" xr:uid="{8FFD14DD-9476-4891-AF50-63DBC37405F7}"/>
    <cellStyle name="40% - Accent6 3 8" xfId="4597" xr:uid="{00000000-0005-0000-0000-000059070000}"/>
    <cellStyle name="40% - Accent6 3 8 2" xfId="13047" xr:uid="{3EC5DE52-A0D6-41D2-9CCC-1D654A39C5E2}"/>
    <cellStyle name="40% - Accent6 3 9" xfId="17270" xr:uid="{E326C526-6EF0-43FC-A90C-A1A1829CD194}"/>
    <cellStyle name="40% - Accent6 4" xfId="96" xr:uid="{00000000-0005-0000-0000-00005A070000}"/>
    <cellStyle name="40% - Accent6 4 10" xfId="18934" xr:uid="{CE739E29-6C29-43F5-B8BF-AF14F762373E}"/>
    <cellStyle name="40% - Accent6 4 11" xfId="8831" xr:uid="{19962DB9-BA81-4DAA-80AA-29C33D57DF22}"/>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56A8F855-2D3D-44C8-977B-9FEF7921E6B2}"/>
    <cellStyle name="40% - Accent6 4 2 2 3" xfId="11390" xr:uid="{4014AAC1-A9A8-4ED7-85F5-EAC8323E1C74}"/>
    <cellStyle name="40% - Accent6 4 2 3" xfId="5013" xr:uid="{00000000-0005-0000-0000-00005E070000}"/>
    <cellStyle name="40% - Accent6 4 2 3 2" xfId="13463" xr:uid="{E8F3DFF9-6C97-433D-A84D-9D4F70B2800B}"/>
    <cellStyle name="40% - Accent6 4 2 4" xfId="17689" xr:uid="{B3425CE5-94D9-44B4-8E9A-65ED14BA689A}"/>
    <cellStyle name="40% - Accent6 4 2 5" xfId="18521" xr:uid="{6A3C8F7A-7E41-433E-BB74-256693B761F6}"/>
    <cellStyle name="40% - Accent6 4 2 6" xfId="19350" xr:uid="{43B30B12-9DF2-49B8-B214-E398528064B4}"/>
    <cellStyle name="40% - Accent6 4 2 7" xfId="9245" xr:uid="{728B1BB8-0F79-4367-A233-EC360E59137E}"/>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C618D854-858D-483D-B822-CAE5315927FB}"/>
    <cellStyle name="40% - Accent6 4 3 2 3" xfId="11803" xr:uid="{B0946960-97DF-424D-B5B2-6E77B3F56CD6}"/>
    <cellStyle name="40% - Accent6 4 3 3" xfId="5426" xr:uid="{00000000-0005-0000-0000-000062070000}"/>
    <cellStyle name="40% - Accent6 4 3 3 2" xfId="13876" xr:uid="{4F4DD141-333A-4184-A75A-899EF93A6AE8}"/>
    <cellStyle name="40% - Accent6 4 3 4" xfId="9658" xr:uid="{B537B301-55BE-4595-9016-EF3AF344E83C}"/>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2D1CA6D0-39C2-4797-84FB-76D1E7D26621}"/>
    <cellStyle name="40% - Accent6 4 4 2 3" xfId="12216" xr:uid="{D131076E-ABF0-46AB-92DE-16B98BB67E6D}"/>
    <cellStyle name="40% - Accent6 4 4 3" xfId="5839" xr:uid="{00000000-0005-0000-0000-000066070000}"/>
    <cellStyle name="40% - Accent6 4 4 3 2" xfId="14289" xr:uid="{9C28EE2D-C81E-40A0-A939-2A26428CBE44}"/>
    <cellStyle name="40% - Accent6 4 4 4" xfId="10071" xr:uid="{DEC2051B-13B2-4E17-B89A-FDE2E545B73C}"/>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64356D0A-F7E9-4E66-85CB-374E43FB8D99}"/>
    <cellStyle name="40% - Accent6 4 5 2 3" xfId="12629" xr:uid="{81D10484-0C70-4B1A-BA57-DC31BF6BBD2B}"/>
    <cellStyle name="40% - Accent6 4 5 3" xfId="6252" xr:uid="{00000000-0005-0000-0000-00006A070000}"/>
    <cellStyle name="40% - Accent6 4 5 3 2" xfId="14702" xr:uid="{B1013A50-AB07-4CF7-B58A-34F42B0ADAD8}"/>
    <cellStyle name="40% - Accent6 4 5 4" xfId="10484" xr:uid="{0A047FDE-CC05-4E37-9BDD-5CEFDF34AD01}"/>
    <cellStyle name="40% - Accent6 4 6" xfId="2359" xr:uid="{00000000-0005-0000-0000-00006B070000}"/>
    <cellStyle name="40% - Accent6 4 6 2" xfId="6665" xr:uid="{00000000-0005-0000-0000-00006C070000}"/>
    <cellStyle name="40% - Accent6 4 6 2 2" xfId="15115" xr:uid="{77F598B6-1533-463F-876B-81647CBA87A3}"/>
    <cellStyle name="40% - Accent6 4 6 3" xfId="10897" xr:uid="{77B830EC-1F7C-452D-B48D-888E0D67E400}"/>
    <cellStyle name="40% - Accent6 4 7" xfId="4599" xr:uid="{00000000-0005-0000-0000-00006D070000}"/>
    <cellStyle name="40% - Accent6 4 7 2" xfId="13049" xr:uid="{4922FE2E-87D1-4AB7-B7BE-AF60507287FB}"/>
    <cellStyle name="40% - Accent6 4 8" xfId="17272" xr:uid="{E90736A1-951D-451A-B24D-464F13AE75FE}"/>
    <cellStyle name="40% - Accent6 4 9" xfId="18105" xr:uid="{7F0A8E9C-758E-4308-A069-0C9C5624A60C}"/>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9CD1A359-839C-4255-A35F-3F67CA8EEF41}"/>
    <cellStyle name="40% - Accent6 5 2 3" xfId="11383" xr:uid="{0FD091E5-E3EE-4F4D-AD0B-E113240FC66C}"/>
    <cellStyle name="40% - Accent6 5 3" xfId="5006" xr:uid="{00000000-0005-0000-0000-000071070000}"/>
    <cellStyle name="40% - Accent6 5 3 2" xfId="13456" xr:uid="{052BE799-A300-46E5-B7ED-43D13A6E030E}"/>
    <cellStyle name="40% - Accent6 5 4" xfId="17682" xr:uid="{B9167E38-4462-4D32-A9D8-645FBB10C123}"/>
    <cellStyle name="40% - Accent6 5 5" xfId="18514" xr:uid="{0C5E98F0-02EF-4EC9-BAD7-92C2FACC6B4A}"/>
    <cellStyle name="40% - Accent6 5 6" xfId="19343" xr:uid="{7449D499-E8B3-446B-A87B-DD1FFDC9B37C}"/>
    <cellStyle name="40% - Accent6 5 7" xfId="9238" xr:uid="{1FA4874E-5FAB-47F4-9C4D-69EBEBC3E6EE}"/>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33E933EB-CE19-4215-8A3B-9314B5FAE9DD}"/>
    <cellStyle name="40% - Accent6 6 2 3" xfId="11796" xr:uid="{674A7EB7-AA93-4E49-910E-7736EFC045AA}"/>
    <cellStyle name="40% - Accent6 6 3" xfId="5419" xr:uid="{00000000-0005-0000-0000-000075070000}"/>
    <cellStyle name="40% - Accent6 6 3 2" xfId="13869" xr:uid="{546D2D07-23DA-4E08-8853-4284DB78D86F}"/>
    <cellStyle name="40% - Accent6 6 4" xfId="9651" xr:uid="{AE736CCB-21AD-42C4-BAC2-A8BF472FD382}"/>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2EC9DEC0-E34E-4F74-95AB-F88E5791A567}"/>
    <cellStyle name="40% - Accent6 7 2 3" xfId="12209" xr:uid="{F89D99C9-E743-4C2A-ADF9-E51F148A0DB7}"/>
    <cellStyle name="40% - Accent6 7 3" xfId="5832" xr:uid="{00000000-0005-0000-0000-000079070000}"/>
    <cellStyle name="40% - Accent6 7 3 2" xfId="14282" xr:uid="{3F3EA29A-143F-4B51-A655-3449CCFA66A5}"/>
    <cellStyle name="40% - Accent6 7 4" xfId="10064" xr:uid="{EE7415CB-3D19-470B-AB28-BA8CFA91CC02}"/>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4C575DB5-0B8B-4413-8F2F-851F822457B3}"/>
    <cellStyle name="40% - Accent6 8 2 3" xfId="12622" xr:uid="{0A1D5733-5E6E-40F6-84BE-1D7A96D681D2}"/>
    <cellStyle name="40% - Accent6 8 3" xfId="6245" xr:uid="{00000000-0005-0000-0000-00007D070000}"/>
    <cellStyle name="40% - Accent6 8 3 2" xfId="14695" xr:uid="{E65F1676-31CA-47F1-85E6-DC89E1EDE234}"/>
    <cellStyle name="40% - Accent6 8 4" xfId="10477" xr:uid="{51733CF9-C1F9-4EF6-8A01-1DD89873B385}"/>
    <cellStyle name="40% - Accent6 9" xfId="2352" xr:uid="{00000000-0005-0000-0000-00007E070000}"/>
    <cellStyle name="40% - Accent6 9 2" xfId="6658" xr:uid="{00000000-0005-0000-0000-00007F070000}"/>
    <cellStyle name="40% - Accent6 9 2 2" xfId="15108" xr:uid="{81DF01E1-6AC3-4455-A200-1564DDF85DCD}"/>
    <cellStyle name="40% - Accent6 9 3" xfId="10890" xr:uid="{827052A2-CB92-4B60-BDD5-3BDA99165BB8}"/>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2BD8DB87-7090-42EA-BBEB-71B5CEC31D12}"/>
    <cellStyle name="Comma 4 2 2 2 10 3" xfId="11215" xr:uid="{FD5917C2-25CB-42B1-97E6-5FFB1B8F9AE9}"/>
    <cellStyle name="Comma 4 2 2 2 11" xfId="4600" xr:uid="{00000000-0005-0000-0000-0000A3070000}"/>
    <cellStyle name="Comma 4 2 2 2 11 2" xfId="13050" xr:uid="{DD1A8CBC-2A36-4B97-93CE-B0AB6F883BF1}"/>
    <cellStyle name="Comma 4 2 2 2 12" xfId="17273" xr:uid="{91C984A7-2BA6-43BA-BADE-433CCDF15314}"/>
    <cellStyle name="Comma 4 2 2 2 13" xfId="18106" xr:uid="{2007F04C-1D91-490F-B0FF-1F1241394CA6}"/>
    <cellStyle name="Comma 4 2 2 2 14" xfId="18935" xr:uid="{96D34683-7854-44BE-BDE3-F587DA060001}"/>
    <cellStyle name="Comma 4 2 2 2 15" xfId="8832" xr:uid="{5CED0A46-1786-406D-9412-2E493A102B88}"/>
    <cellStyle name="Comma 4 2 2 2 2" xfId="129" xr:uid="{00000000-0005-0000-0000-0000A4070000}"/>
    <cellStyle name="Comma 4 2 2 2 2 10" xfId="4601" xr:uid="{00000000-0005-0000-0000-0000A5070000}"/>
    <cellStyle name="Comma 4 2 2 2 2 10 2" xfId="13051" xr:uid="{18C92C0E-D93A-48E2-B47E-9983D45959EC}"/>
    <cellStyle name="Comma 4 2 2 2 2 11" xfId="17274" xr:uid="{C8AD78DF-4EAC-4F37-85DD-C60ECB6B34CB}"/>
    <cellStyle name="Comma 4 2 2 2 2 12" xfId="18107" xr:uid="{21C8FAE2-884E-45C0-8C7F-12FF25948146}"/>
    <cellStyle name="Comma 4 2 2 2 2 13" xfId="18936" xr:uid="{14E851E9-4F6A-42AE-B9F6-DB38E3CAD9EC}"/>
    <cellStyle name="Comma 4 2 2 2 2 14" xfId="8833" xr:uid="{CAF54660-A1EE-4CD9-A7C9-4E9F3988445B}"/>
    <cellStyle name="Comma 4 2 2 2 2 2" xfId="130" xr:uid="{00000000-0005-0000-0000-0000A6070000}"/>
    <cellStyle name="Comma 4 2 2 2 2 2 10" xfId="17275" xr:uid="{10159DEA-B030-46B3-94DA-C6D6001BC8B4}"/>
    <cellStyle name="Comma 4 2 2 2 2 2 11" xfId="18108" xr:uid="{2160D63E-B3AE-4DB1-9B47-45D64C986475}"/>
    <cellStyle name="Comma 4 2 2 2 2 2 12" xfId="18937" xr:uid="{FDF2FD10-EB60-4B1B-8D1B-045455682FE0}"/>
    <cellStyle name="Comma 4 2 2 2 2 2 13" xfId="8834" xr:uid="{A58B45EA-C272-42D2-AF7F-4A58B9186B1C}"/>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A8618B89-4B29-4061-B7C1-82DA9AF881EF}"/>
    <cellStyle name="Comma 4 2 2 2 2 2 2 2 3" xfId="11393" xr:uid="{BDE6E3ED-5A4E-441F-A9D6-F64AA70FFB20}"/>
    <cellStyle name="Comma 4 2 2 2 2 2 2 3" xfId="5016" xr:uid="{00000000-0005-0000-0000-0000AA070000}"/>
    <cellStyle name="Comma 4 2 2 2 2 2 2 3 2" xfId="13466" xr:uid="{66A6042F-8F16-41BB-A182-ED52DC5229EC}"/>
    <cellStyle name="Comma 4 2 2 2 2 2 2 4" xfId="17692" xr:uid="{9C6F472F-FF26-419E-9F1E-3358A669BE88}"/>
    <cellStyle name="Comma 4 2 2 2 2 2 2 5" xfId="18524" xr:uid="{49DFC6E4-5AF9-4A74-B9EF-15DA2506C6DF}"/>
    <cellStyle name="Comma 4 2 2 2 2 2 2 6" xfId="19353" xr:uid="{F9923853-4597-4A86-8674-A8738AB38B8F}"/>
    <cellStyle name="Comma 4 2 2 2 2 2 2 7" xfId="9248" xr:uid="{48D4128F-89EC-4B6B-A9F0-0C9D833FEF25}"/>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8C78C2CE-902D-466A-92A8-423F4928246D}"/>
    <cellStyle name="Comma 4 2 2 2 2 2 3 2 3" xfId="11806" xr:uid="{CBD7A1F8-7329-4065-B649-FD5D568C7560}"/>
    <cellStyle name="Comma 4 2 2 2 2 2 3 3" xfId="5429" xr:uid="{00000000-0005-0000-0000-0000AE070000}"/>
    <cellStyle name="Comma 4 2 2 2 2 2 3 3 2" xfId="13879" xr:uid="{07170754-0155-4C6A-8279-DE0338B69D97}"/>
    <cellStyle name="Comma 4 2 2 2 2 2 3 4" xfId="9661" xr:uid="{343533EC-4588-417C-AABB-51576774A2D6}"/>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ED82FA95-6AC5-46B7-A8F1-3C786AE77B12}"/>
    <cellStyle name="Comma 4 2 2 2 2 2 4 2 3" xfId="12219" xr:uid="{57B06508-E808-4D58-9691-D75365416BBE}"/>
    <cellStyle name="Comma 4 2 2 2 2 2 4 3" xfId="5842" xr:uid="{00000000-0005-0000-0000-0000B2070000}"/>
    <cellStyle name="Comma 4 2 2 2 2 2 4 3 2" xfId="14292" xr:uid="{90FE8437-8C58-4011-BF01-72FF74AEF538}"/>
    <cellStyle name="Comma 4 2 2 2 2 2 4 4" xfId="10074" xr:uid="{CBF3023C-1B71-4171-9DB9-DCC2A7B5A9C1}"/>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05CF956B-2013-4858-A657-58FC96CAC8C1}"/>
    <cellStyle name="Comma 4 2 2 2 2 2 5 2 3" xfId="12632" xr:uid="{A13DD7AF-9C21-440E-8BAC-8F1F21D02586}"/>
    <cellStyle name="Comma 4 2 2 2 2 2 5 3" xfId="6255" xr:uid="{00000000-0005-0000-0000-0000B6070000}"/>
    <cellStyle name="Comma 4 2 2 2 2 2 5 3 2" xfId="14705" xr:uid="{20F33F02-69D2-48FD-A9D5-5A432F3D8EAB}"/>
    <cellStyle name="Comma 4 2 2 2 2 2 5 4" xfId="10487" xr:uid="{FEE0574A-CF56-40E7-A123-EFD6B54C233F}"/>
    <cellStyle name="Comma 4 2 2 2 2 2 6" xfId="2384" xr:uid="{00000000-0005-0000-0000-0000B7070000}"/>
    <cellStyle name="Comma 4 2 2 2 2 2 6 2" xfId="6668" xr:uid="{00000000-0005-0000-0000-0000B8070000}"/>
    <cellStyle name="Comma 4 2 2 2 2 2 6 2 2" xfId="15118" xr:uid="{EE40C189-091F-4EBA-A71E-E8FE8109B475}"/>
    <cellStyle name="Comma 4 2 2 2 2 2 6 3" xfId="10900" xr:uid="{E15CA6B1-BF9F-4C24-877B-E1E9A053151A}"/>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03500195-3D67-4852-9717-7FDDA4518CE9}"/>
    <cellStyle name="Comma 4 2 2 2 2 2 8 3" xfId="11217" xr:uid="{59EBC5CC-1823-4E53-9FFB-8AFB51FB7208}"/>
    <cellStyle name="Comma 4 2 2 2 2 2 9" xfId="4602" xr:uid="{00000000-0005-0000-0000-0000BC070000}"/>
    <cellStyle name="Comma 4 2 2 2 2 2 9 2" xfId="13052" xr:uid="{E8178C7C-FDA3-48BA-B979-21B80023AC5B}"/>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7B989B1E-A971-42C0-A56D-A6057DE400C8}"/>
    <cellStyle name="Comma 4 2 2 2 2 3 2 3" xfId="11392" xr:uid="{7B23E9A8-8F5C-45CF-A398-712B3464BE12}"/>
    <cellStyle name="Comma 4 2 2 2 2 3 3" xfId="5015" xr:uid="{00000000-0005-0000-0000-0000C0070000}"/>
    <cellStyle name="Comma 4 2 2 2 2 3 3 2" xfId="13465" xr:uid="{63337568-77A4-4D6D-ABA2-1E2C372E7DA1}"/>
    <cellStyle name="Comma 4 2 2 2 2 3 4" xfId="17691" xr:uid="{C817BAC0-0483-4965-B3B5-6202BF4FED27}"/>
    <cellStyle name="Comma 4 2 2 2 2 3 5" xfId="18523" xr:uid="{65674487-FF2F-4366-8913-9E95089EF55F}"/>
    <cellStyle name="Comma 4 2 2 2 2 3 6" xfId="19352" xr:uid="{67B6BDAC-CC89-4234-8706-DC9F978048ED}"/>
    <cellStyle name="Comma 4 2 2 2 2 3 7" xfId="9247" xr:uid="{35F42CAF-A7F6-4DC4-A4D6-BD5337B9020C}"/>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E4A80774-3AD1-4303-92AF-DBB6BE23E572}"/>
    <cellStyle name="Comma 4 2 2 2 2 4 2 3" xfId="11805" xr:uid="{B3A3B64A-A871-4D0B-B450-189F53F76B9D}"/>
    <cellStyle name="Comma 4 2 2 2 2 4 3" xfId="5428" xr:uid="{00000000-0005-0000-0000-0000C4070000}"/>
    <cellStyle name="Comma 4 2 2 2 2 4 3 2" xfId="13878" xr:uid="{9031EC80-614C-4F0A-BC37-6F92BD730E02}"/>
    <cellStyle name="Comma 4 2 2 2 2 4 4" xfId="9660" xr:uid="{289318CD-D5F5-446C-8177-C3C284369CFB}"/>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60D92EAB-E08C-4E78-83EC-A5C33223C5FE}"/>
    <cellStyle name="Comma 4 2 2 2 2 5 2 3" xfId="12218" xr:uid="{16DEE93A-947A-4D86-99E5-A7AF284B4324}"/>
    <cellStyle name="Comma 4 2 2 2 2 5 3" xfId="5841" xr:uid="{00000000-0005-0000-0000-0000C8070000}"/>
    <cellStyle name="Comma 4 2 2 2 2 5 3 2" xfId="14291" xr:uid="{0C0C3374-973B-483F-9844-8A11DD03FA20}"/>
    <cellStyle name="Comma 4 2 2 2 2 5 4" xfId="10073" xr:uid="{367C2029-1EFD-4452-98F7-DA378C3FCD06}"/>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BACBB9EB-CBF2-46B8-96C3-338829F2DB97}"/>
    <cellStyle name="Comma 4 2 2 2 2 6 2 3" xfId="12631" xr:uid="{C26F1854-2221-4752-9187-4A16A9658DA4}"/>
    <cellStyle name="Comma 4 2 2 2 2 6 3" xfId="6254" xr:uid="{00000000-0005-0000-0000-0000CC070000}"/>
    <cellStyle name="Comma 4 2 2 2 2 6 3 2" xfId="14704" xr:uid="{5B3A7BB8-51A3-478B-9517-E71C3C7E4FF4}"/>
    <cellStyle name="Comma 4 2 2 2 2 6 4" xfId="10486" xr:uid="{A1221295-210F-4BCF-BAD9-63C003A2D382}"/>
    <cellStyle name="Comma 4 2 2 2 2 7" xfId="2383" xr:uid="{00000000-0005-0000-0000-0000CD070000}"/>
    <cellStyle name="Comma 4 2 2 2 2 7 2" xfId="6667" xr:uid="{00000000-0005-0000-0000-0000CE070000}"/>
    <cellStyle name="Comma 4 2 2 2 2 7 2 2" xfId="15117" xr:uid="{40667405-9395-490C-B450-3FE767BC09DD}"/>
    <cellStyle name="Comma 4 2 2 2 2 7 3" xfId="10899" xr:uid="{D8F93737-DB27-4A6A-9E54-EF8FBAD3C871}"/>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60EC3591-19B1-459F-9EA3-58652BF76FF2}"/>
    <cellStyle name="Comma 4 2 2 2 2 9 3" xfId="11216" xr:uid="{9115A11C-2723-44B9-967E-F6B467269C18}"/>
    <cellStyle name="Comma 4 2 2 2 3" xfId="131" xr:uid="{00000000-0005-0000-0000-0000D2070000}"/>
    <cellStyle name="Comma 4 2 2 2 3 10" xfId="17276" xr:uid="{D53A3B76-33C8-41B7-B224-9A2B937D2251}"/>
    <cellStyle name="Comma 4 2 2 2 3 11" xfId="18109" xr:uid="{0083BE54-6F71-4382-817B-DE8CD5CB82D0}"/>
    <cellStyle name="Comma 4 2 2 2 3 12" xfId="18938" xr:uid="{AA2D04E1-BC53-42FD-845B-CF7B23539A69}"/>
    <cellStyle name="Comma 4 2 2 2 3 13" xfId="8835" xr:uid="{EF3E58E7-4853-45E2-BC75-182F30B37DAE}"/>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35159205-362F-4054-931F-BA0354ADEBB7}"/>
    <cellStyle name="Comma 4 2 2 2 3 2 2 3" xfId="11394" xr:uid="{A297C392-6BCE-4758-A01A-C989447CD6B1}"/>
    <cellStyle name="Comma 4 2 2 2 3 2 3" xfId="5017" xr:uid="{00000000-0005-0000-0000-0000D6070000}"/>
    <cellStyle name="Comma 4 2 2 2 3 2 3 2" xfId="13467" xr:uid="{4E9FBEA3-0086-4AC5-80B3-2EA27E9BE2EC}"/>
    <cellStyle name="Comma 4 2 2 2 3 2 4" xfId="17693" xr:uid="{712227D3-1C3B-442D-B8F0-BFC714BDDE2E}"/>
    <cellStyle name="Comma 4 2 2 2 3 2 5" xfId="18525" xr:uid="{AA4EB00B-4D0C-4949-B947-A45A0AFE3374}"/>
    <cellStyle name="Comma 4 2 2 2 3 2 6" xfId="19354" xr:uid="{E0D4BE7F-ED76-41D2-8E75-38FCE00C80EA}"/>
    <cellStyle name="Comma 4 2 2 2 3 2 7" xfId="9249" xr:uid="{F85C1A0A-1863-4892-BD2B-6DFE12E9BC04}"/>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F45E6AEB-C332-46C5-8720-453B6C567704}"/>
    <cellStyle name="Comma 4 2 2 2 3 3 2 3" xfId="11807" xr:uid="{95A5A653-B204-4327-AEFD-1B1060741103}"/>
    <cellStyle name="Comma 4 2 2 2 3 3 3" xfId="5430" xr:uid="{00000000-0005-0000-0000-0000DA070000}"/>
    <cellStyle name="Comma 4 2 2 2 3 3 3 2" xfId="13880" xr:uid="{2DA37A79-82D6-4A38-8F18-C60F2FDA0F70}"/>
    <cellStyle name="Comma 4 2 2 2 3 3 4" xfId="9662" xr:uid="{04CF71DE-82A6-4C0A-8AE6-3A3DBC126FFC}"/>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11F3E83E-CA29-4072-BFA3-8F598503E79E}"/>
    <cellStyle name="Comma 4 2 2 2 3 4 2 3" xfId="12220" xr:uid="{F9D0141E-E2B0-4EB2-8388-A518DFE4DDB1}"/>
    <cellStyle name="Comma 4 2 2 2 3 4 3" xfId="5843" xr:uid="{00000000-0005-0000-0000-0000DE070000}"/>
    <cellStyle name="Comma 4 2 2 2 3 4 3 2" xfId="14293" xr:uid="{B41CDC13-F125-46D1-844C-C297D91E34DE}"/>
    <cellStyle name="Comma 4 2 2 2 3 4 4" xfId="10075" xr:uid="{697BBC69-2318-4310-BED6-CE6ACA2F0138}"/>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15EC1906-B7E7-4487-A9A3-CA51EA337031}"/>
    <cellStyle name="Comma 4 2 2 2 3 5 2 3" xfId="12633" xr:uid="{DD5F22D5-5CC0-4F0F-8313-39296F838F72}"/>
    <cellStyle name="Comma 4 2 2 2 3 5 3" xfId="6256" xr:uid="{00000000-0005-0000-0000-0000E2070000}"/>
    <cellStyle name="Comma 4 2 2 2 3 5 3 2" xfId="14706" xr:uid="{CFD38966-45E6-440A-9D23-4ED8805B990E}"/>
    <cellStyle name="Comma 4 2 2 2 3 5 4" xfId="10488" xr:uid="{81A83658-90D8-4023-9446-E27F0AEA1C3F}"/>
    <cellStyle name="Comma 4 2 2 2 3 6" xfId="2385" xr:uid="{00000000-0005-0000-0000-0000E3070000}"/>
    <cellStyle name="Comma 4 2 2 2 3 6 2" xfId="6669" xr:uid="{00000000-0005-0000-0000-0000E4070000}"/>
    <cellStyle name="Comma 4 2 2 2 3 6 2 2" xfId="15119" xr:uid="{37944B94-0281-4A0E-B5FC-AD783466F25D}"/>
    <cellStyle name="Comma 4 2 2 2 3 6 3" xfId="10901" xr:uid="{FF959E7E-DA3F-4302-8EB0-34104376D696}"/>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0E14DF52-8950-4A89-9B78-BFC14AA82FBA}"/>
    <cellStyle name="Comma 4 2 2 2 3 8 3" xfId="11218" xr:uid="{887E1B6F-54BC-46B9-8F63-5578E017B9ED}"/>
    <cellStyle name="Comma 4 2 2 2 3 9" xfId="4603" xr:uid="{00000000-0005-0000-0000-0000E8070000}"/>
    <cellStyle name="Comma 4 2 2 2 3 9 2" xfId="13053" xr:uid="{44E1534A-0BBF-46A7-A0FC-96CF2142D7D4}"/>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02680DAF-B079-4C73-B966-04827FE073E3}"/>
    <cellStyle name="Comma 4 2 2 2 4 2 3" xfId="11391" xr:uid="{D0B956FA-8B90-4BA0-801B-329500F4CDBB}"/>
    <cellStyle name="Comma 4 2 2 2 4 3" xfId="5014" xr:uid="{00000000-0005-0000-0000-0000EC070000}"/>
    <cellStyle name="Comma 4 2 2 2 4 3 2" xfId="13464" xr:uid="{4599ADE8-3A65-4E7F-A26D-A4E2F126AC18}"/>
    <cellStyle name="Comma 4 2 2 2 4 4" xfId="17690" xr:uid="{927EC995-048A-4B38-8072-1E1EFF2C4BD3}"/>
    <cellStyle name="Comma 4 2 2 2 4 5" xfId="18522" xr:uid="{4964E6F2-C3EF-4E17-8A04-6BFEE2CC4CE0}"/>
    <cellStyle name="Comma 4 2 2 2 4 6" xfId="19351" xr:uid="{DA1AE245-6670-4F0E-9D7F-53C4597DA34D}"/>
    <cellStyle name="Comma 4 2 2 2 4 7" xfId="9246" xr:uid="{AF468AD7-AB44-49E1-9891-00262815EC3E}"/>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A27D43C5-1C1F-4C03-B539-A1CD6B04D046}"/>
    <cellStyle name="Comma 4 2 2 2 5 2 3" xfId="11804" xr:uid="{03CC1D54-26AB-4404-9B78-C8FE0050CE4F}"/>
    <cellStyle name="Comma 4 2 2 2 5 3" xfId="5427" xr:uid="{00000000-0005-0000-0000-0000F0070000}"/>
    <cellStyle name="Comma 4 2 2 2 5 3 2" xfId="13877" xr:uid="{67A36D1A-2668-4872-A16F-88E8331B22F9}"/>
    <cellStyle name="Comma 4 2 2 2 5 4" xfId="9659" xr:uid="{3DA847E6-FD20-4793-8C65-AE616CA036F7}"/>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4945287E-DEDC-439B-B178-9BCA7611ACA8}"/>
    <cellStyle name="Comma 4 2 2 2 6 2 3" xfId="12217" xr:uid="{DF948349-F4B0-47DD-92C9-AB9807F18438}"/>
    <cellStyle name="Comma 4 2 2 2 6 3" xfId="5840" xr:uid="{00000000-0005-0000-0000-0000F4070000}"/>
    <cellStyle name="Comma 4 2 2 2 6 3 2" xfId="14290" xr:uid="{4B2EA895-CAFC-4953-858A-CCDFD0DC38D0}"/>
    <cellStyle name="Comma 4 2 2 2 6 4" xfId="10072" xr:uid="{6910CD39-823A-4100-A87E-33E958C16F25}"/>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710DD0B4-A3BC-4665-8099-485006F1323D}"/>
    <cellStyle name="Comma 4 2 2 2 7 2 3" xfId="12630" xr:uid="{8C4FA68C-2050-4C2C-AEA2-AEF6A748C9D4}"/>
    <cellStyle name="Comma 4 2 2 2 7 3" xfId="6253" xr:uid="{00000000-0005-0000-0000-0000F8070000}"/>
    <cellStyle name="Comma 4 2 2 2 7 3 2" xfId="14703" xr:uid="{73B9F6DD-49DB-4DA8-98EE-591179EFA97B}"/>
    <cellStyle name="Comma 4 2 2 2 7 4" xfId="10485" xr:uid="{C6A4AD69-81AA-45C9-86D2-0C42EB6582C5}"/>
    <cellStyle name="Comma 4 2 2 2 8" xfId="2382" xr:uid="{00000000-0005-0000-0000-0000F9070000}"/>
    <cellStyle name="Comma 4 2 2 2 8 2" xfId="6666" xr:uid="{00000000-0005-0000-0000-0000FA070000}"/>
    <cellStyle name="Comma 4 2 2 2 8 2 2" xfId="15116" xr:uid="{BEFEB456-A676-43D7-8778-92D6FCF9447F}"/>
    <cellStyle name="Comma 4 2 2 2 8 3" xfId="10898" xr:uid="{3A1BB6E9-7A1E-4B05-A786-C2DC3174170E}"/>
    <cellStyle name="Comma 4 2 2 2 9" xfId="2381" xr:uid="{00000000-0005-0000-0000-0000FB070000}"/>
    <cellStyle name="Comma 4 2 2 3" xfId="132" xr:uid="{00000000-0005-0000-0000-0000FC070000}"/>
    <cellStyle name="Comma 4 2 2 3 10" xfId="4604" xr:uid="{00000000-0005-0000-0000-0000FD070000}"/>
    <cellStyle name="Comma 4 2 2 3 10 2" xfId="13054" xr:uid="{868D3EF9-AA09-496F-A3AA-EB955B435EA1}"/>
    <cellStyle name="Comma 4 2 2 3 11" xfId="17277" xr:uid="{0698A808-D6B8-4AB0-BBD4-D7517A81C092}"/>
    <cellStyle name="Comma 4 2 2 3 12" xfId="18110" xr:uid="{0DD30E11-7629-4267-9387-43F3D78788F6}"/>
    <cellStyle name="Comma 4 2 2 3 13" xfId="18939" xr:uid="{FC8B6065-E53A-475E-924E-511EC3FD5629}"/>
    <cellStyle name="Comma 4 2 2 3 14" xfId="8836" xr:uid="{09B4F5E2-9A51-43E9-911F-5EA8067999CA}"/>
    <cellStyle name="Comma 4 2 2 3 2" xfId="133" xr:uid="{00000000-0005-0000-0000-0000FE070000}"/>
    <cellStyle name="Comma 4 2 2 3 2 10" xfId="17278" xr:uid="{EE9BFF02-093B-40F2-8DE0-A0CDA165EAE8}"/>
    <cellStyle name="Comma 4 2 2 3 2 11" xfId="18111" xr:uid="{ECF5F4DD-7045-46BB-9EAD-259E68AE54B5}"/>
    <cellStyle name="Comma 4 2 2 3 2 12" xfId="18940" xr:uid="{444A5F62-15C0-4D3F-A793-499929CF111F}"/>
    <cellStyle name="Comma 4 2 2 3 2 13" xfId="8837" xr:uid="{D3E39831-794D-49AB-BE4E-6077F86D0AB6}"/>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B17FBCF7-ED86-4242-96FD-B59B55D37B8F}"/>
    <cellStyle name="Comma 4 2 2 3 2 2 2 3" xfId="11396" xr:uid="{989CB6D6-408E-49E4-8B48-99E5C962F1FA}"/>
    <cellStyle name="Comma 4 2 2 3 2 2 3" xfId="5019" xr:uid="{00000000-0005-0000-0000-000002080000}"/>
    <cellStyle name="Comma 4 2 2 3 2 2 3 2" xfId="13469" xr:uid="{12533EDC-A0F2-4483-9769-3D5261270E7B}"/>
    <cellStyle name="Comma 4 2 2 3 2 2 4" xfId="17695" xr:uid="{7EC6EBD2-F80E-467A-AEDF-874907CB89BB}"/>
    <cellStyle name="Comma 4 2 2 3 2 2 5" xfId="18527" xr:uid="{0BB14E97-6D78-4EC0-9673-BA11773874FA}"/>
    <cellStyle name="Comma 4 2 2 3 2 2 6" xfId="19356" xr:uid="{FD3BFA2C-3E68-439D-978B-A2089B3B5FF0}"/>
    <cellStyle name="Comma 4 2 2 3 2 2 7" xfId="9251" xr:uid="{DEB1991E-854E-4492-883F-8A6A1539884E}"/>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8146C476-57E4-4C6D-99AA-E3B457CEE1A2}"/>
    <cellStyle name="Comma 4 2 2 3 2 3 2 3" xfId="11809" xr:uid="{45933F70-A3D2-4079-9370-9B4878DAA294}"/>
    <cellStyle name="Comma 4 2 2 3 2 3 3" xfId="5432" xr:uid="{00000000-0005-0000-0000-000006080000}"/>
    <cellStyle name="Comma 4 2 2 3 2 3 3 2" xfId="13882" xr:uid="{927010D0-1F02-4E20-A4B6-131144AEDF69}"/>
    <cellStyle name="Comma 4 2 2 3 2 3 4" xfId="9664" xr:uid="{E4022A67-1B87-4184-A858-4BB1E408A504}"/>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0AE0B54D-082D-47D5-900C-020417CFFE86}"/>
    <cellStyle name="Comma 4 2 2 3 2 4 2 3" xfId="12222" xr:uid="{9CED5A9B-8D9A-4DAF-8354-DFB61CBDBFF6}"/>
    <cellStyle name="Comma 4 2 2 3 2 4 3" xfId="5845" xr:uid="{00000000-0005-0000-0000-00000A080000}"/>
    <cellStyle name="Comma 4 2 2 3 2 4 3 2" xfId="14295" xr:uid="{DE98FCD6-281B-4176-B748-A2B8CA218D53}"/>
    <cellStyle name="Comma 4 2 2 3 2 4 4" xfId="10077" xr:uid="{46EB3A49-2391-4950-BAB8-F279E72C1E1F}"/>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BDD1D8AB-C95E-4FA9-84AE-AAB4AE342234}"/>
    <cellStyle name="Comma 4 2 2 3 2 5 2 3" xfId="12635" xr:uid="{A64ABA66-7E1C-4760-B3AD-D0E9FD9FB507}"/>
    <cellStyle name="Comma 4 2 2 3 2 5 3" xfId="6258" xr:uid="{00000000-0005-0000-0000-00000E080000}"/>
    <cellStyle name="Comma 4 2 2 3 2 5 3 2" xfId="14708" xr:uid="{20926110-15FC-4BA6-848E-B89EC97E9070}"/>
    <cellStyle name="Comma 4 2 2 3 2 5 4" xfId="10490" xr:uid="{7316F471-08D2-4644-B0AC-F72C1CA26CFE}"/>
    <cellStyle name="Comma 4 2 2 3 2 6" xfId="2387" xr:uid="{00000000-0005-0000-0000-00000F080000}"/>
    <cellStyle name="Comma 4 2 2 3 2 6 2" xfId="6671" xr:uid="{00000000-0005-0000-0000-000010080000}"/>
    <cellStyle name="Comma 4 2 2 3 2 6 2 2" xfId="15121" xr:uid="{F43B1590-CA7E-4D45-8533-6A38B3F074C3}"/>
    <cellStyle name="Comma 4 2 2 3 2 6 3" xfId="10903" xr:uid="{5C19BF55-0676-4E29-8D4E-C63B4322D6FA}"/>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EBBBC822-365F-425E-BA36-DF7D89FF08BB}"/>
    <cellStyle name="Comma 4 2 2 3 2 8 3" xfId="11220" xr:uid="{56465FF9-BC77-4ACF-A87E-ADC8FEDBF897}"/>
    <cellStyle name="Comma 4 2 2 3 2 9" xfId="4605" xr:uid="{00000000-0005-0000-0000-000014080000}"/>
    <cellStyle name="Comma 4 2 2 3 2 9 2" xfId="13055" xr:uid="{BF89ABBD-3F0D-49D1-A164-BFC963ECF522}"/>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97D4D641-5929-4F7A-9B10-A4CCBB8F8577}"/>
    <cellStyle name="Comma 4 2 2 3 3 2 3" xfId="11395" xr:uid="{8931FC10-A9EF-4D5F-B2FA-A7C20981E209}"/>
    <cellStyle name="Comma 4 2 2 3 3 3" xfId="5018" xr:uid="{00000000-0005-0000-0000-000018080000}"/>
    <cellStyle name="Comma 4 2 2 3 3 3 2" xfId="13468" xr:uid="{3B1FAE8C-521B-4848-BBE1-2F7141706385}"/>
    <cellStyle name="Comma 4 2 2 3 3 4" xfId="17694" xr:uid="{1987D86E-E809-4E01-9B8D-7B9D19F10094}"/>
    <cellStyle name="Comma 4 2 2 3 3 5" xfId="18526" xr:uid="{215F12CA-648F-4ED9-ABD2-276CC92E4B9A}"/>
    <cellStyle name="Comma 4 2 2 3 3 6" xfId="19355" xr:uid="{08570D4A-660B-4107-9193-47AF5C77D581}"/>
    <cellStyle name="Comma 4 2 2 3 3 7" xfId="9250" xr:uid="{39C92B83-7E8C-4E87-97C0-E8931B361569}"/>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B6571E33-593B-4234-848E-CAB39E9496DA}"/>
    <cellStyle name="Comma 4 2 2 3 4 2 3" xfId="11808" xr:uid="{4BBD91F3-DB36-49F1-AF43-46C6303957AB}"/>
    <cellStyle name="Comma 4 2 2 3 4 3" xfId="5431" xr:uid="{00000000-0005-0000-0000-00001C080000}"/>
    <cellStyle name="Comma 4 2 2 3 4 3 2" xfId="13881" xr:uid="{E0AFE174-49C0-44CB-8C79-FA089742972B}"/>
    <cellStyle name="Comma 4 2 2 3 4 4" xfId="9663" xr:uid="{0AC02532-FE8C-4C0F-901D-C6882603DD69}"/>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A065F162-B183-447A-9783-5B2F871C455C}"/>
    <cellStyle name="Comma 4 2 2 3 5 2 3" xfId="12221" xr:uid="{FE37EA4D-1C20-4E31-BEC8-F91D01F973C3}"/>
    <cellStyle name="Comma 4 2 2 3 5 3" xfId="5844" xr:uid="{00000000-0005-0000-0000-000020080000}"/>
    <cellStyle name="Comma 4 2 2 3 5 3 2" xfId="14294" xr:uid="{95C3FE83-747C-4098-8793-8662BBAFE949}"/>
    <cellStyle name="Comma 4 2 2 3 5 4" xfId="10076" xr:uid="{1B2D156F-A14F-46E1-A80C-7082A41D76C2}"/>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ED00643F-344C-472C-9D40-F999F7EB896D}"/>
    <cellStyle name="Comma 4 2 2 3 6 2 3" xfId="12634" xr:uid="{437C7F2B-CA81-4E1C-BE3E-E91ED7CE0B7A}"/>
    <cellStyle name="Comma 4 2 2 3 6 3" xfId="6257" xr:uid="{00000000-0005-0000-0000-000024080000}"/>
    <cellStyle name="Comma 4 2 2 3 6 3 2" xfId="14707" xr:uid="{DBFF2D4C-84D1-43DC-8F56-BCFDDA790C26}"/>
    <cellStyle name="Comma 4 2 2 3 6 4" xfId="10489" xr:uid="{C5EE855B-399B-4460-A10F-14B098FA0E6E}"/>
    <cellStyle name="Comma 4 2 2 3 7" xfId="2386" xr:uid="{00000000-0005-0000-0000-000025080000}"/>
    <cellStyle name="Comma 4 2 2 3 7 2" xfId="6670" xr:uid="{00000000-0005-0000-0000-000026080000}"/>
    <cellStyle name="Comma 4 2 2 3 7 2 2" xfId="15120" xr:uid="{CD99235B-A3FB-435F-A783-86F8809C1C89}"/>
    <cellStyle name="Comma 4 2 2 3 7 3" xfId="10902" xr:uid="{8A6D8DF9-6B9E-4B21-85F8-AB41175E5B1C}"/>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13F7374F-8D00-45D7-90E6-869FFA60944A}"/>
    <cellStyle name="Comma 4 2 2 3 9 3" xfId="11219" xr:uid="{53A5ADB3-91FF-466E-9A9C-67182288B27A}"/>
    <cellStyle name="Comma 4 2 2 4" xfId="134" xr:uid="{00000000-0005-0000-0000-00002A080000}"/>
    <cellStyle name="Comma 4 2 2 4 10" xfId="17279" xr:uid="{DB088856-D106-4177-81D1-E5DF0DFD1AE8}"/>
    <cellStyle name="Comma 4 2 2 4 11" xfId="18112" xr:uid="{3272BE46-BC40-45AD-8222-2DCF0C3EA1C5}"/>
    <cellStyle name="Comma 4 2 2 4 12" xfId="18941" xr:uid="{EC7E927F-BC3E-47F5-800C-E4C9F44267DE}"/>
    <cellStyle name="Comma 4 2 2 4 13" xfId="8838" xr:uid="{8B8E9C0F-BE8E-4749-81E7-B3F43B1AEDE7}"/>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0637117C-E15A-437F-A9C8-ADF92D9E5622}"/>
    <cellStyle name="Comma 4 2 2 4 2 2 3" xfId="11397" xr:uid="{5ECF3B3D-42FB-48B0-97EC-64400EB21858}"/>
    <cellStyle name="Comma 4 2 2 4 2 3" xfId="5020" xr:uid="{00000000-0005-0000-0000-00002E080000}"/>
    <cellStyle name="Comma 4 2 2 4 2 3 2" xfId="13470" xr:uid="{5D3FB7C9-4C0E-41DB-ABD6-4DEA6CFA9010}"/>
    <cellStyle name="Comma 4 2 2 4 2 4" xfId="17696" xr:uid="{582C4BCE-C01F-4057-915C-477C3001BE07}"/>
    <cellStyle name="Comma 4 2 2 4 2 5" xfId="18528" xr:uid="{000AB0B2-7851-44C0-A3D9-6045D29720E8}"/>
    <cellStyle name="Comma 4 2 2 4 2 6" xfId="19357" xr:uid="{7D062B42-5D5E-4E91-A2C2-6F4DD6E7529A}"/>
    <cellStyle name="Comma 4 2 2 4 2 7" xfId="9252" xr:uid="{913D0C65-00D8-4A6C-95FB-E14511DF9811}"/>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B47E982B-4F76-4CC5-898F-4F279EE080E5}"/>
    <cellStyle name="Comma 4 2 2 4 3 2 3" xfId="11810" xr:uid="{CB98C742-B859-44FF-A232-A68B0653F131}"/>
    <cellStyle name="Comma 4 2 2 4 3 3" xfId="5433" xr:uid="{00000000-0005-0000-0000-000032080000}"/>
    <cellStyle name="Comma 4 2 2 4 3 3 2" xfId="13883" xr:uid="{489624C8-EB39-4EBD-B9FC-EA3D0370A98B}"/>
    <cellStyle name="Comma 4 2 2 4 3 4" xfId="9665" xr:uid="{55E2FA96-53E9-4CE7-A714-6A522577BA77}"/>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F359B67A-FD6F-48EC-B126-4DCFE4973FA3}"/>
    <cellStyle name="Comma 4 2 2 4 4 2 3" xfId="12223" xr:uid="{C3B62502-546D-47E7-8DC6-4C4F37CFF024}"/>
    <cellStyle name="Comma 4 2 2 4 4 3" xfId="5846" xr:uid="{00000000-0005-0000-0000-000036080000}"/>
    <cellStyle name="Comma 4 2 2 4 4 3 2" xfId="14296" xr:uid="{1F1E05B6-0B3D-4FBF-A5F0-5BF2D7577152}"/>
    <cellStyle name="Comma 4 2 2 4 4 4" xfId="10078" xr:uid="{B5194F22-7262-4FB4-AF89-44CA7FC3D4DD}"/>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33442407-33E8-46B0-901F-A0CF6D36F4DD}"/>
    <cellStyle name="Comma 4 2 2 4 5 2 3" xfId="12636" xr:uid="{9915D803-6079-4645-9C50-FB7F71B50D35}"/>
    <cellStyle name="Comma 4 2 2 4 5 3" xfId="6259" xr:uid="{00000000-0005-0000-0000-00003A080000}"/>
    <cellStyle name="Comma 4 2 2 4 5 3 2" xfId="14709" xr:uid="{1BA8503D-3C39-487E-93E0-AF4DEEB48064}"/>
    <cellStyle name="Comma 4 2 2 4 5 4" xfId="10491" xr:uid="{E5FA78B5-C0AB-448A-BB22-18BAEE5E4D66}"/>
    <cellStyle name="Comma 4 2 2 4 6" xfId="2388" xr:uid="{00000000-0005-0000-0000-00003B080000}"/>
    <cellStyle name="Comma 4 2 2 4 6 2" xfId="6672" xr:uid="{00000000-0005-0000-0000-00003C080000}"/>
    <cellStyle name="Comma 4 2 2 4 6 2 2" xfId="15122" xr:uid="{F61CA52C-C913-46C1-B42B-BC8A52CFAE1D}"/>
    <cellStyle name="Comma 4 2 2 4 6 3" xfId="10904" xr:uid="{70B55F88-4057-4B20-9396-0DC3DB47FD66}"/>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23CC9F3D-5CF8-4162-80B0-6D9F9893FCAC}"/>
    <cellStyle name="Comma 4 2 2 4 8 3" xfId="11221" xr:uid="{6597C738-0D05-4E98-B675-F3C7EE3294BF}"/>
    <cellStyle name="Comma 4 2 2 4 9" xfId="4606" xr:uid="{00000000-0005-0000-0000-000040080000}"/>
    <cellStyle name="Comma 4 2 2 4 9 2" xfId="13056" xr:uid="{205F819B-91AE-446B-8BFB-AA83BE56059E}"/>
    <cellStyle name="Comma 4 2 2 5" xfId="135" xr:uid="{00000000-0005-0000-0000-000041080000}"/>
    <cellStyle name="Comma 4 2 2 5 10" xfId="17280" xr:uid="{24AE1D05-55B0-4CE1-B401-578D450241E7}"/>
    <cellStyle name="Comma 4 2 2 5 11" xfId="18113" xr:uid="{0C3CB8C9-E143-4D93-8009-73D06004B677}"/>
    <cellStyle name="Comma 4 2 2 5 12" xfId="18942" xr:uid="{DA608900-4755-4ECD-A3CF-0D2BC9D3DC1F}"/>
    <cellStyle name="Comma 4 2 2 5 13" xfId="8839" xr:uid="{06830569-F215-4B20-BBB3-D84ACF7C4EAE}"/>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7D6E388A-6F61-4213-8306-AA407BB291C1}"/>
    <cellStyle name="Comma 4 2 2 5 2 2 3" xfId="11398" xr:uid="{D8EA5476-3F62-4B5C-9D53-C8BF3C17B7D4}"/>
    <cellStyle name="Comma 4 2 2 5 2 3" xfId="5021" xr:uid="{00000000-0005-0000-0000-000045080000}"/>
    <cellStyle name="Comma 4 2 2 5 2 3 2" xfId="13471" xr:uid="{03D5B1EF-867B-4C39-BC74-22AD778DDAFC}"/>
    <cellStyle name="Comma 4 2 2 5 2 4" xfId="17697" xr:uid="{834D3437-70DA-4A00-9D54-A1E02899AC60}"/>
    <cellStyle name="Comma 4 2 2 5 2 5" xfId="18529" xr:uid="{328082BD-DF3A-4E3E-A3EA-07B5D980C9DD}"/>
    <cellStyle name="Comma 4 2 2 5 2 6" xfId="19358" xr:uid="{CB5291B1-912B-40B2-BBEB-D7F1763C527E}"/>
    <cellStyle name="Comma 4 2 2 5 2 7" xfId="9253" xr:uid="{613E7B87-7C07-4F8B-A85B-A07877B0926D}"/>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D43A7791-5968-44C1-877E-272BC36C44D2}"/>
    <cellStyle name="Comma 4 2 2 5 3 2 3" xfId="11811" xr:uid="{D1B9E8AB-31FA-448F-A66F-4F9AC62A852F}"/>
    <cellStyle name="Comma 4 2 2 5 3 3" xfId="5434" xr:uid="{00000000-0005-0000-0000-000049080000}"/>
    <cellStyle name="Comma 4 2 2 5 3 3 2" xfId="13884" xr:uid="{0528208C-CC59-4FC2-A1D3-F39D6CBA0B91}"/>
    <cellStyle name="Comma 4 2 2 5 3 4" xfId="9666" xr:uid="{8DC348F5-4F81-45A2-8C0F-7312355E3071}"/>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90355F66-2985-41EA-9B39-3C6130537926}"/>
    <cellStyle name="Comma 4 2 2 5 4 2 3" xfId="12224" xr:uid="{9D3104E5-5C61-4133-BDDC-94A161EEA5DC}"/>
    <cellStyle name="Comma 4 2 2 5 4 3" xfId="5847" xr:uid="{00000000-0005-0000-0000-00004D080000}"/>
    <cellStyle name="Comma 4 2 2 5 4 3 2" xfId="14297" xr:uid="{78500937-DEB2-4335-9ED2-8AB870DFDBAF}"/>
    <cellStyle name="Comma 4 2 2 5 4 4" xfId="10079" xr:uid="{BD8E0B32-04EF-40FB-8248-41E59EC7C0EF}"/>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4F780117-2566-412D-AF78-6976B85F2AB3}"/>
    <cellStyle name="Comma 4 2 2 5 5 2 3" xfId="12637" xr:uid="{33228257-E953-41F5-9D76-87AF3DB3AF7E}"/>
    <cellStyle name="Comma 4 2 2 5 5 3" xfId="6260" xr:uid="{00000000-0005-0000-0000-000051080000}"/>
    <cellStyle name="Comma 4 2 2 5 5 3 2" xfId="14710" xr:uid="{E5816537-3F3C-4AA7-8C1A-E519BF492CED}"/>
    <cellStyle name="Comma 4 2 2 5 5 4" xfId="10492" xr:uid="{4B5F321A-3CC2-42B9-8610-38D031BDEC85}"/>
    <cellStyle name="Comma 4 2 2 5 6" xfId="2389" xr:uid="{00000000-0005-0000-0000-000052080000}"/>
    <cellStyle name="Comma 4 2 2 5 6 2" xfId="6673" xr:uid="{00000000-0005-0000-0000-000053080000}"/>
    <cellStyle name="Comma 4 2 2 5 6 2 2" xfId="15123" xr:uid="{6F2734C7-C655-4A32-B85E-8CB199B63B38}"/>
    <cellStyle name="Comma 4 2 2 5 6 3" xfId="10905" xr:uid="{70F4FBE8-FA15-4624-8651-21E74B99D138}"/>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CA61F2E2-B0D8-4E76-9B13-8A581C2E973D}"/>
    <cellStyle name="Comma 4 2 2 5 8 3" xfId="11222" xr:uid="{F60F19DD-2360-47C1-9872-CEA4776A24A0}"/>
    <cellStyle name="Comma 4 2 2 5 9" xfId="4607" xr:uid="{00000000-0005-0000-0000-000057080000}"/>
    <cellStyle name="Comma 4 2 2 5 9 2" xfId="13057" xr:uid="{7E466583-EC38-421D-9120-26B93CE4C8D3}"/>
    <cellStyle name="Comma 4 2 3" xfId="136" xr:uid="{00000000-0005-0000-0000-000058080000}"/>
    <cellStyle name="Comma 4 2 3 10" xfId="2768" xr:uid="{00000000-0005-0000-0000-000059080000}"/>
    <cellStyle name="Comma 4 2 3 10 2" xfId="6991" xr:uid="{00000000-0005-0000-0000-00005A080000}"/>
    <cellStyle name="Comma 4 2 3 10 2 2" xfId="15441" xr:uid="{B8A5C9D1-E770-4460-9CF2-5E8416E7833F}"/>
    <cellStyle name="Comma 4 2 3 10 3" xfId="11223" xr:uid="{97E2547B-501F-439F-BE05-4C854B4BBE46}"/>
    <cellStyle name="Comma 4 2 3 11" xfId="4608" xr:uid="{00000000-0005-0000-0000-00005B080000}"/>
    <cellStyle name="Comma 4 2 3 11 2" xfId="13058" xr:uid="{6D44F830-4A17-4F97-985A-DE18CCF2930C}"/>
    <cellStyle name="Comma 4 2 3 12" xfId="17281" xr:uid="{B14CF5D2-30AA-4BCC-885B-7F28AF6453B5}"/>
    <cellStyle name="Comma 4 2 3 13" xfId="18114" xr:uid="{E0FC762A-AF69-4B14-9F18-3C0F52CC9768}"/>
    <cellStyle name="Comma 4 2 3 14" xfId="18943" xr:uid="{1CCEA701-00EF-4F09-AF8C-7DBFF1FF0211}"/>
    <cellStyle name="Comma 4 2 3 15" xfId="8840" xr:uid="{36158DEB-4056-43F9-AB19-362046B475ED}"/>
    <cellStyle name="Comma 4 2 3 2" xfId="137" xr:uid="{00000000-0005-0000-0000-00005C080000}"/>
    <cellStyle name="Comma 4 2 3 2 10" xfId="4609" xr:uid="{00000000-0005-0000-0000-00005D080000}"/>
    <cellStyle name="Comma 4 2 3 2 10 2" xfId="13059" xr:uid="{04624736-1D2E-4C43-A591-7DE2A82F36B0}"/>
    <cellStyle name="Comma 4 2 3 2 11" xfId="17282" xr:uid="{93E12C0E-FF91-49AB-869F-97D50F8A9617}"/>
    <cellStyle name="Comma 4 2 3 2 12" xfId="18115" xr:uid="{6E210FA1-D47B-4048-9FAF-6EC7DA7A9123}"/>
    <cellStyle name="Comma 4 2 3 2 13" xfId="18944" xr:uid="{FB4B44D6-CE80-42C5-B403-7E4D4FCAF36B}"/>
    <cellStyle name="Comma 4 2 3 2 14" xfId="8841" xr:uid="{6F9D4EF7-6ABF-4FFF-9E5D-F87CFD8E7F20}"/>
    <cellStyle name="Comma 4 2 3 2 2" xfId="138" xr:uid="{00000000-0005-0000-0000-00005E080000}"/>
    <cellStyle name="Comma 4 2 3 2 2 10" xfId="17283" xr:uid="{FCD75D94-F86F-4F69-9E24-13BFCA39499F}"/>
    <cellStyle name="Comma 4 2 3 2 2 11" xfId="18116" xr:uid="{1A06C256-0FD8-4B9E-9ECF-2F58A5B2E18C}"/>
    <cellStyle name="Comma 4 2 3 2 2 12" xfId="18945" xr:uid="{144AEA6C-16E8-4746-80A9-672B41BBFA95}"/>
    <cellStyle name="Comma 4 2 3 2 2 13" xfId="8842" xr:uid="{30AA7960-C7D6-4C87-97C0-1E5741B1FC24}"/>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C4CC23DC-119E-4F3E-B376-0B4E1EBCCFE4}"/>
    <cellStyle name="Comma 4 2 3 2 2 2 2 3" xfId="11401" xr:uid="{BDFE322B-E29E-48A6-ADEB-6A6A41D3343A}"/>
    <cellStyle name="Comma 4 2 3 2 2 2 3" xfId="5024" xr:uid="{00000000-0005-0000-0000-000062080000}"/>
    <cellStyle name="Comma 4 2 3 2 2 2 3 2" xfId="13474" xr:uid="{69336973-8A62-45AA-82F7-E45FB98FD18B}"/>
    <cellStyle name="Comma 4 2 3 2 2 2 4" xfId="17700" xr:uid="{0D28850E-CD99-415E-90B7-978773B216F5}"/>
    <cellStyle name="Comma 4 2 3 2 2 2 5" xfId="18532" xr:uid="{170D8714-C64B-42EF-B948-3C86B5889877}"/>
    <cellStyle name="Comma 4 2 3 2 2 2 6" xfId="19361" xr:uid="{70646E15-6D22-4CF9-B55C-A7D83BC6038E}"/>
    <cellStyle name="Comma 4 2 3 2 2 2 7" xfId="9256" xr:uid="{2BA50384-5413-4D9C-BB48-D2038F99A26C}"/>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87E0342D-4197-4E0A-AB64-C9943336B2F9}"/>
    <cellStyle name="Comma 4 2 3 2 2 3 2 3" xfId="11814" xr:uid="{063B01F0-5BFF-4A32-97A1-D77C38E69B29}"/>
    <cellStyle name="Comma 4 2 3 2 2 3 3" xfId="5437" xr:uid="{00000000-0005-0000-0000-000066080000}"/>
    <cellStyle name="Comma 4 2 3 2 2 3 3 2" xfId="13887" xr:uid="{DD4BB9F3-736D-43F0-858F-3C7AFE9B89E6}"/>
    <cellStyle name="Comma 4 2 3 2 2 3 4" xfId="9669" xr:uid="{10502127-BCC9-487C-9753-9E3A0C83CE47}"/>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6DF1679A-3AD4-4DE7-BFA2-6ED27D67DB19}"/>
    <cellStyle name="Comma 4 2 3 2 2 4 2 3" xfId="12227" xr:uid="{1539B0D9-891A-4556-B737-76AF4938A16B}"/>
    <cellStyle name="Comma 4 2 3 2 2 4 3" xfId="5850" xr:uid="{00000000-0005-0000-0000-00006A080000}"/>
    <cellStyle name="Comma 4 2 3 2 2 4 3 2" xfId="14300" xr:uid="{854A6894-A41D-4A05-B6D0-4C322AA11138}"/>
    <cellStyle name="Comma 4 2 3 2 2 4 4" xfId="10082" xr:uid="{C4C18876-9662-47CF-A9BC-E40BA3DBB007}"/>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5AAE608A-AF57-42E9-86C9-E60E85662BB3}"/>
    <cellStyle name="Comma 4 2 3 2 2 5 2 3" xfId="12640" xr:uid="{F65C1305-7027-47DB-A618-84E891EE9138}"/>
    <cellStyle name="Comma 4 2 3 2 2 5 3" xfId="6263" xr:uid="{00000000-0005-0000-0000-00006E080000}"/>
    <cellStyle name="Comma 4 2 3 2 2 5 3 2" xfId="14713" xr:uid="{3FB1D1C2-27E0-457F-8431-4EDCF576120A}"/>
    <cellStyle name="Comma 4 2 3 2 2 5 4" xfId="10495" xr:uid="{6C9B939A-8CD9-4307-97B3-EDBF4317D147}"/>
    <cellStyle name="Comma 4 2 3 2 2 6" xfId="2392" xr:uid="{00000000-0005-0000-0000-00006F080000}"/>
    <cellStyle name="Comma 4 2 3 2 2 6 2" xfId="6676" xr:uid="{00000000-0005-0000-0000-000070080000}"/>
    <cellStyle name="Comma 4 2 3 2 2 6 2 2" xfId="15126" xr:uid="{A608ABCB-8932-440A-BF86-8E2F50B931D9}"/>
    <cellStyle name="Comma 4 2 3 2 2 6 3" xfId="10908" xr:uid="{FD04A74C-04DE-48B1-AF4F-138072B0E610}"/>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C9791AFA-19AB-49F6-B0D3-E5ED1C382312}"/>
    <cellStyle name="Comma 4 2 3 2 2 8 3" xfId="11225" xr:uid="{801394DC-FE48-4A39-BE9F-2F92F5495443}"/>
    <cellStyle name="Comma 4 2 3 2 2 9" xfId="4610" xr:uid="{00000000-0005-0000-0000-000074080000}"/>
    <cellStyle name="Comma 4 2 3 2 2 9 2" xfId="13060" xr:uid="{FA884FB4-D57D-4050-A947-5DA86A9CC5FD}"/>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1067D910-F598-4648-975B-6DB8A8CE9DA6}"/>
    <cellStyle name="Comma 4 2 3 2 3 2 3" xfId="11400" xr:uid="{95D49300-FEFF-417E-9E51-94D97FBC6853}"/>
    <cellStyle name="Comma 4 2 3 2 3 3" xfId="5023" xr:uid="{00000000-0005-0000-0000-000078080000}"/>
    <cellStyle name="Comma 4 2 3 2 3 3 2" xfId="13473" xr:uid="{6E16C8C1-C312-4D04-81A6-D0E193C3FE27}"/>
    <cellStyle name="Comma 4 2 3 2 3 4" xfId="17699" xr:uid="{62427827-6E28-43BB-9444-D0F248F0DB49}"/>
    <cellStyle name="Comma 4 2 3 2 3 5" xfId="18531" xr:uid="{56C68B62-781F-49D8-B62E-96C19500C54E}"/>
    <cellStyle name="Comma 4 2 3 2 3 6" xfId="19360" xr:uid="{13394CE1-B8D5-46DE-A9D4-3A2773CF1EDA}"/>
    <cellStyle name="Comma 4 2 3 2 3 7" xfId="9255" xr:uid="{EC38F641-9F7C-4EA5-86C1-FC794A0F5DEE}"/>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1FC97408-0631-4134-9719-80BC3B86E537}"/>
    <cellStyle name="Comma 4 2 3 2 4 2 3" xfId="11813" xr:uid="{CC1E2042-878F-4619-832B-DDFDB814BB77}"/>
    <cellStyle name="Comma 4 2 3 2 4 3" xfId="5436" xr:uid="{00000000-0005-0000-0000-00007C080000}"/>
    <cellStyle name="Comma 4 2 3 2 4 3 2" xfId="13886" xr:uid="{4C93B0FA-AC03-41CB-8912-D257A5F351CF}"/>
    <cellStyle name="Comma 4 2 3 2 4 4" xfId="9668" xr:uid="{8C0E7AFC-895B-4C91-84E2-3B4DEC70BFD6}"/>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24B73475-5507-464D-BF51-E055CAB9480A}"/>
    <cellStyle name="Comma 4 2 3 2 5 2 3" xfId="12226" xr:uid="{8A4AFFD7-32E7-42F4-8CE7-9525512F4227}"/>
    <cellStyle name="Comma 4 2 3 2 5 3" xfId="5849" xr:uid="{00000000-0005-0000-0000-000080080000}"/>
    <cellStyle name="Comma 4 2 3 2 5 3 2" xfId="14299" xr:uid="{741FAECC-F7DD-4924-B2D5-B2740ECB2C85}"/>
    <cellStyle name="Comma 4 2 3 2 5 4" xfId="10081" xr:uid="{379BFAEF-306C-4201-9D82-5287493683D2}"/>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CE79140F-DF1D-436F-98B4-B6F7353125C0}"/>
    <cellStyle name="Comma 4 2 3 2 6 2 3" xfId="12639" xr:uid="{7F38414E-3A7D-4CC2-B91B-317DFCC83251}"/>
    <cellStyle name="Comma 4 2 3 2 6 3" xfId="6262" xr:uid="{00000000-0005-0000-0000-000084080000}"/>
    <cellStyle name="Comma 4 2 3 2 6 3 2" xfId="14712" xr:uid="{09B84BE3-F509-4367-8D04-D7D1B27DC19F}"/>
    <cellStyle name="Comma 4 2 3 2 6 4" xfId="10494" xr:uid="{1C26411E-C645-45C5-B235-27FA7EA6DAC7}"/>
    <cellStyle name="Comma 4 2 3 2 7" xfId="2391" xr:uid="{00000000-0005-0000-0000-000085080000}"/>
    <cellStyle name="Comma 4 2 3 2 7 2" xfId="6675" xr:uid="{00000000-0005-0000-0000-000086080000}"/>
    <cellStyle name="Comma 4 2 3 2 7 2 2" xfId="15125" xr:uid="{F0FB2B3F-8F5F-49E3-AC39-25993C2D7790}"/>
    <cellStyle name="Comma 4 2 3 2 7 3" xfId="10907" xr:uid="{1A0D4D3C-8401-43B3-BB50-2C31B0046C39}"/>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DF3E67D1-731D-482A-A82A-60BABC1A1B8F}"/>
    <cellStyle name="Comma 4 2 3 2 9 3" xfId="11224" xr:uid="{2568327A-C7DD-4C50-BF0C-8CA2E85FA7C0}"/>
    <cellStyle name="Comma 4 2 3 3" xfId="139" xr:uid="{00000000-0005-0000-0000-00008A080000}"/>
    <cellStyle name="Comma 4 2 3 3 10" xfId="17284" xr:uid="{0CCFC4E9-F90E-41EB-B636-5647ACC815D8}"/>
    <cellStyle name="Comma 4 2 3 3 11" xfId="18117" xr:uid="{9594A501-3963-4502-ABCA-227F86C7D8FE}"/>
    <cellStyle name="Comma 4 2 3 3 12" xfId="18946" xr:uid="{F26EF108-4AA7-495B-90BF-295E5131B936}"/>
    <cellStyle name="Comma 4 2 3 3 13" xfId="8843" xr:uid="{899BE8C9-3CD4-4312-82CC-431C11C900B7}"/>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4D6EDA3C-431F-4659-B4EC-2D00C0C0EA0A}"/>
    <cellStyle name="Comma 4 2 3 3 2 2 3" xfId="11402" xr:uid="{50380600-30FF-4026-9207-644CD5F1DB04}"/>
    <cellStyle name="Comma 4 2 3 3 2 3" xfId="5025" xr:uid="{00000000-0005-0000-0000-00008E080000}"/>
    <cellStyle name="Comma 4 2 3 3 2 3 2" xfId="13475" xr:uid="{4B4F74F5-ECA4-4B4D-BD8B-7C8BA632B829}"/>
    <cellStyle name="Comma 4 2 3 3 2 4" xfId="17701" xr:uid="{AE5733DD-080A-44AB-AE7A-0F53C045300C}"/>
    <cellStyle name="Comma 4 2 3 3 2 5" xfId="18533" xr:uid="{5F628F9D-0EAA-439D-8BBE-F678C4237F18}"/>
    <cellStyle name="Comma 4 2 3 3 2 6" xfId="19362" xr:uid="{29775DA2-9AEA-4836-B592-B475A70DF339}"/>
    <cellStyle name="Comma 4 2 3 3 2 7" xfId="9257" xr:uid="{00206CC2-43E3-4FC2-9D4D-1D977D44A459}"/>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48C78C96-8296-4F9F-A87E-F9708BD7BAB5}"/>
    <cellStyle name="Comma 4 2 3 3 3 2 3" xfId="11815" xr:uid="{1448AD8C-BCA9-4F4C-928C-43E0E37F03C1}"/>
    <cellStyle name="Comma 4 2 3 3 3 3" xfId="5438" xr:uid="{00000000-0005-0000-0000-000092080000}"/>
    <cellStyle name="Comma 4 2 3 3 3 3 2" xfId="13888" xr:uid="{603880DE-6A2E-4C72-B34B-1DFA6BCBAD0C}"/>
    <cellStyle name="Comma 4 2 3 3 3 4" xfId="9670" xr:uid="{7669548C-360D-4759-9E1C-3ABCB728C183}"/>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AA13BD78-7EF2-4DA3-9310-C9880EDA60B6}"/>
    <cellStyle name="Comma 4 2 3 3 4 2 3" xfId="12228" xr:uid="{1277699E-6178-4E70-8A67-D9BEB5820C33}"/>
    <cellStyle name="Comma 4 2 3 3 4 3" xfId="5851" xr:uid="{00000000-0005-0000-0000-000096080000}"/>
    <cellStyle name="Comma 4 2 3 3 4 3 2" xfId="14301" xr:uid="{669EE4B6-BF19-489D-88D1-5BC3CD0153D1}"/>
    <cellStyle name="Comma 4 2 3 3 4 4" xfId="10083" xr:uid="{AE390F2B-3057-4D03-BA93-1C2D176D3528}"/>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2E621A06-3D5C-4329-80FB-08E4C826D8E9}"/>
    <cellStyle name="Comma 4 2 3 3 5 2 3" xfId="12641" xr:uid="{944C7DC8-FB4A-4C42-B6A2-95A81C11EF05}"/>
    <cellStyle name="Comma 4 2 3 3 5 3" xfId="6264" xr:uid="{00000000-0005-0000-0000-00009A080000}"/>
    <cellStyle name="Comma 4 2 3 3 5 3 2" xfId="14714" xr:uid="{A6DB7C1C-6786-42D6-AE86-706156F7C7CC}"/>
    <cellStyle name="Comma 4 2 3 3 5 4" xfId="10496" xr:uid="{9B76547D-F952-4876-85F9-FAECA0BDE63B}"/>
    <cellStyle name="Comma 4 2 3 3 6" xfId="2393" xr:uid="{00000000-0005-0000-0000-00009B080000}"/>
    <cellStyle name="Comma 4 2 3 3 6 2" xfId="6677" xr:uid="{00000000-0005-0000-0000-00009C080000}"/>
    <cellStyle name="Comma 4 2 3 3 6 2 2" xfId="15127" xr:uid="{43D48D16-2542-4E12-86E8-4182EAB08353}"/>
    <cellStyle name="Comma 4 2 3 3 6 3" xfId="10909" xr:uid="{CD92ADBD-1644-4608-9CD2-DED06A072F4C}"/>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5BA8D0EB-30CD-41CB-9D5F-6B8BF03F8C83}"/>
    <cellStyle name="Comma 4 2 3 3 8 3" xfId="11226" xr:uid="{391DA164-E267-45ED-A510-ABC5165A7FAF}"/>
    <cellStyle name="Comma 4 2 3 3 9" xfId="4611" xr:uid="{00000000-0005-0000-0000-0000A0080000}"/>
    <cellStyle name="Comma 4 2 3 3 9 2" xfId="13061" xr:uid="{F6F5418A-C7F5-4F72-8648-81A5299E3AAC}"/>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2051F7FE-4B4A-40FC-AB1A-E78DC6E68741}"/>
    <cellStyle name="Comma 4 2 3 4 2 3" xfId="11399" xr:uid="{FDC1ED31-7991-4509-A7DF-657CA5F75D3E}"/>
    <cellStyle name="Comma 4 2 3 4 3" xfId="5022" xr:uid="{00000000-0005-0000-0000-0000A4080000}"/>
    <cellStyle name="Comma 4 2 3 4 3 2" xfId="13472" xr:uid="{EF1285B2-F7B9-4A22-9563-9D0CF11856E4}"/>
    <cellStyle name="Comma 4 2 3 4 4" xfId="17698" xr:uid="{D1F52B33-C6F3-43F5-8A52-8FA23C63D16B}"/>
    <cellStyle name="Comma 4 2 3 4 5" xfId="18530" xr:uid="{F2CE22F2-A73B-466C-9FB7-AC55AD3987C2}"/>
    <cellStyle name="Comma 4 2 3 4 6" xfId="19359" xr:uid="{5B55FDC2-C930-4FCE-960B-AC62A58F555B}"/>
    <cellStyle name="Comma 4 2 3 4 7" xfId="9254" xr:uid="{55E9B4F5-76DC-4549-A3C5-745B05F40425}"/>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628CB041-67C4-4D15-97D3-1D86E7FE9179}"/>
    <cellStyle name="Comma 4 2 3 5 2 3" xfId="11812" xr:uid="{6EE8C060-B62D-44F6-82E0-31888C5B4591}"/>
    <cellStyle name="Comma 4 2 3 5 3" xfId="5435" xr:uid="{00000000-0005-0000-0000-0000A8080000}"/>
    <cellStyle name="Comma 4 2 3 5 3 2" xfId="13885" xr:uid="{A0E983BB-0FE2-47B9-B0FE-E0E7144AC8B2}"/>
    <cellStyle name="Comma 4 2 3 5 4" xfId="9667" xr:uid="{1714E253-19AC-4F3E-A8DD-2847067ED88B}"/>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0850F188-1E67-48FA-A724-A0B4E99575CB}"/>
    <cellStyle name="Comma 4 2 3 6 2 3" xfId="12225" xr:uid="{8704F3CA-9314-4549-A7BC-76A0BD65A086}"/>
    <cellStyle name="Comma 4 2 3 6 3" xfId="5848" xr:uid="{00000000-0005-0000-0000-0000AC080000}"/>
    <cellStyle name="Comma 4 2 3 6 3 2" xfId="14298" xr:uid="{6D37586B-78F5-40E2-865B-18FB3FCB9212}"/>
    <cellStyle name="Comma 4 2 3 6 4" xfId="10080" xr:uid="{1777A24C-A606-425A-8C3B-1D98968FBE07}"/>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E1E1EBB4-AD4B-4B2F-B212-93EA910BE34D}"/>
    <cellStyle name="Comma 4 2 3 7 2 3" xfId="12638" xr:uid="{8AEF3875-722F-4D70-AE60-75C7594F8137}"/>
    <cellStyle name="Comma 4 2 3 7 3" xfId="6261" xr:uid="{00000000-0005-0000-0000-0000B0080000}"/>
    <cellStyle name="Comma 4 2 3 7 3 2" xfId="14711" xr:uid="{5B353386-F1D0-4FE2-A6CC-A96CB4632CE6}"/>
    <cellStyle name="Comma 4 2 3 7 4" xfId="10493" xr:uid="{77B4D1D9-75A7-439B-81D1-DE516111DE6C}"/>
    <cellStyle name="Comma 4 2 3 8" xfId="2390" xr:uid="{00000000-0005-0000-0000-0000B1080000}"/>
    <cellStyle name="Comma 4 2 3 8 2" xfId="6674" xr:uid="{00000000-0005-0000-0000-0000B2080000}"/>
    <cellStyle name="Comma 4 2 3 8 2 2" xfId="15124" xr:uid="{C2AD8008-F1DF-4720-A68D-E6483C059F4B}"/>
    <cellStyle name="Comma 4 2 3 8 3" xfId="10906" xr:uid="{D053B758-DE56-4CBD-A8E6-D2CCADDEA560}"/>
    <cellStyle name="Comma 4 2 3 9" xfId="2373" xr:uid="{00000000-0005-0000-0000-0000B3080000}"/>
    <cellStyle name="Comma 4 2 4" xfId="140" xr:uid="{00000000-0005-0000-0000-0000B4080000}"/>
    <cellStyle name="Comma 4 2 4 10" xfId="4612" xr:uid="{00000000-0005-0000-0000-0000B5080000}"/>
    <cellStyle name="Comma 4 2 4 10 2" xfId="13062" xr:uid="{8CDEFB91-1792-4710-A6A5-E390325903E8}"/>
    <cellStyle name="Comma 4 2 4 11" xfId="17285" xr:uid="{6E864E4C-7985-4260-A084-01D8419FAD27}"/>
    <cellStyle name="Comma 4 2 4 12" xfId="18118" xr:uid="{1A30805B-A94B-45F0-8A0C-9A863A640E44}"/>
    <cellStyle name="Comma 4 2 4 13" xfId="18947" xr:uid="{F156D386-A58A-4308-A6A9-AFF11D22578F}"/>
    <cellStyle name="Comma 4 2 4 14" xfId="8844" xr:uid="{75F494ED-C8CC-4606-A130-2CA95C0E3D5E}"/>
    <cellStyle name="Comma 4 2 4 2" xfId="141" xr:uid="{00000000-0005-0000-0000-0000B6080000}"/>
    <cellStyle name="Comma 4 2 4 2 10" xfId="17286" xr:uid="{ADE0BDC7-CC03-4460-AF8C-E85F702F2004}"/>
    <cellStyle name="Comma 4 2 4 2 11" xfId="18119" xr:uid="{EE880F52-87D2-4BDC-B26D-CA1311475937}"/>
    <cellStyle name="Comma 4 2 4 2 12" xfId="18948" xr:uid="{3E60DF85-6E5C-4512-8D66-99CD008623F4}"/>
    <cellStyle name="Comma 4 2 4 2 13" xfId="8845" xr:uid="{EFC30EDF-3538-4477-AE04-3E71892E6E32}"/>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20E96C41-7AE0-4CA2-8979-2BACD629A69F}"/>
    <cellStyle name="Comma 4 2 4 2 2 2 3" xfId="11404" xr:uid="{C8B48928-3CBB-434D-9200-0D97E2117FA1}"/>
    <cellStyle name="Comma 4 2 4 2 2 3" xfId="5027" xr:uid="{00000000-0005-0000-0000-0000BA080000}"/>
    <cellStyle name="Comma 4 2 4 2 2 3 2" xfId="13477" xr:uid="{CCB321FC-27DC-4FFF-8C8C-38F247DE9E9E}"/>
    <cellStyle name="Comma 4 2 4 2 2 4" xfId="17703" xr:uid="{1415EE8F-BBC3-4C94-A082-440421B77A7D}"/>
    <cellStyle name="Comma 4 2 4 2 2 5" xfId="18535" xr:uid="{D4F355AB-614C-4C11-96B3-1730DA7A9F8E}"/>
    <cellStyle name="Comma 4 2 4 2 2 6" xfId="19364" xr:uid="{8A68DF46-8594-4B1C-B543-32DFCDC466F0}"/>
    <cellStyle name="Comma 4 2 4 2 2 7" xfId="9259" xr:uid="{25778759-3C00-4B8F-8B7A-BFCFE2BDCFAE}"/>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F1A8200B-D5B0-4516-AD63-0B252D2294C2}"/>
    <cellStyle name="Comma 4 2 4 2 3 2 3" xfId="11817" xr:uid="{E18C22E2-7804-4A81-ADDE-FFC9C616305D}"/>
    <cellStyle name="Comma 4 2 4 2 3 3" xfId="5440" xr:uid="{00000000-0005-0000-0000-0000BE080000}"/>
    <cellStyle name="Comma 4 2 4 2 3 3 2" xfId="13890" xr:uid="{EDBEAE43-BAC7-4285-BC21-37CE60B42018}"/>
    <cellStyle name="Comma 4 2 4 2 3 4" xfId="9672" xr:uid="{F2E67AD7-0458-44F2-9786-A48ADB09E2D1}"/>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503F1881-5AFD-4336-87AF-1C0A18CF74E4}"/>
    <cellStyle name="Comma 4 2 4 2 4 2 3" xfId="12230" xr:uid="{6A2A5286-BD05-400A-8A96-F34A4E69D1D0}"/>
    <cellStyle name="Comma 4 2 4 2 4 3" xfId="5853" xr:uid="{00000000-0005-0000-0000-0000C2080000}"/>
    <cellStyle name="Comma 4 2 4 2 4 3 2" xfId="14303" xr:uid="{6D2353E1-2C66-491A-9E31-337FCA0B5460}"/>
    <cellStyle name="Comma 4 2 4 2 4 4" xfId="10085" xr:uid="{FD980F6A-0E82-4E51-9680-FCF3199E6CCC}"/>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CE0585F7-3B8C-4782-9D9C-E9E4C294A11C}"/>
    <cellStyle name="Comma 4 2 4 2 5 2 3" xfId="12643" xr:uid="{626BF45A-56F6-49F9-BB7C-6EF1B794F59C}"/>
    <cellStyle name="Comma 4 2 4 2 5 3" xfId="6266" xr:uid="{00000000-0005-0000-0000-0000C6080000}"/>
    <cellStyle name="Comma 4 2 4 2 5 3 2" xfId="14716" xr:uid="{BFD942FF-D3C9-44DA-822F-DCBA0A8C7A8C}"/>
    <cellStyle name="Comma 4 2 4 2 5 4" xfId="10498" xr:uid="{30E7D9B2-9E76-40ED-90C1-422476484FF5}"/>
    <cellStyle name="Comma 4 2 4 2 6" xfId="2395" xr:uid="{00000000-0005-0000-0000-0000C7080000}"/>
    <cellStyle name="Comma 4 2 4 2 6 2" xfId="6679" xr:uid="{00000000-0005-0000-0000-0000C8080000}"/>
    <cellStyle name="Comma 4 2 4 2 6 2 2" xfId="15129" xr:uid="{4B9062D8-AB50-4D03-9906-C7DF8791AE49}"/>
    <cellStyle name="Comma 4 2 4 2 6 3" xfId="10911" xr:uid="{4D2E6A96-7007-406D-805F-12ED06EC911F}"/>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E15F5F5B-EEEB-4C8F-B60B-451AE69A1ECE}"/>
    <cellStyle name="Comma 4 2 4 2 8 3" xfId="11228" xr:uid="{FAB63C4F-A19F-4DEC-A0DE-20B3B9336CC0}"/>
    <cellStyle name="Comma 4 2 4 2 9" xfId="4613" xr:uid="{00000000-0005-0000-0000-0000CC080000}"/>
    <cellStyle name="Comma 4 2 4 2 9 2" xfId="13063" xr:uid="{B0B9FA1A-7758-41A8-8289-8E7C3B485F8F}"/>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0C957818-46DE-4250-AF04-8926853B50FC}"/>
    <cellStyle name="Comma 4 2 4 3 2 3" xfId="11403" xr:uid="{78FE79B4-9282-4AAE-8A4A-8FD307A728B4}"/>
    <cellStyle name="Comma 4 2 4 3 3" xfId="5026" xr:uid="{00000000-0005-0000-0000-0000D0080000}"/>
    <cellStyle name="Comma 4 2 4 3 3 2" xfId="13476" xr:uid="{2EC35A3D-1FF2-44F1-B241-426C0244ECBE}"/>
    <cellStyle name="Comma 4 2 4 3 4" xfId="17702" xr:uid="{2BF2ABF0-5B86-472A-8875-2727E7E47F8C}"/>
    <cellStyle name="Comma 4 2 4 3 5" xfId="18534" xr:uid="{BD138D91-BDD7-4FF9-B368-2DB848AEAED8}"/>
    <cellStyle name="Comma 4 2 4 3 6" xfId="19363" xr:uid="{E7125533-078B-456A-A321-3FB080BFCCC7}"/>
    <cellStyle name="Comma 4 2 4 3 7" xfId="9258" xr:uid="{D4A798EA-7AE2-412D-A1DB-744E6454100C}"/>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56567D18-F79C-437F-80A1-C7B918D573DC}"/>
    <cellStyle name="Comma 4 2 4 4 2 3" xfId="11816" xr:uid="{31AE6043-B991-4289-AFDC-D02DC7595B4B}"/>
    <cellStyle name="Comma 4 2 4 4 3" xfId="5439" xr:uid="{00000000-0005-0000-0000-0000D4080000}"/>
    <cellStyle name="Comma 4 2 4 4 3 2" xfId="13889" xr:uid="{0635BA9A-CB19-48D6-9F63-D77C2E076372}"/>
    <cellStyle name="Comma 4 2 4 4 4" xfId="9671" xr:uid="{24CE11D3-807B-43BC-A823-32704164426C}"/>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763E3EE1-0E8E-40C8-8C3F-0D332AA9F603}"/>
    <cellStyle name="Comma 4 2 4 5 2 3" xfId="12229" xr:uid="{0DAED817-7130-4609-85CD-27C06D962614}"/>
    <cellStyle name="Comma 4 2 4 5 3" xfId="5852" xr:uid="{00000000-0005-0000-0000-0000D8080000}"/>
    <cellStyle name="Comma 4 2 4 5 3 2" xfId="14302" xr:uid="{89B42A13-2D42-4592-8392-6721BC82C3B5}"/>
    <cellStyle name="Comma 4 2 4 5 4" xfId="10084" xr:uid="{D9E9344D-14B9-4313-A3F6-A339386E32CC}"/>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533F6ADD-8234-44B5-BA68-2398A48EE7F0}"/>
    <cellStyle name="Comma 4 2 4 6 2 3" xfId="12642" xr:uid="{3A01D9E7-069D-4FB9-A12F-376A38D70DC8}"/>
    <cellStyle name="Comma 4 2 4 6 3" xfId="6265" xr:uid="{00000000-0005-0000-0000-0000DC080000}"/>
    <cellStyle name="Comma 4 2 4 6 3 2" xfId="14715" xr:uid="{4C665E8A-D979-4471-AA63-15582DCB50D1}"/>
    <cellStyle name="Comma 4 2 4 6 4" xfId="10497" xr:uid="{D533C9AF-96BA-4CF4-AF1F-4C637B9F3023}"/>
    <cellStyle name="Comma 4 2 4 7" xfId="2394" xr:uid="{00000000-0005-0000-0000-0000DD080000}"/>
    <cellStyle name="Comma 4 2 4 7 2" xfId="6678" xr:uid="{00000000-0005-0000-0000-0000DE080000}"/>
    <cellStyle name="Comma 4 2 4 7 2 2" xfId="15128" xr:uid="{DE841F37-EACD-4E0E-9959-8283BD6D7A5D}"/>
    <cellStyle name="Comma 4 2 4 7 3" xfId="10910" xr:uid="{B7EFCA76-F8DB-4247-A8C7-E516BE55C8F6}"/>
    <cellStyle name="Comma 4 2 4 8" xfId="2369" xr:uid="{00000000-0005-0000-0000-0000DF080000}"/>
    <cellStyle name="Comma 4 2 4 9" xfId="2772" xr:uid="{00000000-0005-0000-0000-0000E0080000}"/>
    <cellStyle name="Comma 4 2 4 9 2" xfId="6995" xr:uid="{00000000-0005-0000-0000-0000E1080000}"/>
    <cellStyle name="Comma 4 2 4 9 2 2" xfId="15445" xr:uid="{D3AC2F1A-A9E5-498C-B844-CFEDFD79FDD5}"/>
    <cellStyle name="Comma 4 2 4 9 3" xfId="11227" xr:uid="{437FAA87-2A34-4154-8F86-69A04A36C693}"/>
    <cellStyle name="Comma 4 2 5" xfId="142" xr:uid="{00000000-0005-0000-0000-0000E2080000}"/>
    <cellStyle name="Comma 4 2 5 10" xfId="17287" xr:uid="{ECB333FD-BC30-4722-8D2F-EDF18AC66946}"/>
    <cellStyle name="Comma 4 2 5 11" xfId="18120" xr:uid="{16AA05D4-22D5-4C26-8879-4CFECAAEC3CF}"/>
    <cellStyle name="Comma 4 2 5 12" xfId="18949" xr:uid="{F90A4674-E1B2-47B6-A553-7C8966EF7A02}"/>
    <cellStyle name="Comma 4 2 5 13" xfId="8846" xr:uid="{889F1788-36BE-49AF-B6F3-675505411190}"/>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95FF2811-37B0-43F5-9C3D-AA507F3C0C1C}"/>
    <cellStyle name="Comma 4 2 5 2 2 3" xfId="11405" xr:uid="{3DDCD3BB-C485-44DB-8C5F-BE991A9EB8A7}"/>
    <cellStyle name="Comma 4 2 5 2 3" xfId="5028" xr:uid="{00000000-0005-0000-0000-0000E6080000}"/>
    <cellStyle name="Comma 4 2 5 2 3 2" xfId="13478" xr:uid="{A51D3910-9F7B-4402-8554-1591B574CDD9}"/>
    <cellStyle name="Comma 4 2 5 2 4" xfId="17704" xr:uid="{46AE6D18-4F07-4386-AD9B-8BB75D037C28}"/>
    <cellStyle name="Comma 4 2 5 2 5" xfId="18536" xr:uid="{1BDB66F0-5D20-44F6-A020-278595083DC9}"/>
    <cellStyle name="Comma 4 2 5 2 6" xfId="19365" xr:uid="{2540F3E6-E1B1-4C91-A4D4-1E9D7D39E567}"/>
    <cellStyle name="Comma 4 2 5 2 7" xfId="9260" xr:uid="{77992FB6-98E3-4D06-B18F-B7179C9D3C1B}"/>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9B9CC29F-A973-456C-8A89-0AE69097F47D}"/>
    <cellStyle name="Comma 4 2 5 3 2 3" xfId="11818" xr:uid="{73664E8C-56E4-4E69-B3E7-E39D4AA9E1D9}"/>
    <cellStyle name="Comma 4 2 5 3 3" xfId="5441" xr:uid="{00000000-0005-0000-0000-0000EA080000}"/>
    <cellStyle name="Comma 4 2 5 3 3 2" xfId="13891" xr:uid="{CB1BF184-CC5A-4E00-9F9B-441F3C544450}"/>
    <cellStyle name="Comma 4 2 5 3 4" xfId="9673" xr:uid="{F5A1D58B-FEBA-46E1-AEE2-2D9E08318527}"/>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06D24A9B-4D85-44AF-B540-61D28BBCD60F}"/>
    <cellStyle name="Comma 4 2 5 4 2 3" xfId="12231" xr:uid="{1F4C04FC-D037-4191-BC65-F98C5CBF6ABD}"/>
    <cellStyle name="Comma 4 2 5 4 3" xfId="5854" xr:uid="{00000000-0005-0000-0000-0000EE080000}"/>
    <cellStyle name="Comma 4 2 5 4 3 2" xfId="14304" xr:uid="{50A861FC-9A28-4071-8617-E743ECA4EF46}"/>
    <cellStyle name="Comma 4 2 5 4 4" xfId="10086" xr:uid="{2BCF50CE-6DD0-4101-AA8A-36A4AB3AAA76}"/>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27918D79-2AEA-4968-BEEA-D0D9BBCCED6E}"/>
    <cellStyle name="Comma 4 2 5 5 2 3" xfId="12644" xr:uid="{3D51EDA1-4FC1-42DF-85F9-5E10E6F4A6F8}"/>
    <cellStyle name="Comma 4 2 5 5 3" xfId="6267" xr:uid="{00000000-0005-0000-0000-0000F2080000}"/>
    <cellStyle name="Comma 4 2 5 5 3 2" xfId="14717" xr:uid="{82196D49-48E4-4C23-B42B-F0524AE335EA}"/>
    <cellStyle name="Comma 4 2 5 5 4" xfId="10499" xr:uid="{06029EC3-3B2F-4766-B94D-376764DF523B}"/>
    <cellStyle name="Comma 4 2 5 6" xfId="2396" xr:uid="{00000000-0005-0000-0000-0000F3080000}"/>
    <cellStyle name="Comma 4 2 5 6 2" xfId="6680" xr:uid="{00000000-0005-0000-0000-0000F4080000}"/>
    <cellStyle name="Comma 4 2 5 6 2 2" xfId="15130" xr:uid="{4753AF96-BBB7-484C-8588-43A2C81F50A8}"/>
    <cellStyle name="Comma 4 2 5 6 3" xfId="10912" xr:uid="{B36BBF97-7F34-4E34-A62D-E50DF543EE09}"/>
    <cellStyle name="Comma 4 2 5 7" xfId="2367" xr:uid="{00000000-0005-0000-0000-0000F5080000}"/>
    <cellStyle name="Comma 4 2 5 8" xfId="2774" xr:uid="{00000000-0005-0000-0000-0000F6080000}"/>
    <cellStyle name="Comma 4 2 5 8 2" xfId="6997" xr:uid="{00000000-0005-0000-0000-0000F7080000}"/>
    <cellStyle name="Comma 4 2 5 8 2 2" xfId="15447" xr:uid="{E78A4234-4B02-4E7A-AEFF-9C6553FEE9C2}"/>
    <cellStyle name="Comma 4 2 5 8 3" xfId="11229" xr:uid="{E9C86F52-D2B0-4C87-873A-5B69561C35E6}"/>
    <cellStyle name="Comma 4 2 5 9" xfId="4614" xr:uid="{00000000-0005-0000-0000-0000F8080000}"/>
    <cellStyle name="Comma 4 2 5 9 2" xfId="13064" xr:uid="{CE1F2204-EEA8-499C-AFB4-746D95307C51}"/>
    <cellStyle name="Comma 4 2 6" xfId="143" xr:uid="{00000000-0005-0000-0000-0000F9080000}"/>
    <cellStyle name="Comma 4 2 6 10" xfId="17288" xr:uid="{7288AD24-8EC0-4482-9B6E-6C0F228381FF}"/>
    <cellStyle name="Comma 4 2 6 11" xfId="18121" xr:uid="{7C90F534-CC70-46B3-8798-485E9323608D}"/>
    <cellStyle name="Comma 4 2 6 12" xfId="18950" xr:uid="{5908389F-DDA5-49B6-A38B-9FB4919FF930}"/>
    <cellStyle name="Comma 4 2 6 13" xfId="8847" xr:uid="{7D07EE68-46DA-4748-9002-03B2875D7A51}"/>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F659E6C3-4F73-4323-9D37-84528BC78053}"/>
    <cellStyle name="Comma 4 2 6 2 2 3" xfId="11406" xr:uid="{3DC550B5-BEF8-47EF-B30D-E63BC7B3881E}"/>
    <cellStyle name="Comma 4 2 6 2 3" xfId="5029" xr:uid="{00000000-0005-0000-0000-0000FD080000}"/>
    <cellStyle name="Comma 4 2 6 2 3 2" xfId="13479" xr:uid="{4208611E-01C5-45EC-83BE-C84911205635}"/>
    <cellStyle name="Comma 4 2 6 2 4" xfId="17705" xr:uid="{CCBD9CC0-633C-430A-85AF-2757EE381019}"/>
    <cellStyle name="Comma 4 2 6 2 5" xfId="18537" xr:uid="{5C0BF721-AA27-4509-95CA-AE740A07E4A8}"/>
    <cellStyle name="Comma 4 2 6 2 6" xfId="19366" xr:uid="{12AE9F4F-9788-43AF-8489-9B750312FDD3}"/>
    <cellStyle name="Comma 4 2 6 2 7" xfId="9261" xr:uid="{6BEDEDD1-CAF6-4C56-B802-C85FA3D03DC6}"/>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9FCD9476-4FB8-4B78-B8EB-64EC218E7A74}"/>
    <cellStyle name="Comma 4 2 6 3 2 3" xfId="11819" xr:uid="{5BEFBC23-FA67-41E2-A7DC-B551CAF73906}"/>
    <cellStyle name="Comma 4 2 6 3 3" xfId="5442" xr:uid="{00000000-0005-0000-0000-000001090000}"/>
    <cellStyle name="Comma 4 2 6 3 3 2" xfId="13892" xr:uid="{BB6B8392-0090-48CA-A21E-0659CA82FABF}"/>
    <cellStyle name="Comma 4 2 6 3 4" xfId="9674" xr:uid="{2593E839-D484-4635-90AB-6A3995529E77}"/>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17F5D43B-A191-4303-B035-898CF76E8773}"/>
    <cellStyle name="Comma 4 2 6 4 2 3" xfId="12232" xr:uid="{DC3FEDE3-EDE4-4F6C-ABE2-A195B07C1ED5}"/>
    <cellStyle name="Comma 4 2 6 4 3" xfId="5855" xr:uid="{00000000-0005-0000-0000-000005090000}"/>
    <cellStyle name="Comma 4 2 6 4 3 2" xfId="14305" xr:uid="{231C73F1-7EE4-4DD0-BD31-3C58F7D2DB85}"/>
    <cellStyle name="Comma 4 2 6 4 4" xfId="10087" xr:uid="{A41398AF-7AFD-459B-BDC6-D8B52716D8B1}"/>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FA0CF357-6A31-4F1D-8E30-951F2685B584}"/>
    <cellStyle name="Comma 4 2 6 5 2 3" xfId="12645" xr:uid="{E562ED74-4EBD-4497-8791-8C8CC8A2173B}"/>
    <cellStyle name="Comma 4 2 6 5 3" xfId="6268" xr:uid="{00000000-0005-0000-0000-000009090000}"/>
    <cellStyle name="Comma 4 2 6 5 3 2" xfId="14718" xr:uid="{B015C7C2-FD90-435F-A5BE-C491AEDDDCE0}"/>
    <cellStyle name="Comma 4 2 6 5 4" xfId="10500" xr:uid="{1F3B16C1-8BA0-4169-8353-374BC7797FD0}"/>
    <cellStyle name="Comma 4 2 6 6" xfId="2397" xr:uid="{00000000-0005-0000-0000-00000A090000}"/>
    <cellStyle name="Comma 4 2 6 6 2" xfId="6681" xr:uid="{00000000-0005-0000-0000-00000B090000}"/>
    <cellStyle name="Comma 4 2 6 6 2 2" xfId="15131" xr:uid="{7AACBAB1-6C87-4789-9C1A-92E89BAD5DEC}"/>
    <cellStyle name="Comma 4 2 6 6 3" xfId="10913" xr:uid="{04F9CF5A-9673-4647-B5A6-14843B394917}"/>
    <cellStyle name="Comma 4 2 6 7" xfId="2366" xr:uid="{00000000-0005-0000-0000-00000C090000}"/>
    <cellStyle name="Comma 4 2 6 8" xfId="2775" xr:uid="{00000000-0005-0000-0000-00000D090000}"/>
    <cellStyle name="Comma 4 2 6 8 2" xfId="6998" xr:uid="{00000000-0005-0000-0000-00000E090000}"/>
    <cellStyle name="Comma 4 2 6 8 2 2" xfId="15448" xr:uid="{41CEBD4E-B9A5-482B-A1A4-7A9E001E0955}"/>
    <cellStyle name="Comma 4 2 6 8 3" xfId="11230" xr:uid="{73B1D25E-E7DC-4E16-8EF2-900013B30BF8}"/>
    <cellStyle name="Comma 4 2 6 9" xfId="4615" xr:uid="{00000000-0005-0000-0000-00000F090000}"/>
    <cellStyle name="Comma 4 2 6 9 2" xfId="13065" xr:uid="{21A52869-7190-4D96-8DB3-8E2CC868C804}"/>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4760F419-2FBA-4E52-83E2-FE1BC3569611}"/>
    <cellStyle name="Comma 4 3 2 10 3" xfId="11231" xr:uid="{58BC5288-ABC9-4166-BAB4-E590158A9025}"/>
    <cellStyle name="Comma 4 3 2 11" xfId="4616" xr:uid="{00000000-0005-0000-0000-000014090000}"/>
    <cellStyle name="Comma 4 3 2 11 2" xfId="13066" xr:uid="{849CE8E5-688C-4B2F-8470-EF8C3798FAC9}"/>
    <cellStyle name="Comma 4 3 2 12" xfId="17289" xr:uid="{5E9866FD-3225-4C6A-A56A-A805BE03D640}"/>
    <cellStyle name="Comma 4 3 2 13" xfId="18122" xr:uid="{8BE79DEB-8059-4626-8549-7D4B9B81ACB9}"/>
    <cellStyle name="Comma 4 3 2 14" xfId="18951" xr:uid="{80790A17-E821-4B25-9414-BC5C3C2A39F4}"/>
    <cellStyle name="Comma 4 3 2 15" xfId="8848" xr:uid="{CAE64616-99E2-41CD-821B-7BC6BDED83B2}"/>
    <cellStyle name="Comma 4 3 2 2" xfId="146" xr:uid="{00000000-0005-0000-0000-000015090000}"/>
    <cellStyle name="Comma 4 3 2 2 10" xfId="4617" xr:uid="{00000000-0005-0000-0000-000016090000}"/>
    <cellStyle name="Comma 4 3 2 2 10 2" xfId="13067" xr:uid="{C6ECA356-54D0-4914-B020-631CD46EF142}"/>
    <cellStyle name="Comma 4 3 2 2 11" xfId="17290" xr:uid="{1F2446BA-7CCD-4AF9-A385-2B7AF2F14F39}"/>
    <cellStyle name="Comma 4 3 2 2 12" xfId="18123" xr:uid="{D8DB6649-240C-4DF0-B759-202B2641F968}"/>
    <cellStyle name="Comma 4 3 2 2 13" xfId="18952" xr:uid="{715FFD98-9B8D-4983-A791-0F967054F349}"/>
    <cellStyle name="Comma 4 3 2 2 14" xfId="8849" xr:uid="{EDB39902-A1E8-4B15-A385-652269C6A7BE}"/>
    <cellStyle name="Comma 4 3 2 2 2" xfId="147" xr:uid="{00000000-0005-0000-0000-000017090000}"/>
    <cellStyle name="Comma 4 3 2 2 2 10" xfId="17291" xr:uid="{2680AD07-F7F1-4E42-88F0-0EEBE76648FF}"/>
    <cellStyle name="Comma 4 3 2 2 2 11" xfId="18124" xr:uid="{9612DB97-2758-4AF8-97AE-3E5E1EC403D1}"/>
    <cellStyle name="Comma 4 3 2 2 2 12" xfId="18953" xr:uid="{977A7523-6237-47F4-B642-FCF457FF0D72}"/>
    <cellStyle name="Comma 4 3 2 2 2 13" xfId="8850" xr:uid="{979D284D-9C8B-4240-9A09-07AA7B02DD89}"/>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0D17E209-5B9A-4510-9D60-AD3CCFC0668E}"/>
    <cellStyle name="Comma 4 3 2 2 2 2 2 3" xfId="11409" xr:uid="{0D5F13F1-FADF-4D53-B8EB-8C3CBC9D31B1}"/>
    <cellStyle name="Comma 4 3 2 2 2 2 3" xfId="5032" xr:uid="{00000000-0005-0000-0000-00001B090000}"/>
    <cellStyle name="Comma 4 3 2 2 2 2 3 2" xfId="13482" xr:uid="{C503B729-CBD8-4AAC-A747-AF1DD57E2302}"/>
    <cellStyle name="Comma 4 3 2 2 2 2 4" xfId="17708" xr:uid="{633AD9AC-7EE5-4493-8D63-7E6D5AAFE2B8}"/>
    <cellStyle name="Comma 4 3 2 2 2 2 5" xfId="18540" xr:uid="{2B3D0AA3-EF01-4AAE-B5C2-56510F27D09C}"/>
    <cellStyle name="Comma 4 3 2 2 2 2 6" xfId="19369" xr:uid="{F882650B-D7FB-4B19-B369-7E1B79872D90}"/>
    <cellStyle name="Comma 4 3 2 2 2 2 7" xfId="9264" xr:uid="{2CD7DCC4-3B2F-4302-976B-ED9248E5D7BF}"/>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1D74AC85-7303-4F25-AC7A-460B4318173B}"/>
    <cellStyle name="Comma 4 3 2 2 2 3 2 3" xfId="11822" xr:uid="{1D69F49D-DB6C-4A45-8B2C-9725C8CDF842}"/>
    <cellStyle name="Comma 4 3 2 2 2 3 3" xfId="5445" xr:uid="{00000000-0005-0000-0000-00001F090000}"/>
    <cellStyle name="Comma 4 3 2 2 2 3 3 2" xfId="13895" xr:uid="{547CA51F-2683-4859-849B-D43CD9DC1B8F}"/>
    <cellStyle name="Comma 4 3 2 2 2 3 4" xfId="9677" xr:uid="{351D558A-87F0-44C2-8C0D-3D1414F2546D}"/>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13915A94-EF13-4EB3-8F5F-7594FE7C2AA9}"/>
    <cellStyle name="Comma 4 3 2 2 2 4 2 3" xfId="12235" xr:uid="{28C7E10A-FF7E-433C-AB08-436E0DF583B6}"/>
    <cellStyle name="Comma 4 3 2 2 2 4 3" xfId="5858" xr:uid="{00000000-0005-0000-0000-000023090000}"/>
    <cellStyle name="Comma 4 3 2 2 2 4 3 2" xfId="14308" xr:uid="{114DF9E3-D677-479E-A6A9-D27FDFB14A46}"/>
    <cellStyle name="Comma 4 3 2 2 2 4 4" xfId="10090" xr:uid="{42DD0ED3-4A96-42C3-B584-32AE3BE518AC}"/>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8A5742F0-4580-4BAC-A8B5-558BE4C2ACC7}"/>
    <cellStyle name="Comma 4 3 2 2 2 5 2 3" xfId="12648" xr:uid="{4D27AEC2-2443-43F2-B24B-8684E8EDFD4D}"/>
    <cellStyle name="Comma 4 3 2 2 2 5 3" xfId="6271" xr:uid="{00000000-0005-0000-0000-000027090000}"/>
    <cellStyle name="Comma 4 3 2 2 2 5 3 2" xfId="14721" xr:uid="{1873DC36-0656-47B9-B1ED-FD2BAB1F43FB}"/>
    <cellStyle name="Comma 4 3 2 2 2 5 4" xfId="10503" xr:uid="{D50924D2-2CC6-4994-B155-E688368FAE8D}"/>
    <cellStyle name="Comma 4 3 2 2 2 6" xfId="2400" xr:uid="{00000000-0005-0000-0000-000028090000}"/>
    <cellStyle name="Comma 4 3 2 2 2 6 2" xfId="6684" xr:uid="{00000000-0005-0000-0000-000029090000}"/>
    <cellStyle name="Comma 4 3 2 2 2 6 2 2" xfId="15134" xr:uid="{4CDC1F9E-2ADF-4AF5-97D3-975B772E4195}"/>
    <cellStyle name="Comma 4 3 2 2 2 6 3" xfId="10916" xr:uid="{1C694749-EA10-4AF8-9DB4-31AF5B537150}"/>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89B20C94-A0F5-420D-B268-914975EC8592}"/>
    <cellStyle name="Comma 4 3 2 2 2 8 3" xfId="11233" xr:uid="{C714114F-596E-4B91-B168-1E524B9F1168}"/>
    <cellStyle name="Comma 4 3 2 2 2 9" xfId="4618" xr:uid="{00000000-0005-0000-0000-00002D090000}"/>
    <cellStyle name="Comma 4 3 2 2 2 9 2" xfId="13068" xr:uid="{97DDB870-4F58-4F2E-836D-7FE40D4F9179}"/>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C76FB8CB-8793-4275-A8B6-A45FDEB07651}"/>
    <cellStyle name="Comma 4 3 2 2 3 2 3" xfId="11408" xr:uid="{D756F686-410E-4187-B6E0-C4024CD93276}"/>
    <cellStyle name="Comma 4 3 2 2 3 3" xfId="5031" xr:uid="{00000000-0005-0000-0000-000031090000}"/>
    <cellStyle name="Comma 4 3 2 2 3 3 2" xfId="13481" xr:uid="{FCBD2E11-DDB7-470F-96E9-3770DA3F88D4}"/>
    <cellStyle name="Comma 4 3 2 2 3 4" xfId="17707" xr:uid="{57FA132C-7CCC-4713-A47D-8780DBA91154}"/>
    <cellStyle name="Comma 4 3 2 2 3 5" xfId="18539" xr:uid="{3161E1FB-F275-491D-BABC-0581641B8F58}"/>
    <cellStyle name="Comma 4 3 2 2 3 6" xfId="19368" xr:uid="{D215B5A1-DB34-4BBC-ABD3-EC396FDE0AB2}"/>
    <cellStyle name="Comma 4 3 2 2 3 7" xfId="9263" xr:uid="{29C36B55-241B-47C3-BDE5-193D10C778DE}"/>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EF06C381-58C1-4ABE-9F56-AE32FBE333CF}"/>
    <cellStyle name="Comma 4 3 2 2 4 2 3" xfId="11821" xr:uid="{8A3E7929-2CFE-408E-9264-F397CF45A9FD}"/>
    <cellStyle name="Comma 4 3 2 2 4 3" xfId="5444" xr:uid="{00000000-0005-0000-0000-000035090000}"/>
    <cellStyle name="Comma 4 3 2 2 4 3 2" xfId="13894" xr:uid="{24753AE9-A777-4676-9DDC-15DE86C9C7CD}"/>
    <cellStyle name="Comma 4 3 2 2 4 4" xfId="9676" xr:uid="{A83AF027-DF78-4811-8E9F-AD39E3100A3E}"/>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806FA5EC-1023-490B-886C-7F8A1155B1F3}"/>
    <cellStyle name="Comma 4 3 2 2 5 2 3" xfId="12234" xr:uid="{7919AF63-77C2-46E6-A605-D49526C59669}"/>
    <cellStyle name="Comma 4 3 2 2 5 3" xfId="5857" xr:uid="{00000000-0005-0000-0000-000039090000}"/>
    <cellStyle name="Comma 4 3 2 2 5 3 2" xfId="14307" xr:uid="{2D7CECBA-8ED4-425F-B6F0-DD19B4322602}"/>
    <cellStyle name="Comma 4 3 2 2 5 4" xfId="10089" xr:uid="{1E587CBA-B8D0-496D-94D1-2B91AAFE078B}"/>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01495785-B382-4C47-8B9B-53DBC255C946}"/>
    <cellStyle name="Comma 4 3 2 2 6 2 3" xfId="12647" xr:uid="{AEE53D11-FE6E-470F-8232-9D4DFD07B3DA}"/>
    <cellStyle name="Comma 4 3 2 2 6 3" xfId="6270" xr:uid="{00000000-0005-0000-0000-00003D090000}"/>
    <cellStyle name="Comma 4 3 2 2 6 3 2" xfId="14720" xr:uid="{264061ED-F88E-4F56-9B45-9D6D12D8FE60}"/>
    <cellStyle name="Comma 4 3 2 2 6 4" xfId="10502" xr:uid="{CC27296A-5862-4F76-9670-2A397CD3C940}"/>
    <cellStyle name="Comma 4 3 2 2 7" xfId="2399" xr:uid="{00000000-0005-0000-0000-00003E090000}"/>
    <cellStyle name="Comma 4 3 2 2 7 2" xfId="6683" xr:uid="{00000000-0005-0000-0000-00003F090000}"/>
    <cellStyle name="Comma 4 3 2 2 7 2 2" xfId="15133" xr:uid="{DB9F9438-BE4A-448E-B4A7-DA24019367C5}"/>
    <cellStyle name="Comma 4 3 2 2 7 3" xfId="10915" xr:uid="{0B2712C5-7D74-4850-B5F3-99C78D921FFA}"/>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550E18CD-864D-43A1-A383-1E974545CBEB}"/>
    <cellStyle name="Comma 4 3 2 2 9 3" xfId="11232" xr:uid="{DA77CBBB-9F46-4E43-A5C7-4B5C792F88D2}"/>
    <cellStyle name="Comma 4 3 2 3" xfId="148" xr:uid="{00000000-0005-0000-0000-000043090000}"/>
    <cellStyle name="Comma 4 3 2 3 10" xfId="17292" xr:uid="{CF3FEBF0-E46C-479D-9A07-85695BD89890}"/>
    <cellStyle name="Comma 4 3 2 3 11" xfId="18125" xr:uid="{474E0331-932F-4EE1-8DE0-2272C3C88C26}"/>
    <cellStyle name="Comma 4 3 2 3 12" xfId="18954" xr:uid="{1481A0DC-6028-44F5-BAD1-272C3ADAA2AD}"/>
    <cellStyle name="Comma 4 3 2 3 13" xfId="8851" xr:uid="{EECB995B-3107-4C0F-B3FD-56A63219737F}"/>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C26AE857-B1B8-49B3-9C4C-A68C7FCA0BE8}"/>
    <cellStyle name="Comma 4 3 2 3 2 2 3" xfId="11410" xr:uid="{4C2A43D6-359E-4768-8CDC-E1A5E1B218F5}"/>
    <cellStyle name="Comma 4 3 2 3 2 3" xfId="5033" xr:uid="{00000000-0005-0000-0000-000047090000}"/>
    <cellStyle name="Comma 4 3 2 3 2 3 2" xfId="13483" xr:uid="{62B2C13B-FECC-4F7C-B456-4BCACAB1B898}"/>
    <cellStyle name="Comma 4 3 2 3 2 4" xfId="17709" xr:uid="{A3F9908D-7D8A-4F80-9ED2-43785BB22FBC}"/>
    <cellStyle name="Comma 4 3 2 3 2 5" xfId="18541" xr:uid="{5256FE2A-7B5B-4951-B9CF-8BAD7AF523C9}"/>
    <cellStyle name="Comma 4 3 2 3 2 6" xfId="19370" xr:uid="{8E5101ED-D960-461C-8EF8-3CEECCE20CB7}"/>
    <cellStyle name="Comma 4 3 2 3 2 7" xfId="9265" xr:uid="{D1473829-3BE0-48E8-9BE7-9EDF9D91189F}"/>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827481EB-301D-4FCD-AD75-DA8ED95A7983}"/>
    <cellStyle name="Comma 4 3 2 3 3 2 3" xfId="11823" xr:uid="{F5E71F4E-E1FB-46A3-89FC-CFCD79E77239}"/>
    <cellStyle name="Comma 4 3 2 3 3 3" xfId="5446" xr:uid="{00000000-0005-0000-0000-00004B090000}"/>
    <cellStyle name="Comma 4 3 2 3 3 3 2" xfId="13896" xr:uid="{1578D8AC-7044-4B11-928B-7B89D52F7508}"/>
    <cellStyle name="Comma 4 3 2 3 3 4" xfId="9678" xr:uid="{B29A6819-42E7-4BB1-9B1C-DE41F54D4C60}"/>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9CBA0166-4B61-4F0B-AD7E-45DC4A52743E}"/>
    <cellStyle name="Comma 4 3 2 3 4 2 3" xfId="12236" xr:uid="{4CF27931-255C-46A9-AFD8-CF70009B189E}"/>
    <cellStyle name="Comma 4 3 2 3 4 3" xfId="5859" xr:uid="{00000000-0005-0000-0000-00004F090000}"/>
    <cellStyle name="Comma 4 3 2 3 4 3 2" xfId="14309" xr:uid="{70769D0A-8FD3-432B-8BC4-E45A3FE72286}"/>
    <cellStyle name="Comma 4 3 2 3 4 4" xfId="10091" xr:uid="{442CAFC3-EAE3-44E0-BD33-2F975F937BB2}"/>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3420AB01-A20B-417C-AEEE-F6E8435884FF}"/>
    <cellStyle name="Comma 4 3 2 3 5 2 3" xfId="12649" xr:uid="{A5B68354-E05F-4EC5-BF69-C3200BE2CEFE}"/>
    <cellStyle name="Comma 4 3 2 3 5 3" xfId="6272" xr:uid="{00000000-0005-0000-0000-000053090000}"/>
    <cellStyle name="Comma 4 3 2 3 5 3 2" xfId="14722" xr:uid="{86A69DA6-C1C7-44FC-ACFE-2F34CE19E8B8}"/>
    <cellStyle name="Comma 4 3 2 3 5 4" xfId="10504" xr:uid="{F0739CB8-74D4-4752-9227-3C24130049E6}"/>
    <cellStyle name="Comma 4 3 2 3 6" xfId="2401" xr:uid="{00000000-0005-0000-0000-000054090000}"/>
    <cellStyle name="Comma 4 3 2 3 6 2" xfId="6685" xr:uid="{00000000-0005-0000-0000-000055090000}"/>
    <cellStyle name="Comma 4 3 2 3 6 2 2" xfId="15135" xr:uid="{1A870FEC-88E3-43AC-9BAA-0FF666AC88E7}"/>
    <cellStyle name="Comma 4 3 2 3 6 3" xfId="10917" xr:uid="{3153FEF1-95A6-4650-AE6F-8A159ED0AC52}"/>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3EE1740C-058B-4436-A400-5B4046B9A306}"/>
    <cellStyle name="Comma 4 3 2 3 8 3" xfId="11234" xr:uid="{574AD7D4-2296-49F0-8BFE-78CA9CE08008}"/>
    <cellStyle name="Comma 4 3 2 3 9" xfId="4619" xr:uid="{00000000-0005-0000-0000-000059090000}"/>
    <cellStyle name="Comma 4 3 2 3 9 2" xfId="13069" xr:uid="{A234AACC-B72D-44EE-8C09-AB4FF0135315}"/>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74723091-7C76-4BA1-8FEF-1492FE5FAB87}"/>
    <cellStyle name="Comma 4 3 2 4 2 3" xfId="11407" xr:uid="{8914D5F7-A9C4-44D3-BB3E-D02C1E9D6EA3}"/>
    <cellStyle name="Comma 4 3 2 4 3" xfId="5030" xr:uid="{00000000-0005-0000-0000-00005D090000}"/>
    <cellStyle name="Comma 4 3 2 4 3 2" xfId="13480" xr:uid="{38241FFA-CFF7-4686-95E0-D4EF00611F8F}"/>
    <cellStyle name="Comma 4 3 2 4 4" xfId="17706" xr:uid="{B024C95B-9723-45D6-BEF3-ACE87377D3B8}"/>
    <cellStyle name="Comma 4 3 2 4 5" xfId="18538" xr:uid="{D3700E61-C9CD-47EE-89AD-67A5FD9E33A5}"/>
    <cellStyle name="Comma 4 3 2 4 6" xfId="19367" xr:uid="{8B82AA6D-10DF-4D43-B5CF-576C4CFF82D4}"/>
    <cellStyle name="Comma 4 3 2 4 7" xfId="9262" xr:uid="{B02A4A0D-E8B0-403E-8051-5DD7D38CD708}"/>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10682980-87F7-4D5C-B010-57D4716705E6}"/>
    <cellStyle name="Comma 4 3 2 5 2 3" xfId="11820" xr:uid="{FC48AA2E-7CB7-4B38-842B-E3459A6983DA}"/>
    <cellStyle name="Comma 4 3 2 5 3" xfId="5443" xr:uid="{00000000-0005-0000-0000-000061090000}"/>
    <cellStyle name="Comma 4 3 2 5 3 2" xfId="13893" xr:uid="{000DBDE1-C6B1-4603-9265-0D1878678A78}"/>
    <cellStyle name="Comma 4 3 2 5 4" xfId="9675" xr:uid="{26950D1C-3975-4D3A-A824-370C1ACC0AEF}"/>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1C573DA2-E21A-4A66-A207-55466AE0C119}"/>
    <cellStyle name="Comma 4 3 2 6 2 3" xfId="12233" xr:uid="{22A400D3-42DE-4C7C-8D17-E257BA72D320}"/>
    <cellStyle name="Comma 4 3 2 6 3" xfId="5856" xr:uid="{00000000-0005-0000-0000-000065090000}"/>
    <cellStyle name="Comma 4 3 2 6 3 2" xfId="14306" xr:uid="{C143FB7F-204E-4847-AD59-9E925BA122D2}"/>
    <cellStyle name="Comma 4 3 2 6 4" xfId="10088" xr:uid="{1EB1CA1C-E993-4FE5-BEB7-9F83DBB507F1}"/>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CA401854-76A1-4A41-AEA5-31A03F84DD8A}"/>
    <cellStyle name="Comma 4 3 2 7 2 3" xfId="12646" xr:uid="{543F2788-F130-4845-A1B8-280EC53A4153}"/>
    <cellStyle name="Comma 4 3 2 7 3" xfId="6269" xr:uid="{00000000-0005-0000-0000-000069090000}"/>
    <cellStyle name="Comma 4 3 2 7 3 2" xfId="14719" xr:uid="{AE84FA88-4D79-4F3C-929B-3008C731D32C}"/>
    <cellStyle name="Comma 4 3 2 7 4" xfId="10501" xr:uid="{BCE920A4-24BB-4AB2-A360-8565C877689E}"/>
    <cellStyle name="Comma 4 3 2 8" xfId="2398" xr:uid="{00000000-0005-0000-0000-00006A090000}"/>
    <cellStyle name="Comma 4 3 2 8 2" xfId="6682" xr:uid="{00000000-0005-0000-0000-00006B090000}"/>
    <cellStyle name="Comma 4 3 2 8 2 2" xfId="15132" xr:uid="{94645686-C19D-4337-8A7E-1F61A493E348}"/>
    <cellStyle name="Comma 4 3 2 8 3" xfId="10914" xr:uid="{690ED8CB-D6C0-4204-8ED3-2A427573243E}"/>
    <cellStyle name="Comma 4 3 2 9" xfId="2365" xr:uid="{00000000-0005-0000-0000-00006C090000}"/>
    <cellStyle name="Comma 4 3 3" xfId="149" xr:uid="{00000000-0005-0000-0000-00006D090000}"/>
    <cellStyle name="Comma 4 3 3 10" xfId="4620" xr:uid="{00000000-0005-0000-0000-00006E090000}"/>
    <cellStyle name="Comma 4 3 3 10 2" xfId="13070" xr:uid="{EB05B899-817D-4AB2-BA6C-C5732D147703}"/>
    <cellStyle name="Comma 4 3 3 11" xfId="17293" xr:uid="{1C2E5E5A-DDC2-4485-B1C3-D382D647AAE5}"/>
    <cellStyle name="Comma 4 3 3 12" xfId="18126" xr:uid="{7B6630DE-5803-4536-9122-C09E7A882341}"/>
    <cellStyle name="Comma 4 3 3 13" xfId="18955" xr:uid="{A2F60543-1EBC-4DBD-B153-0F15A7583B35}"/>
    <cellStyle name="Comma 4 3 3 14" xfId="8852" xr:uid="{AA35B98E-43A1-4071-A0CD-32CA77BFB95A}"/>
    <cellStyle name="Comma 4 3 3 2" xfId="150" xr:uid="{00000000-0005-0000-0000-00006F090000}"/>
    <cellStyle name="Comma 4 3 3 2 10" xfId="17294" xr:uid="{4586891E-C0A4-4EE3-B540-F87E9A3CDCCA}"/>
    <cellStyle name="Comma 4 3 3 2 11" xfId="18127" xr:uid="{C5C0E20A-E96E-48D8-91CD-1FC6A36C61BF}"/>
    <cellStyle name="Comma 4 3 3 2 12" xfId="18956" xr:uid="{C779AAC6-70DF-4805-A69F-034A688DF795}"/>
    <cellStyle name="Comma 4 3 3 2 13" xfId="8853" xr:uid="{71C6D496-6302-4665-9479-B38C7BEB2700}"/>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105BCBD4-5DED-45C5-B6C5-C94AC61F488F}"/>
    <cellStyle name="Comma 4 3 3 2 2 2 3" xfId="11412" xr:uid="{2745B8B2-C8AD-437F-824A-4A81EDC51DA1}"/>
    <cellStyle name="Comma 4 3 3 2 2 3" xfId="5035" xr:uid="{00000000-0005-0000-0000-000073090000}"/>
    <cellStyle name="Comma 4 3 3 2 2 3 2" xfId="13485" xr:uid="{9A4A4897-AFBE-46E3-BCEA-1633EEA99AE1}"/>
    <cellStyle name="Comma 4 3 3 2 2 4" xfId="17711" xr:uid="{C7603A0B-2814-4854-A0A8-910E569A8279}"/>
    <cellStyle name="Comma 4 3 3 2 2 5" xfId="18543" xr:uid="{079BF98E-7EAA-4709-B2F2-3DC970A51FBE}"/>
    <cellStyle name="Comma 4 3 3 2 2 6" xfId="19372" xr:uid="{E24BEE87-8249-435E-B953-7210DE213FBE}"/>
    <cellStyle name="Comma 4 3 3 2 2 7" xfId="9267" xr:uid="{62BE8105-5C1F-48B1-9E1D-9435BCE0A3CB}"/>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F85F56A0-550F-4CCF-B2DF-76FCE37BB1BA}"/>
    <cellStyle name="Comma 4 3 3 2 3 2 3" xfId="11825" xr:uid="{62B62676-395F-458B-A014-D7A9C0477F40}"/>
    <cellStyle name="Comma 4 3 3 2 3 3" xfId="5448" xr:uid="{00000000-0005-0000-0000-000077090000}"/>
    <cellStyle name="Comma 4 3 3 2 3 3 2" xfId="13898" xr:uid="{E20DAF5B-2AEB-4700-890A-54179ADFA3E0}"/>
    <cellStyle name="Comma 4 3 3 2 3 4" xfId="9680" xr:uid="{8E7162CA-308F-4E06-B9CF-A4CC3E00173B}"/>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60F4D4CA-B562-492E-A018-D971591F0BC5}"/>
    <cellStyle name="Comma 4 3 3 2 4 2 3" xfId="12238" xr:uid="{4795E421-4B35-4BBA-BDC4-B22A2BA927FB}"/>
    <cellStyle name="Comma 4 3 3 2 4 3" xfId="5861" xr:uid="{00000000-0005-0000-0000-00007B090000}"/>
    <cellStyle name="Comma 4 3 3 2 4 3 2" xfId="14311" xr:uid="{D5062085-D4DC-44FC-8339-376522E3D674}"/>
    <cellStyle name="Comma 4 3 3 2 4 4" xfId="10093" xr:uid="{B9EC18AE-5821-4760-9B24-CACB05D2D65A}"/>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C83050F8-638C-444F-9F0B-F5FF7C217BA6}"/>
    <cellStyle name="Comma 4 3 3 2 5 2 3" xfId="12651" xr:uid="{DDC0F44B-6784-4091-B18D-D5AF3225198D}"/>
    <cellStyle name="Comma 4 3 3 2 5 3" xfId="6274" xr:uid="{00000000-0005-0000-0000-00007F090000}"/>
    <cellStyle name="Comma 4 3 3 2 5 3 2" xfId="14724" xr:uid="{F3F47E89-ED65-4DB0-ABDB-4275B0506BC3}"/>
    <cellStyle name="Comma 4 3 3 2 5 4" xfId="10506" xr:uid="{F8F06541-AC8C-4E36-A123-2307E51020AD}"/>
    <cellStyle name="Comma 4 3 3 2 6" xfId="2403" xr:uid="{00000000-0005-0000-0000-000080090000}"/>
    <cellStyle name="Comma 4 3 3 2 6 2" xfId="6687" xr:uid="{00000000-0005-0000-0000-000081090000}"/>
    <cellStyle name="Comma 4 3 3 2 6 2 2" xfId="15137" xr:uid="{775DA708-A051-467A-907F-42259CACA266}"/>
    <cellStyle name="Comma 4 3 3 2 6 3" xfId="10919" xr:uid="{83726119-61C3-4C18-A3C7-3379980E481A}"/>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EDC56CDD-AFE2-4F07-B912-9B7146F2325D}"/>
    <cellStyle name="Comma 4 3 3 2 8 3" xfId="11236" xr:uid="{EFD2CE72-40C7-49B5-8F13-78BEBB54279C}"/>
    <cellStyle name="Comma 4 3 3 2 9" xfId="4621" xr:uid="{00000000-0005-0000-0000-000085090000}"/>
    <cellStyle name="Comma 4 3 3 2 9 2" xfId="13071" xr:uid="{709ADF0E-01A5-45E0-8C41-4E415507764B}"/>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6FE4831C-13FD-44DF-A3C8-C8D53F6C3944}"/>
    <cellStyle name="Comma 4 3 3 3 2 3" xfId="11411" xr:uid="{0211368D-A042-4BC5-911B-26F6A96567CA}"/>
    <cellStyle name="Comma 4 3 3 3 3" xfId="5034" xr:uid="{00000000-0005-0000-0000-000089090000}"/>
    <cellStyle name="Comma 4 3 3 3 3 2" xfId="13484" xr:uid="{B551051A-6F61-4CC0-9997-C3A438549B37}"/>
    <cellStyle name="Comma 4 3 3 3 4" xfId="17710" xr:uid="{C50F46E3-815A-48E2-B680-C9221DEB29A2}"/>
    <cellStyle name="Comma 4 3 3 3 5" xfId="18542" xr:uid="{E4AA50B5-AC38-4B29-B2CD-910414AFAD6D}"/>
    <cellStyle name="Comma 4 3 3 3 6" xfId="19371" xr:uid="{BA79004E-2168-4398-8457-98D43479747A}"/>
    <cellStyle name="Comma 4 3 3 3 7" xfId="9266" xr:uid="{0EA8D417-AEAC-409B-85BE-75D47FAED6B1}"/>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07C3BD7E-710C-49C5-9B46-EEDD2623736E}"/>
    <cellStyle name="Comma 4 3 3 4 2 3" xfId="11824" xr:uid="{589C04CE-120B-4B8A-95CA-49929989E3DE}"/>
    <cellStyle name="Comma 4 3 3 4 3" xfId="5447" xr:uid="{00000000-0005-0000-0000-00008D090000}"/>
    <cellStyle name="Comma 4 3 3 4 3 2" xfId="13897" xr:uid="{A6E44845-4D03-4CEE-A164-B5939651B26B}"/>
    <cellStyle name="Comma 4 3 3 4 4" xfId="9679" xr:uid="{5777AF54-DF7B-4DC7-A581-CD0BF0CF643F}"/>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1DE932E0-0925-49ED-891A-A8C4A949ED7E}"/>
    <cellStyle name="Comma 4 3 3 5 2 3" xfId="12237" xr:uid="{75EEC24E-6901-48E4-9B47-00E0850AD9C7}"/>
    <cellStyle name="Comma 4 3 3 5 3" xfId="5860" xr:uid="{00000000-0005-0000-0000-000091090000}"/>
    <cellStyle name="Comma 4 3 3 5 3 2" xfId="14310" xr:uid="{DECA654E-2839-4962-A2F1-B0E9F73420C1}"/>
    <cellStyle name="Comma 4 3 3 5 4" xfId="10092" xr:uid="{46AD6926-BF53-4E36-835B-F771A765EC6E}"/>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CC2F483C-678C-4EFF-A8F1-091AE449AEF8}"/>
    <cellStyle name="Comma 4 3 3 6 2 3" xfId="12650" xr:uid="{FEE68686-DBE5-4AA2-9429-AC8282DC9F43}"/>
    <cellStyle name="Comma 4 3 3 6 3" xfId="6273" xr:uid="{00000000-0005-0000-0000-000095090000}"/>
    <cellStyle name="Comma 4 3 3 6 3 2" xfId="14723" xr:uid="{5CEA754F-9F1E-4A8E-9689-A800E2DB912D}"/>
    <cellStyle name="Comma 4 3 3 6 4" xfId="10505" xr:uid="{BBB4FF16-09A0-4246-967C-C9C2E22063E7}"/>
    <cellStyle name="Comma 4 3 3 7" xfId="2402" xr:uid="{00000000-0005-0000-0000-000096090000}"/>
    <cellStyle name="Comma 4 3 3 7 2" xfId="6686" xr:uid="{00000000-0005-0000-0000-000097090000}"/>
    <cellStyle name="Comma 4 3 3 7 2 2" xfId="15136" xr:uid="{5F624DCF-1DCC-45B6-9947-0F798087753A}"/>
    <cellStyle name="Comma 4 3 3 7 3" xfId="10918" xr:uid="{39C75E6C-60C1-4130-95FD-43BC98C0CBA4}"/>
    <cellStyle name="Comma 4 3 3 8" xfId="2361" xr:uid="{00000000-0005-0000-0000-000098090000}"/>
    <cellStyle name="Comma 4 3 3 9" xfId="2780" xr:uid="{00000000-0005-0000-0000-000099090000}"/>
    <cellStyle name="Comma 4 3 3 9 2" xfId="7003" xr:uid="{00000000-0005-0000-0000-00009A090000}"/>
    <cellStyle name="Comma 4 3 3 9 2 2" xfId="15453" xr:uid="{2D718DE6-35B0-4CC1-81E9-014885A69B62}"/>
    <cellStyle name="Comma 4 3 3 9 3" xfId="11235" xr:uid="{A0528706-73B4-4889-8B2B-7E23CDDF4544}"/>
    <cellStyle name="Comma 4 3 4" xfId="151" xr:uid="{00000000-0005-0000-0000-00009B090000}"/>
    <cellStyle name="Comma 4 3 4 10" xfId="17295" xr:uid="{B164AC2B-020A-4AEB-B143-193B762A1F1A}"/>
    <cellStyle name="Comma 4 3 4 11" xfId="18128" xr:uid="{825592C7-B934-42EB-BAC6-C2F9511A65A7}"/>
    <cellStyle name="Comma 4 3 4 12" xfId="18957" xr:uid="{0DF08FA6-76D0-4A53-96B0-4C10B7B0DCDA}"/>
    <cellStyle name="Comma 4 3 4 13" xfId="8854" xr:uid="{64FF102C-6CBF-417A-A1C3-577389417B39}"/>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884DB4EE-9100-49CA-86B0-9AB3A0B7B6BD}"/>
    <cellStyle name="Comma 4 3 4 2 2 3" xfId="11413" xr:uid="{ED0A7EB8-52F7-44ED-A5A5-503A720D5E8F}"/>
    <cellStyle name="Comma 4 3 4 2 3" xfId="5036" xr:uid="{00000000-0005-0000-0000-00009F090000}"/>
    <cellStyle name="Comma 4 3 4 2 3 2" xfId="13486" xr:uid="{F3FABEF2-3104-4173-A397-6510D566A2A5}"/>
    <cellStyle name="Comma 4 3 4 2 4" xfId="17712" xr:uid="{97F7F52F-9B2E-46E8-AFEF-04B9450188DA}"/>
    <cellStyle name="Comma 4 3 4 2 5" xfId="18544" xr:uid="{07C02EB1-58E7-46D1-AEF0-66762045CF95}"/>
    <cellStyle name="Comma 4 3 4 2 6" xfId="19373" xr:uid="{58C5079E-F982-41A2-92ED-605F6CC20742}"/>
    <cellStyle name="Comma 4 3 4 2 7" xfId="9268" xr:uid="{DE741D6F-0916-4855-BB32-C93FADDAEB7C}"/>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5FB16F95-07EE-4CFB-92A8-5EE9C876F043}"/>
    <cellStyle name="Comma 4 3 4 3 2 3" xfId="11826" xr:uid="{A42FFFCF-6C18-4AED-86F1-601AA22E8C99}"/>
    <cellStyle name="Comma 4 3 4 3 3" xfId="5449" xr:uid="{00000000-0005-0000-0000-0000A3090000}"/>
    <cellStyle name="Comma 4 3 4 3 3 2" xfId="13899" xr:uid="{E4BBB36D-315E-4C84-8B58-C5E40C1E2C59}"/>
    <cellStyle name="Comma 4 3 4 3 4" xfId="9681" xr:uid="{A402BCF3-A331-4F07-B4C0-693C87E4935E}"/>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93AD806D-96F5-486A-BEBB-19199221CACE}"/>
    <cellStyle name="Comma 4 3 4 4 2 3" xfId="12239" xr:uid="{72C9E961-CCCE-4F41-AD7D-6F1CD0A32E28}"/>
    <cellStyle name="Comma 4 3 4 4 3" xfId="5862" xr:uid="{00000000-0005-0000-0000-0000A7090000}"/>
    <cellStyle name="Comma 4 3 4 4 3 2" xfId="14312" xr:uid="{211F64B1-B45B-499E-B326-B61D30171ADD}"/>
    <cellStyle name="Comma 4 3 4 4 4" xfId="10094" xr:uid="{EA0D0FED-C67F-44E4-AAE7-BC0732CC87E9}"/>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5B25CEBB-29F4-449C-AFA7-C4B45ED0A3C8}"/>
    <cellStyle name="Comma 4 3 4 5 2 3" xfId="12652" xr:uid="{15AD6EDC-38F9-4310-9364-3ECA3D4E6D13}"/>
    <cellStyle name="Comma 4 3 4 5 3" xfId="6275" xr:uid="{00000000-0005-0000-0000-0000AB090000}"/>
    <cellStyle name="Comma 4 3 4 5 3 2" xfId="14725" xr:uid="{8E2A82BA-9A79-429F-914F-11FF684700E8}"/>
    <cellStyle name="Comma 4 3 4 5 4" xfId="10507" xr:uid="{20C0BBFD-CAC6-459D-9839-EAFF1A6E66B8}"/>
    <cellStyle name="Comma 4 3 4 6" xfId="2404" xr:uid="{00000000-0005-0000-0000-0000AC090000}"/>
    <cellStyle name="Comma 4 3 4 6 2" xfId="6688" xr:uid="{00000000-0005-0000-0000-0000AD090000}"/>
    <cellStyle name="Comma 4 3 4 6 2 2" xfId="15138" xr:uid="{49447F30-D3FA-487A-99FE-FA295410223F}"/>
    <cellStyle name="Comma 4 3 4 6 3" xfId="10920" xr:uid="{E4EAC351-3BCB-44DD-98CC-4570E4C4E210}"/>
    <cellStyle name="Comma 4 3 4 7" xfId="2700" xr:uid="{00000000-0005-0000-0000-0000AE090000}"/>
    <cellStyle name="Comma 4 3 4 8" xfId="2782" xr:uid="{00000000-0005-0000-0000-0000AF090000}"/>
    <cellStyle name="Comma 4 3 4 8 2" xfId="7005" xr:uid="{00000000-0005-0000-0000-0000B0090000}"/>
    <cellStyle name="Comma 4 3 4 8 2 2" xfId="15455" xr:uid="{3471E352-3B3D-4984-A5EC-3AE56F60B820}"/>
    <cellStyle name="Comma 4 3 4 8 3" xfId="11237" xr:uid="{E72AB879-8A7A-4B79-9BD0-54BDA1A57725}"/>
    <cellStyle name="Comma 4 3 4 9" xfId="4622" xr:uid="{00000000-0005-0000-0000-0000B1090000}"/>
    <cellStyle name="Comma 4 3 4 9 2" xfId="13072" xr:uid="{F50EE447-EE61-431C-A100-FAFA62EAD988}"/>
    <cellStyle name="Comma 4 3 5" xfId="152" xr:uid="{00000000-0005-0000-0000-0000B2090000}"/>
    <cellStyle name="Comma 4 3 5 10" xfId="17296" xr:uid="{E0E1DDB5-DAC1-4C82-B7D1-DA2C13AB3E62}"/>
    <cellStyle name="Comma 4 3 5 11" xfId="18129" xr:uid="{463DBEE6-1209-4E12-8C21-45501E68E208}"/>
    <cellStyle name="Comma 4 3 5 12" xfId="18958" xr:uid="{D50ACB04-7C26-4B11-BDA6-DB3A7AB69934}"/>
    <cellStyle name="Comma 4 3 5 13" xfId="8855" xr:uid="{512ABC1E-E0D3-4370-8B05-2D45F6AFEDAB}"/>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90BE2E51-114E-425B-BB45-D2584CD019E7}"/>
    <cellStyle name="Comma 4 3 5 2 2 3" xfId="11414" xr:uid="{638922A9-6549-4FBC-AAE4-6259F2435D35}"/>
    <cellStyle name="Comma 4 3 5 2 3" xfId="5037" xr:uid="{00000000-0005-0000-0000-0000B6090000}"/>
    <cellStyle name="Comma 4 3 5 2 3 2" xfId="13487" xr:uid="{C6E6D081-B6E3-4C16-B438-96D3E0EABA9A}"/>
    <cellStyle name="Comma 4 3 5 2 4" xfId="17713" xr:uid="{BBDADC62-42E3-44A8-B167-07968FB82CB3}"/>
    <cellStyle name="Comma 4 3 5 2 5" xfId="18545" xr:uid="{85988D3D-3A77-4284-8EEF-3305AB7ABF14}"/>
    <cellStyle name="Comma 4 3 5 2 6" xfId="19374" xr:uid="{CC1C201E-4D9D-4160-8A67-26BA4B8C0777}"/>
    <cellStyle name="Comma 4 3 5 2 7" xfId="9269" xr:uid="{42A77FC8-8824-4DB4-9559-FC005BB36F8C}"/>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5F850B27-9FAF-4FAE-ADD7-1CE2429A919B}"/>
    <cellStyle name="Comma 4 3 5 3 2 3" xfId="11827" xr:uid="{541288D6-183C-47B3-9997-4D14EED89E2F}"/>
    <cellStyle name="Comma 4 3 5 3 3" xfId="5450" xr:uid="{00000000-0005-0000-0000-0000BA090000}"/>
    <cellStyle name="Comma 4 3 5 3 3 2" xfId="13900" xr:uid="{94A0B943-FF53-430C-9475-C66C1FEBD047}"/>
    <cellStyle name="Comma 4 3 5 3 4" xfId="9682" xr:uid="{DE4223A7-25D6-4FA4-A866-292C35DF4490}"/>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8FB89EFF-4392-4E84-AC9D-9CF922E71311}"/>
    <cellStyle name="Comma 4 3 5 4 2 3" xfId="12240" xr:uid="{C579E782-B71A-4449-9ED7-C1622507E25D}"/>
    <cellStyle name="Comma 4 3 5 4 3" xfId="5863" xr:uid="{00000000-0005-0000-0000-0000BE090000}"/>
    <cellStyle name="Comma 4 3 5 4 3 2" xfId="14313" xr:uid="{7AF59BA7-DCD4-4410-9352-723E899DF14D}"/>
    <cellStyle name="Comma 4 3 5 4 4" xfId="10095" xr:uid="{305F57FD-936F-465A-8F9F-0F4F29D96484}"/>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AE2C75ED-05DE-4A74-B473-5D6B890869E1}"/>
    <cellStyle name="Comma 4 3 5 5 2 3" xfId="12653" xr:uid="{418509D1-A832-43A2-B98C-B7CBDFC0897E}"/>
    <cellStyle name="Comma 4 3 5 5 3" xfId="6276" xr:uid="{00000000-0005-0000-0000-0000C2090000}"/>
    <cellStyle name="Comma 4 3 5 5 3 2" xfId="14726" xr:uid="{1C97C869-3AB8-4722-A890-F84BFC981D56}"/>
    <cellStyle name="Comma 4 3 5 5 4" xfId="10508" xr:uid="{D5D7D621-D648-4058-8F62-7A892E4730B6}"/>
    <cellStyle name="Comma 4 3 5 6" xfId="2405" xr:uid="{00000000-0005-0000-0000-0000C3090000}"/>
    <cellStyle name="Comma 4 3 5 6 2" xfId="6689" xr:uid="{00000000-0005-0000-0000-0000C4090000}"/>
    <cellStyle name="Comma 4 3 5 6 2 2" xfId="15139" xr:uid="{740E80C1-B4E9-49F7-A912-2A89F3D0F6C2}"/>
    <cellStyle name="Comma 4 3 5 6 3" xfId="10921" xr:uid="{EE79A92E-3A35-4AE3-A026-8103A1916411}"/>
    <cellStyle name="Comma 4 3 5 7" xfId="2701" xr:uid="{00000000-0005-0000-0000-0000C5090000}"/>
    <cellStyle name="Comma 4 3 5 8" xfId="2783" xr:uid="{00000000-0005-0000-0000-0000C6090000}"/>
    <cellStyle name="Comma 4 3 5 8 2" xfId="7006" xr:uid="{00000000-0005-0000-0000-0000C7090000}"/>
    <cellStyle name="Comma 4 3 5 8 2 2" xfId="15456" xr:uid="{806DE097-AD88-4E10-A510-6C3CB5D8C2CE}"/>
    <cellStyle name="Comma 4 3 5 8 3" xfId="11238" xr:uid="{43E13D75-BFFB-4436-8ED7-F05E56BFC49E}"/>
    <cellStyle name="Comma 4 3 5 9" xfId="4623" xr:uid="{00000000-0005-0000-0000-0000C8090000}"/>
    <cellStyle name="Comma 4 3 5 9 2" xfId="13073" xr:uid="{942F8CB5-A80C-41C8-9097-164460AD25D8}"/>
    <cellStyle name="Comma 4 4" xfId="153" xr:uid="{00000000-0005-0000-0000-0000C9090000}"/>
    <cellStyle name="Comma 4 4 10" xfId="2784" xr:uid="{00000000-0005-0000-0000-0000CA090000}"/>
    <cellStyle name="Comma 4 4 10 2" xfId="7007" xr:uid="{00000000-0005-0000-0000-0000CB090000}"/>
    <cellStyle name="Comma 4 4 10 2 2" xfId="15457" xr:uid="{6176FFB5-BB12-473F-949E-18F2D32AA516}"/>
    <cellStyle name="Comma 4 4 10 3" xfId="11239" xr:uid="{28014758-1BE8-4C77-B462-A9409E2EB8A1}"/>
    <cellStyle name="Comma 4 4 11" xfId="4624" xr:uid="{00000000-0005-0000-0000-0000CC090000}"/>
    <cellStyle name="Comma 4 4 11 2" xfId="13074" xr:uid="{B46DF96A-0B77-45B0-A199-DC0A7C039F5B}"/>
    <cellStyle name="Comma 4 4 12" xfId="17297" xr:uid="{19F15292-CF46-4403-9E60-2AD1AE93D3BA}"/>
    <cellStyle name="Comma 4 4 13" xfId="18130" xr:uid="{97BF7D5D-BFFA-4914-8B7C-7BB45ADCBE07}"/>
    <cellStyle name="Comma 4 4 14" xfId="18959" xr:uid="{A724C450-7426-4035-948C-6BF5973E4170}"/>
    <cellStyle name="Comma 4 4 15" xfId="8856" xr:uid="{A1584565-F229-4789-81FA-2423E04B0A27}"/>
    <cellStyle name="Comma 4 4 2" xfId="154" xr:uid="{00000000-0005-0000-0000-0000CD090000}"/>
    <cellStyle name="Comma 4 4 2 10" xfId="4625" xr:uid="{00000000-0005-0000-0000-0000CE090000}"/>
    <cellStyle name="Comma 4 4 2 10 2" xfId="13075" xr:uid="{C0059A01-DEAC-4075-88B7-D2273E400022}"/>
    <cellStyle name="Comma 4 4 2 11" xfId="17298" xr:uid="{E939C4D0-E09E-4D29-988E-4ED182FE445B}"/>
    <cellStyle name="Comma 4 4 2 12" xfId="18131" xr:uid="{7D65B01F-AF0E-4383-9336-6C01CA134C1C}"/>
    <cellStyle name="Comma 4 4 2 13" xfId="18960" xr:uid="{8897D725-8CEC-46B3-9326-18DF052DDFDE}"/>
    <cellStyle name="Comma 4 4 2 14" xfId="8857" xr:uid="{C07B9F24-F3B6-4A8B-A147-F2DF398DAAB4}"/>
    <cellStyle name="Comma 4 4 2 2" xfId="155" xr:uid="{00000000-0005-0000-0000-0000CF090000}"/>
    <cellStyle name="Comma 4 4 2 2 10" xfId="17299" xr:uid="{68946656-4F0E-4B57-B243-324BFDA3857F}"/>
    <cellStyle name="Comma 4 4 2 2 11" xfId="18132" xr:uid="{61D3C88A-E11C-46E9-B309-5376C1BB2ACF}"/>
    <cellStyle name="Comma 4 4 2 2 12" xfId="18961" xr:uid="{7D2A4BCB-FD74-497C-993E-3A0173401342}"/>
    <cellStyle name="Comma 4 4 2 2 13" xfId="8858" xr:uid="{924988E8-6B2A-4915-AC9E-CF0057CA7B1E}"/>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6EB77F39-8979-4EAC-BD00-A929F1D2C50D}"/>
    <cellStyle name="Comma 4 4 2 2 2 2 3" xfId="11417" xr:uid="{B19E7753-A862-49F1-9BC8-E0F72A3737D7}"/>
    <cellStyle name="Comma 4 4 2 2 2 3" xfId="5040" xr:uid="{00000000-0005-0000-0000-0000D3090000}"/>
    <cellStyle name="Comma 4 4 2 2 2 3 2" xfId="13490" xr:uid="{6CE9DAE0-A9F2-4D78-9C74-24B865A0A1F0}"/>
    <cellStyle name="Comma 4 4 2 2 2 4" xfId="17716" xr:uid="{EA34A3CF-246B-408F-82C0-AD610473E38C}"/>
    <cellStyle name="Comma 4 4 2 2 2 5" xfId="18548" xr:uid="{4095B3AD-23FB-4FE5-9379-F81ADD870F0F}"/>
    <cellStyle name="Comma 4 4 2 2 2 6" xfId="19377" xr:uid="{82C1656B-F9A4-4487-86BF-D3CB39169F10}"/>
    <cellStyle name="Comma 4 4 2 2 2 7" xfId="9272" xr:uid="{6049D515-F362-4DCE-8851-0EC0967B7BE1}"/>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D9A102A9-988D-480E-8065-BDD69D3DA2E5}"/>
    <cellStyle name="Comma 4 4 2 2 3 2 3" xfId="11830" xr:uid="{0A98511C-79E8-4E5B-B2BC-AFDFD75EA53B}"/>
    <cellStyle name="Comma 4 4 2 2 3 3" xfId="5453" xr:uid="{00000000-0005-0000-0000-0000D7090000}"/>
    <cellStyle name="Comma 4 4 2 2 3 3 2" xfId="13903" xr:uid="{402ED4F0-A1DE-4034-8DFD-51CAA05B2E2C}"/>
    <cellStyle name="Comma 4 4 2 2 3 4" xfId="9685" xr:uid="{253092DC-4FEA-48E6-A45F-C139E8F9B1D8}"/>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8BFED754-9DF0-425A-8681-2E4DF5E618EB}"/>
    <cellStyle name="Comma 4 4 2 2 4 2 3" xfId="12243" xr:uid="{3BAD4BAB-A828-4EEA-BE44-CA468833ECD3}"/>
    <cellStyle name="Comma 4 4 2 2 4 3" xfId="5866" xr:uid="{00000000-0005-0000-0000-0000DB090000}"/>
    <cellStyle name="Comma 4 4 2 2 4 3 2" xfId="14316" xr:uid="{A56B2E9B-0028-4002-A378-8877D0EC34CF}"/>
    <cellStyle name="Comma 4 4 2 2 4 4" xfId="10098" xr:uid="{73CCF222-37A1-41BE-9B21-5A114E6B904A}"/>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F985DF4E-7DBD-4792-9798-3325C0FA6144}"/>
    <cellStyle name="Comma 4 4 2 2 5 2 3" xfId="12656" xr:uid="{FF7D3B4B-5F6F-4151-AB46-7E909E515102}"/>
    <cellStyle name="Comma 4 4 2 2 5 3" xfId="6279" xr:uid="{00000000-0005-0000-0000-0000DF090000}"/>
    <cellStyle name="Comma 4 4 2 2 5 3 2" xfId="14729" xr:uid="{232AFA3F-9A74-4514-9EDC-1816EFDE32D7}"/>
    <cellStyle name="Comma 4 4 2 2 5 4" xfId="10511" xr:uid="{1824261D-2FEE-4E0B-8E0D-50E24BD34F5B}"/>
    <cellStyle name="Comma 4 4 2 2 6" xfId="2408" xr:uid="{00000000-0005-0000-0000-0000E0090000}"/>
    <cellStyle name="Comma 4 4 2 2 6 2" xfId="6692" xr:uid="{00000000-0005-0000-0000-0000E1090000}"/>
    <cellStyle name="Comma 4 4 2 2 6 2 2" xfId="15142" xr:uid="{FECC5871-C5E8-4BC4-9523-42390A03B126}"/>
    <cellStyle name="Comma 4 4 2 2 6 3" xfId="10924" xr:uid="{04D6D6FF-8594-4B56-80F5-99D5BB43ECF6}"/>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C2C48F5A-4E5F-47F8-B6E6-22BBDDD2E911}"/>
    <cellStyle name="Comma 4 4 2 2 8 3" xfId="11241" xr:uid="{D2C30D16-ABBB-4EF5-9872-3045B9950007}"/>
    <cellStyle name="Comma 4 4 2 2 9" xfId="4626" xr:uid="{00000000-0005-0000-0000-0000E5090000}"/>
    <cellStyle name="Comma 4 4 2 2 9 2" xfId="13076" xr:uid="{F2DD644E-2679-4693-9403-C18A08460488}"/>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9FB71997-FB92-439C-9BC6-1CFCFE21BC5B}"/>
    <cellStyle name="Comma 4 4 2 3 2 3" xfId="11416" xr:uid="{B7293B3C-05C4-4EFE-A2B5-0F34FA41660C}"/>
    <cellStyle name="Comma 4 4 2 3 3" xfId="5039" xr:uid="{00000000-0005-0000-0000-0000E9090000}"/>
    <cellStyle name="Comma 4 4 2 3 3 2" xfId="13489" xr:uid="{6B84AC4A-4CEC-4C44-9801-1583AF57E9E8}"/>
    <cellStyle name="Comma 4 4 2 3 4" xfId="17715" xr:uid="{7C2A0152-93A2-47BB-85EE-E6E519FE109A}"/>
    <cellStyle name="Comma 4 4 2 3 5" xfId="18547" xr:uid="{6738D45B-45F9-45CD-B282-0C17B2BD74A1}"/>
    <cellStyle name="Comma 4 4 2 3 6" xfId="19376" xr:uid="{DB17F4FC-8612-4F49-A39D-5273E64A4947}"/>
    <cellStyle name="Comma 4 4 2 3 7" xfId="9271" xr:uid="{27783492-3785-4D42-BDED-724A4E2EE75D}"/>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8FD43831-1DB2-472B-8C23-A9F7275C71B2}"/>
    <cellStyle name="Comma 4 4 2 4 2 3" xfId="11829" xr:uid="{AD29FB13-AC38-4430-9497-F88C92CC2F54}"/>
    <cellStyle name="Comma 4 4 2 4 3" xfId="5452" xr:uid="{00000000-0005-0000-0000-0000ED090000}"/>
    <cellStyle name="Comma 4 4 2 4 3 2" xfId="13902" xr:uid="{489763AD-79E4-4751-8261-DE1AFE2696EF}"/>
    <cellStyle name="Comma 4 4 2 4 4" xfId="9684" xr:uid="{FAE2BD33-A25F-41E9-9B73-0BA5AF87231B}"/>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4C74D615-68F5-48DB-BC7A-DEFD5146EBD0}"/>
    <cellStyle name="Comma 4 4 2 5 2 3" xfId="12242" xr:uid="{AAF40491-E595-4614-811B-21460D9DBE5E}"/>
    <cellStyle name="Comma 4 4 2 5 3" xfId="5865" xr:uid="{00000000-0005-0000-0000-0000F1090000}"/>
    <cellStyle name="Comma 4 4 2 5 3 2" xfId="14315" xr:uid="{D35EE98E-3D59-4A63-A7E3-DCCF5355AFBB}"/>
    <cellStyle name="Comma 4 4 2 5 4" xfId="10097" xr:uid="{4C822EBA-0CCA-440C-9335-5E514EDDFC7F}"/>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4E1C0802-F6DF-454C-8DD9-88977E6CBF75}"/>
    <cellStyle name="Comma 4 4 2 6 2 3" xfId="12655" xr:uid="{8D9190FB-18A7-4B78-AF78-23E06C807276}"/>
    <cellStyle name="Comma 4 4 2 6 3" xfId="6278" xr:uid="{00000000-0005-0000-0000-0000F5090000}"/>
    <cellStyle name="Comma 4 4 2 6 3 2" xfId="14728" xr:uid="{0FEA0C7D-02DE-494E-B877-53E4A9E29EAC}"/>
    <cellStyle name="Comma 4 4 2 6 4" xfId="10510" xr:uid="{7D23D4E5-6A5C-4735-92A2-A5140BE650A1}"/>
    <cellStyle name="Comma 4 4 2 7" xfId="2407" xr:uid="{00000000-0005-0000-0000-0000F6090000}"/>
    <cellStyle name="Comma 4 4 2 7 2" xfId="6691" xr:uid="{00000000-0005-0000-0000-0000F7090000}"/>
    <cellStyle name="Comma 4 4 2 7 2 2" xfId="15141" xr:uid="{A94EFC1C-8117-48F5-8C5E-08847F4F3421}"/>
    <cellStyle name="Comma 4 4 2 7 3" xfId="10923" xr:uid="{FB600F24-34E0-4139-8703-F909FD860113}"/>
    <cellStyle name="Comma 4 4 2 8" xfId="2703" xr:uid="{00000000-0005-0000-0000-0000F8090000}"/>
    <cellStyle name="Comma 4 4 2 9" xfId="2785" xr:uid="{00000000-0005-0000-0000-0000F9090000}"/>
    <cellStyle name="Comma 4 4 2 9 2" xfId="7008" xr:uid="{00000000-0005-0000-0000-0000FA090000}"/>
    <cellStyle name="Comma 4 4 2 9 2 2" xfId="15458" xr:uid="{DAE942CF-0FB2-4D9E-B1E4-9E3C280042B3}"/>
    <cellStyle name="Comma 4 4 2 9 3" xfId="11240" xr:uid="{EF72D3AB-3DA6-4CB5-9E23-7FFCDEFF6BC7}"/>
    <cellStyle name="Comma 4 4 3" xfId="156" xr:uid="{00000000-0005-0000-0000-0000FB090000}"/>
    <cellStyle name="Comma 4 4 3 10" xfId="17300" xr:uid="{BDEC9464-87CC-4169-9064-13AC96F0ED8C}"/>
    <cellStyle name="Comma 4 4 3 11" xfId="18133" xr:uid="{88F0FFAC-2CB0-43EB-AC56-7E28AB4D792B}"/>
    <cellStyle name="Comma 4 4 3 12" xfId="18962" xr:uid="{B595587B-471D-43D2-B67A-E5D2B6D6D9D5}"/>
    <cellStyle name="Comma 4 4 3 13" xfId="8859" xr:uid="{132E448D-2B8E-49DC-8867-29AD4051B1B2}"/>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52BFB255-87FB-48A7-BD30-5D0E9C6F6596}"/>
    <cellStyle name="Comma 4 4 3 2 2 3" xfId="11418" xr:uid="{BB484DB5-BACE-497D-9002-915AF544F4ED}"/>
    <cellStyle name="Comma 4 4 3 2 3" xfId="5041" xr:uid="{00000000-0005-0000-0000-0000FF090000}"/>
    <cellStyle name="Comma 4 4 3 2 3 2" xfId="13491" xr:uid="{780CF3A3-0A2F-4AE0-BE53-8B1C35E08ED8}"/>
    <cellStyle name="Comma 4 4 3 2 4" xfId="17717" xr:uid="{894C8377-82F6-486F-90FA-737F260AE82F}"/>
    <cellStyle name="Comma 4 4 3 2 5" xfId="18549" xr:uid="{4FF56E28-0D77-45C2-885B-98057D115D36}"/>
    <cellStyle name="Comma 4 4 3 2 6" xfId="19378" xr:uid="{8DD76C60-8155-4EA1-8736-0E16E131F204}"/>
    <cellStyle name="Comma 4 4 3 2 7" xfId="9273" xr:uid="{6C437EC0-375D-4BE7-BA51-352C8691BE5E}"/>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EEC06CF4-D08B-46B3-AEF8-B40C84917B53}"/>
    <cellStyle name="Comma 4 4 3 3 2 3" xfId="11831" xr:uid="{131100CA-30AD-4418-8C2E-B76E65D8237B}"/>
    <cellStyle name="Comma 4 4 3 3 3" xfId="5454" xr:uid="{00000000-0005-0000-0000-0000030A0000}"/>
    <cellStyle name="Comma 4 4 3 3 3 2" xfId="13904" xr:uid="{2AB3F186-C142-4924-BA8E-2AA2AD2B5F39}"/>
    <cellStyle name="Comma 4 4 3 3 4" xfId="9686" xr:uid="{6B98711F-83BA-45B0-8D69-34A29E173738}"/>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9C9FBC9E-9968-46E4-8ED5-BE48A1FA1AF1}"/>
    <cellStyle name="Comma 4 4 3 4 2 3" xfId="12244" xr:uid="{ADA6A45D-06C5-4A6E-8571-5279B7FCE55B}"/>
    <cellStyle name="Comma 4 4 3 4 3" xfId="5867" xr:uid="{00000000-0005-0000-0000-0000070A0000}"/>
    <cellStyle name="Comma 4 4 3 4 3 2" xfId="14317" xr:uid="{9413A8B7-6A56-484F-B8B5-9F024E4EFA31}"/>
    <cellStyle name="Comma 4 4 3 4 4" xfId="10099" xr:uid="{53CD5E85-25CF-4A32-9626-8CC2F488033C}"/>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692F8636-3A16-48A1-9DD7-343CE467D62F}"/>
    <cellStyle name="Comma 4 4 3 5 2 3" xfId="12657" xr:uid="{EB5C4E9E-0C72-4CA9-8F42-3AD35911412A}"/>
    <cellStyle name="Comma 4 4 3 5 3" xfId="6280" xr:uid="{00000000-0005-0000-0000-00000B0A0000}"/>
    <cellStyle name="Comma 4 4 3 5 3 2" xfId="14730" xr:uid="{B02496B2-5E87-45BA-9623-4E5FBCD2E0A3}"/>
    <cellStyle name="Comma 4 4 3 5 4" xfId="10512" xr:uid="{8BBCB30B-6EEF-43ED-BEBD-202198702359}"/>
    <cellStyle name="Comma 4 4 3 6" xfId="2409" xr:uid="{00000000-0005-0000-0000-00000C0A0000}"/>
    <cellStyle name="Comma 4 4 3 6 2" xfId="6693" xr:uid="{00000000-0005-0000-0000-00000D0A0000}"/>
    <cellStyle name="Comma 4 4 3 6 2 2" xfId="15143" xr:uid="{AB32E625-C270-4C44-B5AB-2F456811EB5E}"/>
    <cellStyle name="Comma 4 4 3 6 3" xfId="10925" xr:uid="{A96767E8-45FD-40AB-ACE5-E7A903C7C0DD}"/>
    <cellStyle name="Comma 4 4 3 7" xfId="2705" xr:uid="{00000000-0005-0000-0000-00000E0A0000}"/>
    <cellStyle name="Comma 4 4 3 8" xfId="2787" xr:uid="{00000000-0005-0000-0000-00000F0A0000}"/>
    <cellStyle name="Comma 4 4 3 8 2" xfId="7010" xr:uid="{00000000-0005-0000-0000-0000100A0000}"/>
    <cellStyle name="Comma 4 4 3 8 2 2" xfId="15460" xr:uid="{F96FF27E-E473-4AED-91CE-B3DC7D12920F}"/>
    <cellStyle name="Comma 4 4 3 8 3" xfId="11242" xr:uid="{92E621CA-7521-4335-89F4-0290D23885A1}"/>
    <cellStyle name="Comma 4 4 3 9" xfId="4627" xr:uid="{00000000-0005-0000-0000-0000110A0000}"/>
    <cellStyle name="Comma 4 4 3 9 2" xfId="13077" xr:uid="{0119619D-F3AD-404D-AA6D-86077E25825D}"/>
    <cellStyle name="Comma 4 4 4" xfId="690" xr:uid="{00000000-0005-0000-0000-0000120A0000}"/>
    <cellStyle name="Comma 4 4 4 2" xfId="2961" xr:uid="{00000000-0005-0000-0000-0000130A0000}"/>
    <cellStyle name="Comma 4 4 4 2 2" xfId="7183" xr:uid="{00000000-0005-0000-0000-0000140A0000}"/>
    <cellStyle name="Comma 4 4 4 2 2 2" xfId="15633" xr:uid="{F510400B-F8E0-41E3-9EB9-7680BB8E7463}"/>
    <cellStyle name="Comma 4 4 4 2 3" xfId="11415" xr:uid="{B11C6F17-E2CB-4BF6-9928-1C3ABD1625CE}"/>
    <cellStyle name="Comma 4 4 4 3" xfId="5038" xr:uid="{00000000-0005-0000-0000-0000150A0000}"/>
    <cellStyle name="Comma 4 4 4 3 2" xfId="13488" xr:uid="{17336593-E374-4A08-BC7A-68856D8917C3}"/>
    <cellStyle name="Comma 4 4 4 4" xfId="17714" xr:uid="{63992937-C855-48CB-A724-0B68707153FD}"/>
    <cellStyle name="Comma 4 4 4 5" xfId="18546" xr:uid="{AB395B38-DD75-47A2-B924-C929B7C07E3B}"/>
    <cellStyle name="Comma 4 4 4 6" xfId="19375" xr:uid="{18486FC2-3047-4916-BF74-2464B4FE1D45}"/>
    <cellStyle name="Comma 4 4 4 7" xfId="9270" xr:uid="{5CF9007F-A90A-4B91-AB49-67716579ACD7}"/>
    <cellStyle name="Comma 4 4 5" xfId="1143" xr:uid="{00000000-0005-0000-0000-0000160A0000}"/>
    <cellStyle name="Comma 4 4 5 2" xfId="3374" xr:uid="{00000000-0005-0000-0000-0000170A0000}"/>
    <cellStyle name="Comma 4 4 5 2 2" xfId="7596" xr:uid="{00000000-0005-0000-0000-0000180A0000}"/>
    <cellStyle name="Comma 4 4 5 2 2 2" xfId="16046" xr:uid="{7A3D83C4-CC4D-4382-AE0C-401B65A60930}"/>
    <cellStyle name="Comma 4 4 5 2 3" xfId="11828" xr:uid="{DDD58B7B-A8B4-4C07-A421-B4CEA1963898}"/>
    <cellStyle name="Comma 4 4 5 3" xfId="5451" xr:uid="{00000000-0005-0000-0000-0000190A0000}"/>
    <cellStyle name="Comma 4 4 5 3 2" xfId="13901" xr:uid="{81A29434-1C3F-4C46-B7FC-69B32FC66BAD}"/>
    <cellStyle name="Comma 4 4 5 4" xfId="9683" xr:uid="{177DBEE0-ABCF-4FF7-A75F-F2794EF76960}"/>
    <cellStyle name="Comma 4 4 6" xfId="1557" xr:uid="{00000000-0005-0000-0000-00001A0A0000}"/>
    <cellStyle name="Comma 4 4 6 2" xfId="3787" xr:uid="{00000000-0005-0000-0000-00001B0A0000}"/>
    <cellStyle name="Comma 4 4 6 2 2" xfId="8009" xr:uid="{00000000-0005-0000-0000-00001C0A0000}"/>
    <cellStyle name="Comma 4 4 6 2 2 2" xfId="16459" xr:uid="{6C74ACE3-A34D-4244-9DED-677180889D43}"/>
    <cellStyle name="Comma 4 4 6 2 3" xfId="12241" xr:uid="{3C9E43FC-ED6D-48FD-BED5-42D8E393FE68}"/>
    <cellStyle name="Comma 4 4 6 3" xfId="5864" xr:uid="{00000000-0005-0000-0000-00001D0A0000}"/>
    <cellStyle name="Comma 4 4 6 3 2" xfId="14314" xr:uid="{0819C31E-641B-4B9D-8A41-42B1D3E28842}"/>
    <cellStyle name="Comma 4 4 6 4" xfId="10096" xr:uid="{5764698C-CB07-4D3D-A42E-48E0E32ED5F4}"/>
    <cellStyle name="Comma 4 4 7" xfId="1971" xr:uid="{00000000-0005-0000-0000-00001E0A0000}"/>
    <cellStyle name="Comma 4 4 7 2" xfId="4200" xr:uid="{00000000-0005-0000-0000-00001F0A0000}"/>
    <cellStyle name="Comma 4 4 7 2 2" xfId="8422" xr:uid="{00000000-0005-0000-0000-0000200A0000}"/>
    <cellStyle name="Comma 4 4 7 2 2 2" xfId="16872" xr:uid="{E83DD938-02EB-4EB9-9E66-4258069F5F07}"/>
    <cellStyle name="Comma 4 4 7 2 3" xfId="12654" xr:uid="{D08AF61A-17C1-4E22-890D-257DF7C3A6B4}"/>
    <cellStyle name="Comma 4 4 7 3" xfId="6277" xr:uid="{00000000-0005-0000-0000-0000210A0000}"/>
    <cellStyle name="Comma 4 4 7 3 2" xfId="14727" xr:uid="{0910032B-AF97-4632-BC28-B870694C9DCE}"/>
    <cellStyle name="Comma 4 4 7 4" xfId="10509" xr:uid="{C0FE799A-FDAE-436C-A397-D5A707FE1A29}"/>
    <cellStyle name="Comma 4 4 8" xfId="2406" xr:uid="{00000000-0005-0000-0000-0000220A0000}"/>
    <cellStyle name="Comma 4 4 8 2" xfId="6690" xr:uid="{00000000-0005-0000-0000-0000230A0000}"/>
    <cellStyle name="Comma 4 4 8 2 2" xfId="15140" xr:uid="{E9CAB728-37A7-4DD0-8720-4F484A40F746}"/>
    <cellStyle name="Comma 4 4 8 3" xfId="10922" xr:uid="{1486DE9C-5623-4B2D-8593-8347FF30A02A}"/>
    <cellStyle name="Comma 4 4 9" xfId="2702" xr:uid="{00000000-0005-0000-0000-0000240A0000}"/>
    <cellStyle name="Comma 4 5" xfId="157" xr:uid="{00000000-0005-0000-0000-0000250A0000}"/>
    <cellStyle name="Comma 4 5 10" xfId="4628" xr:uid="{00000000-0005-0000-0000-0000260A0000}"/>
    <cellStyle name="Comma 4 5 10 2" xfId="13078" xr:uid="{01CE85A0-5189-49C8-B3AA-FF668478B560}"/>
    <cellStyle name="Comma 4 5 11" xfId="17301" xr:uid="{E0C1C9C0-3EBD-4920-9AF9-DFCBE33685A5}"/>
    <cellStyle name="Comma 4 5 12" xfId="18134" xr:uid="{A0E0C3B5-7BA3-4FC0-965D-2887A46BEFCE}"/>
    <cellStyle name="Comma 4 5 13" xfId="18963" xr:uid="{422003A4-83DA-4072-ACF4-353B5304DB18}"/>
    <cellStyle name="Comma 4 5 14" xfId="8860" xr:uid="{8AC1C5E8-8ECF-4DC1-AA95-8C7ED3D2AB0B}"/>
    <cellStyle name="Comma 4 5 2" xfId="158" xr:uid="{00000000-0005-0000-0000-0000270A0000}"/>
    <cellStyle name="Comma 4 5 2 10" xfId="17302" xr:uid="{DF650BE8-3E9E-4250-8394-81C6B3EDBB55}"/>
    <cellStyle name="Comma 4 5 2 11" xfId="18135" xr:uid="{E6BC328F-5D81-475E-8157-766EF18E95F3}"/>
    <cellStyle name="Comma 4 5 2 12" xfId="18964" xr:uid="{3A064F81-0061-48A8-ADF0-CAAB59DAE2E1}"/>
    <cellStyle name="Comma 4 5 2 13" xfId="8861" xr:uid="{E243F237-EDDC-4C3D-BDAF-C09B389BF9AD}"/>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7603BC0F-4827-4028-9F8A-A154F22FCB82}"/>
    <cellStyle name="Comma 4 5 2 2 2 3" xfId="11420" xr:uid="{F7BD44E9-1E90-4FF6-8FD1-8095CC21CE1C}"/>
    <cellStyle name="Comma 4 5 2 2 3" xfId="5043" xr:uid="{00000000-0005-0000-0000-00002B0A0000}"/>
    <cellStyle name="Comma 4 5 2 2 3 2" xfId="13493" xr:uid="{A42DACB2-58DA-4A48-A46E-5AB17FE0CD14}"/>
    <cellStyle name="Comma 4 5 2 2 4" xfId="17719" xr:uid="{5F6CA919-4E6E-443C-A56E-8041C50308FF}"/>
    <cellStyle name="Comma 4 5 2 2 5" xfId="18551" xr:uid="{AE82CEBC-D4CA-4E95-9527-02E0F6ED8217}"/>
    <cellStyle name="Comma 4 5 2 2 6" xfId="19380" xr:uid="{1D88DC93-5945-4930-9A44-BD59726285B6}"/>
    <cellStyle name="Comma 4 5 2 2 7" xfId="9275" xr:uid="{21816340-B341-4EA8-81A8-3E70F95C50E9}"/>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85FDDA5E-714F-46FD-AB34-6745005375F4}"/>
    <cellStyle name="Comma 4 5 2 3 2 3" xfId="11833" xr:uid="{B08BFE8E-8340-415A-93EA-E2612B9AEFA1}"/>
    <cellStyle name="Comma 4 5 2 3 3" xfId="5456" xr:uid="{00000000-0005-0000-0000-00002F0A0000}"/>
    <cellStyle name="Comma 4 5 2 3 3 2" xfId="13906" xr:uid="{6F04EBF7-1B66-4C4A-A16C-1A22B8FE95E1}"/>
    <cellStyle name="Comma 4 5 2 3 4" xfId="9688" xr:uid="{8D89C0A1-863F-4258-8103-8FFA7727F102}"/>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45E19092-4B08-40C1-AFC2-0DCF5EC3114D}"/>
    <cellStyle name="Comma 4 5 2 4 2 3" xfId="12246" xr:uid="{DB0CECEE-6B67-4F3C-91EA-AD0B3794F780}"/>
    <cellStyle name="Comma 4 5 2 4 3" xfId="5869" xr:uid="{00000000-0005-0000-0000-0000330A0000}"/>
    <cellStyle name="Comma 4 5 2 4 3 2" xfId="14319" xr:uid="{EAACCACB-4757-403C-9A54-FC57BA02691A}"/>
    <cellStyle name="Comma 4 5 2 4 4" xfId="10101" xr:uid="{8AB4A79B-7B28-4D74-99C5-781337EFBF20}"/>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FE3AE5F2-69A5-486A-BF18-A0C372655CC1}"/>
    <cellStyle name="Comma 4 5 2 5 2 3" xfId="12659" xr:uid="{CFD2F5E5-798A-4C32-9673-F46D1E7C08FE}"/>
    <cellStyle name="Comma 4 5 2 5 3" xfId="6282" xr:uid="{00000000-0005-0000-0000-0000370A0000}"/>
    <cellStyle name="Comma 4 5 2 5 3 2" xfId="14732" xr:uid="{08224308-C6A3-44A2-8DA0-F9CB84C85602}"/>
    <cellStyle name="Comma 4 5 2 5 4" xfId="10514" xr:uid="{55456B21-613C-42C2-B73C-51057192EA14}"/>
    <cellStyle name="Comma 4 5 2 6" xfId="2411" xr:uid="{00000000-0005-0000-0000-0000380A0000}"/>
    <cellStyle name="Comma 4 5 2 6 2" xfId="6695" xr:uid="{00000000-0005-0000-0000-0000390A0000}"/>
    <cellStyle name="Comma 4 5 2 6 2 2" xfId="15145" xr:uid="{66806C26-45CD-413A-955F-DBCE599597D9}"/>
    <cellStyle name="Comma 4 5 2 6 3" xfId="10927" xr:uid="{E4A9788F-1A23-484C-8D74-72F1897FE0EF}"/>
    <cellStyle name="Comma 4 5 2 7" xfId="2707" xr:uid="{00000000-0005-0000-0000-00003A0A0000}"/>
    <cellStyle name="Comma 4 5 2 8" xfId="2789" xr:uid="{00000000-0005-0000-0000-00003B0A0000}"/>
    <cellStyle name="Comma 4 5 2 8 2" xfId="7012" xr:uid="{00000000-0005-0000-0000-00003C0A0000}"/>
    <cellStyle name="Comma 4 5 2 8 2 2" xfId="15462" xr:uid="{97A28AC3-73AB-4A5D-8381-6CBCB1909AB1}"/>
    <cellStyle name="Comma 4 5 2 8 3" xfId="11244" xr:uid="{0AC062D9-70D4-4B28-BCF5-37FD9B12EFE9}"/>
    <cellStyle name="Comma 4 5 2 9" xfId="4629" xr:uid="{00000000-0005-0000-0000-00003D0A0000}"/>
    <cellStyle name="Comma 4 5 2 9 2" xfId="13079" xr:uid="{E151E66F-2091-4E4B-AC5D-402491E08ACF}"/>
    <cellStyle name="Comma 4 5 3" xfId="694" xr:uid="{00000000-0005-0000-0000-00003E0A0000}"/>
    <cellStyle name="Comma 4 5 3 2" xfId="2965" xr:uid="{00000000-0005-0000-0000-00003F0A0000}"/>
    <cellStyle name="Comma 4 5 3 2 2" xfId="7187" xr:uid="{00000000-0005-0000-0000-0000400A0000}"/>
    <cellStyle name="Comma 4 5 3 2 2 2" xfId="15637" xr:uid="{602E4A26-A198-4D20-AA8B-E7F2A8C0C788}"/>
    <cellStyle name="Comma 4 5 3 2 3" xfId="11419" xr:uid="{5C9B338E-1DA5-4310-9660-E1C98318F4B1}"/>
    <cellStyle name="Comma 4 5 3 3" xfId="5042" xr:uid="{00000000-0005-0000-0000-0000410A0000}"/>
    <cellStyle name="Comma 4 5 3 3 2" xfId="13492" xr:uid="{C35C9E48-A292-450D-9951-4A187717B9FB}"/>
    <cellStyle name="Comma 4 5 3 4" xfId="17718" xr:uid="{52947FDF-BE59-4226-A462-A10EF054DC4A}"/>
    <cellStyle name="Comma 4 5 3 5" xfId="18550" xr:uid="{A796D284-1C9D-4C51-8367-34059D2477BD}"/>
    <cellStyle name="Comma 4 5 3 6" xfId="19379" xr:uid="{E09963E0-B5E7-4F9B-85A9-12E4E876595B}"/>
    <cellStyle name="Comma 4 5 3 7" xfId="9274" xr:uid="{6E24874B-C05E-4BAA-99C0-D9C12BCDB4FD}"/>
    <cellStyle name="Comma 4 5 4" xfId="1147" xr:uid="{00000000-0005-0000-0000-0000420A0000}"/>
    <cellStyle name="Comma 4 5 4 2" xfId="3378" xr:uid="{00000000-0005-0000-0000-0000430A0000}"/>
    <cellStyle name="Comma 4 5 4 2 2" xfId="7600" xr:uid="{00000000-0005-0000-0000-0000440A0000}"/>
    <cellStyle name="Comma 4 5 4 2 2 2" xfId="16050" xr:uid="{5B66A828-DD2B-458A-9F83-51F14599C351}"/>
    <cellStyle name="Comma 4 5 4 2 3" xfId="11832" xr:uid="{BFEA36CE-E9D6-48F0-B39A-BFEB38E59195}"/>
    <cellStyle name="Comma 4 5 4 3" xfId="5455" xr:uid="{00000000-0005-0000-0000-0000450A0000}"/>
    <cellStyle name="Comma 4 5 4 3 2" xfId="13905" xr:uid="{97C1CB18-0739-4165-84B8-782359975BCF}"/>
    <cellStyle name="Comma 4 5 4 4" xfId="9687" xr:uid="{81656175-86BC-4F05-86B2-135BE9092158}"/>
    <cellStyle name="Comma 4 5 5" xfId="1561" xr:uid="{00000000-0005-0000-0000-0000460A0000}"/>
    <cellStyle name="Comma 4 5 5 2" xfId="3791" xr:uid="{00000000-0005-0000-0000-0000470A0000}"/>
    <cellStyle name="Comma 4 5 5 2 2" xfId="8013" xr:uid="{00000000-0005-0000-0000-0000480A0000}"/>
    <cellStyle name="Comma 4 5 5 2 2 2" xfId="16463" xr:uid="{0400A844-D131-4231-A5D0-58A517FB3CB5}"/>
    <cellStyle name="Comma 4 5 5 2 3" xfId="12245" xr:uid="{E021CA92-EAFA-48FB-8EB5-0F6FB6D090DE}"/>
    <cellStyle name="Comma 4 5 5 3" xfId="5868" xr:uid="{00000000-0005-0000-0000-0000490A0000}"/>
    <cellStyle name="Comma 4 5 5 3 2" xfId="14318" xr:uid="{BA15312C-4C73-45F3-8D94-E121CAD84114}"/>
    <cellStyle name="Comma 4 5 5 4" xfId="10100" xr:uid="{872C2151-C878-469B-93D4-9E7E3CD6BD40}"/>
    <cellStyle name="Comma 4 5 6" xfId="1975" xr:uid="{00000000-0005-0000-0000-00004A0A0000}"/>
    <cellStyle name="Comma 4 5 6 2" xfId="4204" xr:uid="{00000000-0005-0000-0000-00004B0A0000}"/>
    <cellStyle name="Comma 4 5 6 2 2" xfId="8426" xr:uid="{00000000-0005-0000-0000-00004C0A0000}"/>
    <cellStyle name="Comma 4 5 6 2 2 2" xfId="16876" xr:uid="{EF738D4E-E515-4376-8915-2ED0E6229E80}"/>
    <cellStyle name="Comma 4 5 6 2 3" xfId="12658" xr:uid="{3B6A8465-730B-45D0-8A9D-5D2823E9C1A4}"/>
    <cellStyle name="Comma 4 5 6 3" xfId="6281" xr:uid="{00000000-0005-0000-0000-00004D0A0000}"/>
    <cellStyle name="Comma 4 5 6 3 2" xfId="14731" xr:uid="{22142728-E1D6-400B-B8BF-28F9223C88EC}"/>
    <cellStyle name="Comma 4 5 6 4" xfId="10513" xr:uid="{37878147-A317-48D3-8985-3D33FD9A10DC}"/>
    <cellStyle name="Comma 4 5 7" xfId="2410" xr:uid="{00000000-0005-0000-0000-00004E0A0000}"/>
    <cellStyle name="Comma 4 5 7 2" xfId="6694" xr:uid="{00000000-0005-0000-0000-00004F0A0000}"/>
    <cellStyle name="Comma 4 5 7 2 2" xfId="15144" xr:uid="{054AB00B-6861-4899-894A-4A1A858D8497}"/>
    <cellStyle name="Comma 4 5 7 3" xfId="10926" xr:uid="{F4D8E24E-C8D4-469F-B823-A378F785ADC2}"/>
    <cellStyle name="Comma 4 5 8" xfId="2706" xr:uid="{00000000-0005-0000-0000-0000500A0000}"/>
    <cellStyle name="Comma 4 5 9" xfId="2788" xr:uid="{00000000-0005-0000-0000-0000510A0000}"/>
    <cellStyle name="Comma 4 5 9 2" xfId="7011" xr:uid="{00000000-0005-0000-0000-0000520A0000}"/>
    <cellStyle name="Comma 4 5 9 2 2" xfId="15461" xr:uid="{781E9E87-1760-4CE1-A009-95E7698F8E28}"/>
    <cellStyle name="Comma 4 5 9 3" xfId="11243" xr:uid="{F552649E-A314-4579-9309-3A4CD94E9764}"/>
    <cellStyle name="Comma 4 6" xfId="159" xr:uid="{00000000-0005-0000-0000-0000530A0000}"/>
    <cellStyle name="Comma 4 6 10" xfId="17303" xr:uid="{74117D24-9597-4D46-B2E3-D6E6B0CDD179}"/>
    <cellStyle name="Comma 4 6 11" xfId="18136" xr:uid="{C88A2C18-EC72-476B-AE1E-F5ECB27BEDAC}"/>
    <cellStyle name="Comma 4 6 12" xfId="18965" xr:uid="{A0A5FE08-3F75-4E54-B6CB-1C65615A0B9B}"/>
    <cellStyle name="Comma 4 6 13" xfId="8862" xr:uid="{30F82073-7147-4C13-94B4-19FBA48CADCF}"/>
    <cellStyle name="Comma 4 6 2" xfId="696" xr:uid="{00000000-0005-0000-0000-0000540A0000}"/>
    <cellStyle name="Comma 4 6 2 2" xfId="2967" xr:uid="{00000000-0005-0000-0000-0000550A0000}"/>
    <cellStyle name="Comma 4 6 2 2 2" xfId="7189" xr:uid="{00000000-0005-0000-0000-0000560A0000}"/>
    <cellStyle name="Comma 4 6 2 2 2 2" xfId="15639" xr:uid="{257FB635-AAC9-4F4B-9C45-151258619E6C}"/>
    <cellStyle name="Comma 4 6 2 2 3" xfId="11421" xr:uid="{2F624CBD-B06B-44BB-A3B0-FC6536429B68}"/>
    <cellStyle name="Comma 4 6 2 3" xfId="5044" xr:uid="{00000000-0005-0000-0000-0000570A0000}"/>
    <cellStyle name="Comma 4 6 2 3 2" xfId="13494" xr:uid="{C1044D7C-2D3D-4ECA-9359-11019457A326}"/>
    <cellStyle name="Comma 4 6 2 4" xfId="17720" xr:uid="{1F01E10B-82AD-4A82-9247-585F722D370F}"/>
    <cellStyle name="Comma 4 6 2 5" xfId="18552" xr:uid="{527A56E6-B84B-4832-BD26-676380176944}"/>
    <cellStyle name="Comma 4 6 2 6" xfId="19381" xr:uid="{1C4D9DDE-5CB3-4B49-B75D-D2FD5E9FC019}"/>
    <cellStyle name="Comma 4 6 2 7" xfId="9276" xr:uid="{EBCB6E38-913D-42CA-9EEE-16B10B9341ED}"/>
    <cellStyle name="Comma 4 6 3" xfId="1149" xr:uid="{00000000-0005-0000-0000-0000580A0000}"/>
    <cellStyle name="Comma 4 6 3 2" xfId="3380" xr:uid="{00000000-0005-0000-0000-0000590A0000}"/>
    <cellStyle name="Comma 4 6 3 2 2" xfId="7602" xr:uid="{00000000-0005-0000-0000-00005A0A0000}"/>
    <cellStyle name="Comma 4 6 3 2 2 2" xfId="16052" xr:uid="{FFFFF5D2-4C9C-4CA9-B3CC-22E5778B90D9}"/>
    <cellStyle name="Comma 4 6 3 2 3" xfId="11834" xr:uid="{B12B643E-04C4-4CDF-A4C4-E603DFBAEA50}"/>
    <cellStyle name="Comma 4 6 3 3" xfId="5457" xr:uid="{00000000-0005-0000-0000-00005B0A0000}"/>
    <cellStyle name="Comma 4 6 3 3 2" xfId="13907" xr:uid="{5FB18E68-EBA1-4931-A6A4-536869BA105F}"/>
    <cellStyle name="Comma 4 6 3 4" xfId="9689" xr:uid="{C5E389C4-3DEA-4500-8CA2-B59BBABF3DBB}"/>
    <cellStyle name="Comma 4 6 4" xfId="1563" xr:uid="{00000000-0005-0000-0000-00005C0A0000}"/>
    <cellStyle name="Comma 4 6 4 2" xfId="3793" xr:uid="{00000000-0005-0000-0000-00005D0A0000}"/>
    <cellStyle name="Comma 4 6 4 2 2" xfId="8015" xr:uid="{00000000-0005-0000-0000-00005E0A0000}"/>
    <cellStyle name="Comma 4 6 4 2 2 2" xfId="16465" xr:uid="{3884167D-751C-427A-911C-67856B318E1A}"/>
    <cellStyle name="Comma 4 6 4 2 3" xfId="12247" xr:uid="{6953E1BB-A122-4E53-96BA-4428BB19BA3F}"/>
    <cellStyle name="Comma 4 6 4 3" xfId="5870" xr:uid="{00000000-0005-0000-0000-00005F0A0000}"/>
    <cellStyle name="Comma 4 6 4 3 2" xfId="14320" xr:uid="{635A7101-BB3F-47E2-B125-BF6D70BA7D1D}"/>
    <cellStyle name="Comma 4 6 4 4" xfId="10102" xr:uid="{84D7F0B7-BB3A-484D-A194-0C4F753FC495}"/>
    <cellStyle name="Comma 4 6 5" xfId="1977" xr:uid="{00000000-0005-0000-0000-0000600A0000}"/>
    <cellStyle name="Comma 4 6 5 2" xfId="4206" xr:uid="{00000000-0005-0000-0000-0000610A0000}"/>
    <cellStyle name="Comma 4 6 5 2 2" xfId="8428" xr:uid="{00000000-0005-0000-0000-0000620A0000}"/>
    <cellStyle name="Comma 4 6 5 2 2 2" xfId="16878" xr:uid="{3B5B5A3A-4E80-4392-A4BA-D1D71429E163}"/>
    <cellStyle name="Comma 4 6 5 2 3" xfId="12660" xr:uid="{FA02D1CB-4903-4EA6-8014-C54FD66052D5}"/>
    <cellStyle name="Comma 4 6 5 3" xfId="6283" xr:uid="{00000000-0005-0000-0000-0000630A0000}"/>
    <cellStyle name="Comma 4 6 5 3 2" xfId="14733" xr:uid="{99A31E77-6F4A-46A9-9886-9DFD05858FE0}"/>
    <cellStyle name="Comma 4 6 5 4" xfId="10515" xr:uid="{55805786-204C-4277-AF83-F38D55740333}"/>
    <cellStyle name="Comma 4 6 6" xfId="2412" xr:uid="{00000000-0005-0000-0000-0000640A0000}"/>
    <cellStyle name="Comma 4 6 6 2" xfId="6696" xr:uid="{00000000-0005-0000-0000-0000650A0000}"/>
    <cellStyle name="Comma 4 6 6 2 2" xfId="15146" xr:uid="{D38A3877-BFDB-45C8-BE82-9EA55AD4B19A}"/>
    <cellStyle name="Comma 4 6 6 3" xfId="10928" xr:uid="{E89E2089-8AB3-49FE-95E9-D9C75F23AB37}"/>
    <cellStyle name="Comma 4 6 7" xfId="2708" xr:uid="{00000000-0005-0000-0000-0000660A0000}"/>
    <cellStyle name="Comma 4 6 8" xfId="2790" xr:uid="{00000000-0005-0000-0000-0000670A0000}"/>
    <cellStyle name="Comma 4 6 8 2" xfId="7013" xr:uid="{00000000-0005-0000-0000-0000680A0000}"/>
    <cellStyle name="Comma 4 6 8 2 2" xfId="15463" xr:uid="{A3271EE6-46BE-460A-AF51-A4496C53BD9E}"/>
    <cellStyle name="Comma 4 6 8 3" xfId="11245" xr:uid="{32905445-45ED-45FE-9612-79AF3AB27F3B}"/>
    <cellStyle name="Comma 4 6 9" xfId="4630" xr:uid="{00000000-0005-0000-0000-0000690A0000}"/>
    <cellStyle name="Comma 4 6 9 2" xfId="13080" xr:uid="{C7BCC4A9-8B19-49BE-8377-44CD210250F0}"/>
    <cellStyle name="Comma 4 7" xfId="160" xr:uid="{00000000-0005-0000-0000-00006A0A0000}"/>
    <cellStyle name="Comma 4 7 10" xfId="17304" xr:uid="{57FF0141-4808-4E0B-B843-58639B5A77F6}"/>
    <cellStyle name="Comma 4 7 11" xfId="18137" xr:uid="{50C99D39-2403-4793-A351-BA2F78A1D902}"/>
    <cellStyle name="Comma 4 7 12" xfId="18966" xr:uid="{638A2406-F0F3-4B76-86AC-2592C6FE59BE}"/>
    <cellStyle name="Comma 4 7 13" xfId="8863" xr:uid="{69F3F99E-0E42-490E-9AEE-2EA3B098F3DF}"/>
    <cellStyle name="Comma 4 7 2" xfId="697" xr:uid="{00000000-0005-0000-0000-00006B0A0000}"/>
    <cellStyle name="Comma 4 7 2 2" xfId="2968" xr:uid="{00000000-0005-0000-0000-00006C0A0000}"/>
    <cellStyle name="Comma 4 7 2 2 2" xfId="7190" xr:uid="{00000000-0005-0000-0000-00006D0A0000}"/>
    <cellStyle name="Comma 4 7 2 2 2 2" xfId="15640" xr:uid="{AEB87724-E34A-48A3-B19F-4115EDD58C54}"/>
    <cellStyle name="Comma 4 7 2 2 3" xfId="11422" xr:uid="{784E0A10-6ACD-4EEF-B740-D6B26F603D84}"/>
    <cellStyle name="Comma 4 7 2 3" xfId="5045" xr:uid="{00000000-0005-0000-0000-00006E0A0000}"/>
    <cellStyle name="Comma 4 7 2 3 2" xfId="13495" xr:uid="{909964DF-DA54-4B03-9CF3-EC6DC857EF37}"/>
    <cellStyle name="Comma 4 7 2 4" xfId="17721" xr:uid="{411A89C5-F732-49F7-8B70-F786FF11A68B}"/>
    <cellStyle name="Comma 4 7 2 5" xfId="18553" xr:uid="{9DB6F683-C456-44E7-A0E9-CFB43755F5C1}"/>
    <cellStyle name="Comma 4 7 2 6" xfId="19382" xr:uid="{BFEA0ED9-B1D0-4969-8D8C-E7B7FF8B5E4F}"/>
    <cellStyle name="Comma 4 7 2 7" xfId="9277" xr:uid="{87868B97-E56E-4EF3-A50B-A6986C2462E5}"/>
    <cellStyle name="Comma 4 7 3" xfId="1150" xr:uid="{00000000-0005-0000-0000-00006F0A0000}"/>
    <cellStyle name="Comma 4 7 3 2" xfId="3381" xr:uid="{00000000-0005-0000-0000-0000700A0000}"/>
    <cellStyle name="Comma 4 7 3 2 2" xfId="7603" xr:uid="{00000000-0005-0000-0000-0000710A0000}"/>
    <cellStyle name="Comma 4 7 3 2 2 2" xfId="16053" xr:uid="{4DFE10CB-6AA2-4244-92B1-539ACE21869B}"/>
    <cellStyle name="Comma 4 7 3 2 3" xfId="11835" xr:uid="{B2018390-D926-4A1D-98F9-A76569FDAC9F}"/>
    <cellStyle name="Comma 4 7 3 3" xfId="5458" xr:uid="{00000000-0005-0000-0000-0000720A0000}"/>
    <cellStyle name="Comma 4 7 3 3 2" xfId="13908" xr:uid="{05C8800C-D939-4372-8934-EA08279741FC}"/>
    <cellStyle name="Comma 4 7 3 4" xfId="9690" xr:uid="{16B5FAC3-E241-4DAD-A5B8-3AD09E7DDEE6}"/>
    <cellStyle name="Comma 4 7 4" xfId="1564" xr:uid="{00000000-0005-0000-0000-0000730A0000}"/>
    <cellStyle name="Comma 4 7 4 2" xfId="3794" xr:uid="{00000000-0005-0000-0000-0000740A0000}"/>
    <cellStyle name="Comma 4 7 4 2 2" xfId="8016" xr:uid="{00000000-0005-0000-0000-0000750A0000}"/>
    <cellStyle name="Comma 4 7 4 2 2 2" xfId="16466" xr:uid="{F1E55230-4FD8-420F-B5D0-7BB78E148B7A}"/>
    <cellStyle name="Comma 4 7 4 2 3" xfId="12248" xr:uid="{816BF511-DB6E-48A8-8E99-0986ACB49D32}"/>
    <cellStyle name="Comma 4 7 4 3" xfId="5871" xr:uid="{00000000-0005-0000-0000-0000760A0000}"/>
    <cellStyle name="Comma 4 7 4 3 2" xfId="14321" xr:uid="{E2E50880-1D34-4275-A7B9-4A8B35BEC2BB}"/>
    <cellStyle name="Comma 4 7 4 4" xfId="10103" xr:uid="{D4064EB7-3A76-4B33-A6C8-1D695EE2D121}"/>
    <cellStyle name="Comma 4 7 5" xfId="1978" xr:uid="{00000000-0005-0000-0000-0000770A0000}"/>
    <cellStyle name="Comma 4 7 5 2" xfId="4207" xr:uid="{00000000-0005-0000-0000-0000780A0000}"/>
    <cellStyle name="Comma 4 7 5 2 2" xfId="8429" xr:uid="{00000000-0005-0000-0000-0000790A0000}"/>
    <cellStyle name="Comma 4 7 5 2 2 2" xfId="16879" xr:uid="{F8E82396-F152-499F-BE7A-24F184EBB39E}"/>
    <cellStyle name="Comma 4 7 5 2 3" xfId="12661" xr:uid="{8C73DBE7-E177-4AF9-A6ED-F62B33561804}"/>
    <cellStyle name="Comma 4 7 5 3" xfId="6284" xr:uid="{00000000-0005-0000-0000-00007A0A0000}"/>
    <cellStyle name="Comma 4 7 5 3 2" xfId="14734" xr:uid="{CEB45E45-C213-4974-8B0B-9D58F870EED8}"/>
    <cellStyle name="Comma 4 7 5 4" xfId="10516" xr:uid="{52E3E33F-8062-41F2-8B7B-85B7DE8FB8E2}"/>
    <cellStyle name="Comma 4 7 6" xfId="2413" xr:uid="{00000000-0005-0000-0000-00007B0A0000}"/>
    <cellStyle name="Comma 4 7 6 2" xfId="6697" xr:uid="{00000000-0005-0000-0000-00007C0A0000}"/>
    <cellStyle name="Comma 4 7 6 2 2" xfId="15147" xr:uid="{656BEE3D-344F-4E7C-A53C-75301B0F3C76}"/>
    <cellStyle name="Comma 4 7 6 3" xfId="10929" xr:uid="{3E50118F-05BC-4683-B89F-1A61ADA6C012}"/>
    <cellStyle name="Comma 4 7 7" xfId="2709" xr:uid="{00000000-0005-0000-0000-00007D0A0000}"/>
    <cellStyle name="Comma 4 7 8" xfId="2791" xr:uid="{00000000-0005-0000-0000-00007E0A0000}"/>
    <cellStyle name="Comma 4 7 8 2" xfId="7014" xr:uid="{00000000-0005-0000-0000-00007F0A0000}"/>
    <cellStyle name="Comma 4 7 8 2 2" xfId="15464" xr:uid="{1630153B-D1C0-451C-A3CC-F0067C3460D4}"/>
    <cellStyle name="Comma 4 7 8 3" xfId="11246" xr:uid="{0ED09005-9C6F-433C-8094-FD6CD12357F1}"/>
    <cellStyle name="Comma 4 7 9" xfId="4631" xr:uid="{00000000-0005-0000-0000-0000800A0000}"/>
    <cellStyle name="Comma 4 7 9 2" xfId="13081" xr:uid="{6E663695-9B04-407C-BDE3-226C700EE264}"/>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7592" xr:uid="{6409431F-6F29-4D64-9213-0446D1EF1487}"/>
    <cellStyle name="Comma 7 3" xfId="18424" xr:uid="{E5053D23-3777-4BF3-A955-D64B05F144A4}"/>
    <cellStyle name="Comma 7 4" xfId="19253" xr:uid="{DA9A37E2-5FFC-4CC9-AC02-C22D8F5929FD}"/>
    <cellStyle name="Comma 7 5" xfId="12949" xr:uid="{B7905994-7E35-4EB2-8D0F-8B604B0AA396}"/>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C32A94F7-A341-46C4-AA09-F99B2B0844B1}"/>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3" xfId="17175" xr:uid="{4EEEA60E-B733-4F84-9BA1-D562B79D6BCB}"/>
    <cellStyle name="Currency 14 3 2 3" xfId="17172" xr:uid="{D612A325-3BF1-47FE-8C68-271A1F1B1C78}"/>
    <cellStyle name="Currency 14 3 3" xfId="17169" xr:uid="{0B1B143D-8086-4E5E-B67E-4CD7A43C7DD2}"/>
    <cellStyle name="Currency 14 4" xfId="12952" xr:uid="{5144E957-D96A-433B-9DF8-D4C0614C62AB}"/>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2781F380-E2A5-4F46-8025-DF09AE2128F8}"/>
    <cellStyle name="Currency 3 2 2 10 3" xfId="11247" xr:uid="{16DAFECE-7539-468E-98C3-D5C86EA33B87}"/>
    <cellStyle name="Currency 3 2 2 11" xfId="4632" xr:uid="{00000000-0005-0000-0000-0000A50A0000}"/>
    <cellStyle name="Currency 3 2 2 11 2" xfId="13082" xr:uid="{8BF5BE49-AD81-41F3-BACB-405365EEDB22}"/>
    <cellStyle name="Currency 3 2 2 12" xfId="17305" xr:uid="{FBE58E9B-057F-4131-A548-D88A99A2DBE0}"/>
    <cellStyle name="Currency 3 2 2 13" xfId="18138" xr:uid="{BD297F08-A2DF-4E18-A6CF-E78DACC94647}"/>
    <cellStyle name="Currency 3 2 2 14" xfId="18967" xr:uid="{56EB4C93-8BF6-4FC0-B733-4845672F2A7B}"/>
    <cellStyle name="Currency 3 2 2 15" xfId="8864" xr:uid="{67D7086F-EC2B-4E4B-8DBE-5A29DEB32DAA}"/>
    <cellStyle name="Currency 3 2 2 2" xfId="179" xr:uid="{00000000-0005-0000-0000-0000A60A0000}"/>
    <cellStyle name="Currency 3 2 2 2 10" xfId="4633" xr:uid="{00000000-0005-0000-0000-0000A70A0000}"/>
    <cellStyle name="Currency 3 2 2 2 10 2" xfId="13083" xr:uid="{B15D7F0E-DBDD-4F74-8277-E005FC7A19C1}"/>
    <cellStyle name="Currency 3 2 2 2 11" xfId="17306" xr:uid="{EB43BDD5-BDF1-4835-A3B3-B3E574C665E0}"/>
    <cellStyle name="Currency 3 2 2 2 12" xfId="18139" xr:uid="{F86B7734-39F6-458F-A92C-D0F9578E0A74}"/>
    <cellStyle name="Currency 3 2 2 2 13" xfId="18968" xr:uid="{E2E23903-CF13-4874-91C5-A1610EEE1B6B}"/>
    <cellStyle name="Currency 3 2 2 2 14" xfId="8865" xr:uid="{7BF998FA-2090-4EE5-BD79-7163EFB438AE}"/>
    <cellStyle name="Currency 3 2 2 2 2" xfId="180" xr:uid="{00000000-0005-0000-0000-0000A80A0000}"/>
    <cellStyle name="Currency 3 2 2 2 2 10" xfId="17307" xr:uid="{3CE8FF7C-EB5D-497B-AAB3-C53E7B1D51A7}"/>
    <cellStyle name="Currency 3 2 2 2 2 11" xfId="18140" xr:uid="{B3F6F1FE-5016-4AB0-BBB5-696CE8922E5F}"/>
    <cellStyle name="Currency 3 2 2 2 2 12" xfId="18969" xr:uid="{C64D7649-F6C2-4971-9C5B-4D40D4575061}"/>
    <cellStyle name="Currency 3 2 2 2 2 13" xfId="8866" xr:uid="{7061281A-77B7-4916-8752-650A0C550932}"/>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CBAF92A4-8EBE-438A-9497-13F91EB3240D}"/>
    <cellStyle name="Currency 3 2 2 2 2 2 2 3" xfId="11425" xr:uid="{3E63038D-8897-44AC-9811-8D11DA917EB7}"/>
    <cellStyle name="Currency 3 2 2 2 2 2 3" xfId="5048" xr:uid="{00000000-0005-0000-0000-0000AC0A0000}"/>
    <cellStyle name="Currency 3 2 2 2 2 2 3 2" xfId="13498" xr:uid="{FA050F63-76F9-41D1-A032-7473CABFC8C4}"/>
    <cellStyle name="Currency 3 2 2 2 2 2 4" xfId="17724" xr:uid="{5B7EFDF0-35A1-48D7-BD8F-5258DEB2664B}"/>
    <cellStyle name="Currency 3 2 2 2 2 2 5" xfId="18556" xr:uid="{EB259EFE-9378-4DEB-BFF0-5DAB42DDC5E7}"/>
    <cellStyle name="Currency 3 2 2 2 2 2 6" xfId="19385" xr:uid="{FC677B82-75C2-4DFE-BD25-B8DCF924F4B1}"/>
    <cellStyle name="Currency 3 2 2 2 2 2 7" xfId="9280" xr:uid="{694E9ABF-AFAB-47E0-8FA2-98D486C65ADF}"/>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2E9D7D37-0687-4C44-B8E6-3928FC2F6D65}"/>
    <cellStyle name="Currency 3 2 2 2 2 3 2 3" xfId="11838" xr:uid="{B78C577D-45D5-4A80-BE05-5DA7045958EC}"/>
    <cellStyle name="Currency 3 2 2 2 2 3 3" xfId="5461" xr:uid="{00000000-0005-0000-0000-0000B00A0000}"/>
    <cellStyle name="Currency 3 2 2 2 2 3 3 2" xfId="13911" xr:uid="{729A3EF4-3663-42A3-B0F1-C9194807F07F}"/>
    <cellStyle name="Currency 3 2 2 2 2 3 4" xfId="9693" xr:uid="{427AF224-D202-4D8F-AB64-7DB8F6D20033}"/>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49B853AF-4494-4E17-BDA1-8FCA7A90B9CE}"/>
    <cellStyle name="Currency 3 2 2 2 2 4 2 3" xfId="12251" xr:uid="{C645A469-6683-4A3A-9BC9-31F63ACE584C}"/>
    <cellStyle name="Currency 3 2 2 2 2 4 3" xfId="5874" xr:uid="{00000000-0005-0000-0000-0000B40A0000}"/>
    <cellStyle name="Currency 3 2 2 2 2 4 3 2" xfId="14324" xr:uid="{0E6EDB07-7836-49C9-9840-A92757CA401C}"/>
    <cellStyle name="Currency 3 2 2 2 2 4 4" xfId="10106" xr:uid="{BEEFAE30-AA4C-4076-B1C5-64B0751F06C1}"/>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AA1A7C75-284A-43A5-B691-2FC025736EB6}"/>
    <cellStyle name="Currency 3 2 2 2 2 5 2 3" xfId="12664" xr:uid="{CEC3EC70-D2CB-44C9-A6B8-2218C70724CE}"/>
    <cellStyle name="Currency 3 2 2 2 2 5 3" xfId="6287" xr:uid="{00000000-0005-0000-0000-0000B80A0000}"/>
    <cellStyle name="Currency 3 2 2 2 2 5 3 2" xfId="14737" xr:uid="{48C7C4D7-EB2C-47A7-A90D-83E47416FFCF}"/>
    <cellStyle name="Currency 3 2 2 2 2 5 4" xfId="10519" xr:uid="{730521C5-6FC2-4C66-9E7C-1828F396D557}"/>
    <cellStyle name="Currency 3 2 2 2 2 6" xfId="2416" xr:uid="{00000000-0005-0000-0000-0000B90A0000}"/>
    <cellStyle name="Currency 3 2 2 2 2 6 2" xfId="6700" xr:uid="{00000000-0005-0000-0000-0000BA0A0000}"/>
    <cellStyle name="Currency 3 2 2 2 2 6 2 2" xfId="15150" xr:uid="{2488E825-BCED-4492-9DF1-320419C1A6A0}"/>
    <cellStyle name="Currency 3 2 2 2 2 6 3" xfId="10932" xr:uid="{C9411AD2-50F4-4F44-B8C9-6896ED346782}"/>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13A0B3D2-0B9D-40F5-AC53-79A1EF7EF12E}"/>
    <cellStyle name="Currency 3 2 2 2 2 8 3" xfId="11249" xr:uid="{3FFD2C5A-FAFE-48C2-90B6-033675871D7C}"/>
    <cellStyle name="Currency 3 2 2 2 2 9" xfId="4634" xr:uid="{00000000-0005-0000-0000-0000BE0A0000}"/>
    <cellStyle name="Currency 3 2 2 2 2 9 2" xfId="13084" xr:uid="{E1EFAD03-88B0-449B-B898-38DE713FE3A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E51C86D6-27EF-47AC-8B96-17A3527AAF07}"/>
    <cellStyle name="Currency 3 2 2 2 3 2 3" xfId="11424" xr:uid="{DBB3417D-6A6D-413B-ABC1-42CEAB681F62}"/>
    <cellStyle name="Currency 3 2 2 2 3 3" xfId="5047" xr:uid="{00000000-0005-0000-0000-0000C20A0000}"/>
    <cellStyle name="Currency 3 2 2 2 3 3 2" xfId="13497" xr:uid="{F85EF0EB-E568-4DE3-B2A1-AE3E81B6A36B}"/>
    <cellStyle name="Currency 3 2 2 2 3 4" xfId="17723" xr:uid="{C8B3FA6F-D274-48A6-B485-7F8ED865175F}"/>
    <cellStyle name="Currency 3 2 2 2 3 5" xfId="18555" xr:uid="{2FE14990-FFCE-46AD-9BBE-A5D785FEB40C}"/>
    <cellStyle name="Currency 3 2 2 2 3 6" xfId="19384" xr:uid="{3027803D-FECA-4B20-93B0-A9037F6C1688}"/>
    <cellStyle name="Currency 3 2 2 2 3 7" xfId="9279" xr:uid="{12CF5983-B971-4820-9984-11484461F459}"/>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9137AFE7-446F-4433-9C85-BF6A7A2C4173}"/>
    <cellStyle name="Currency 3 2 2 2 4 2 3" xfId="11837" xr:uid="{BF3A1CA2-C316-4718-AC9E-38590B228554}"/>
    <cellStyle name="Currency 3 2 2 2 4 3" xfId="5460" xr:uid="{00000000-0005-0000-0000-0000C60A0000}"/>
    <cellStyle name="Currency 3 2 2 2 4 3 2" xfId="13910" xr:uid="{3295F6DC-7A80-4688-A00B-7B37C50A59A2}"/>
    <cellStyle name="Currency 3 2 2 2 4 4" xfId="9692" xr:uid="{601184E5-2654-4004-8CE2-1875B16603C3}"/>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9ED34943-0849-4AB3-8549-12709D11E5AF}"/>
    <cellStyle name="Currency 3 2 2 2 5 2 3" xfId="12250" xr:uid="{9CBC8B29-BBA9-4118-8E0C-37FABE9CFBF7}"/>
    <cellStyle name="Currency 3 2 2 2 5 3" xfId="5873" xr:uid="{00000000-0005-0000-0000-0000CA0A0000}"/>
    <cellStyle name="Currency 3 2 2 2 5 3 2" xfId="14323" xr:uid="{C8ED35A4-BD45-4C03-936E-DB56DAD0D288}"/>
    <cellStyle name="Currency 3 2 2 2 5 4" xfId="10105" xr:uid="{E88F6A46-C00F-45FA-85E5-FE4ACCF5BDDB}"/>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FD917AD4-999D-45C3-80C8-043EAC032973}"/>
    <cellStyle name="Currency 3 2 2 2 6 2 3" xfId="12663" xr:uid="{7CD98826-B19C-455B-A8A5-5D3E35E51A97}"/>
    <cellStyle name="Currency 3 2 2 2 6 3" xfId="6286" xr:uid="{00000000-0005-0000-0000-0000CE0A0000}"/>
    <cellStyle name="Currency 3 2 2 2 6 3 2" xfId="14736" xr:uid="{EDB1C131-AED1-47E8-A16A-CD4129B8792A}"/>
    <cellStyle name="Currency 3 2 2 2 6 4" xfId="10518" xr:uid="{445D3AD0-E8D9-42DE-8A0F-E03397BCFDE1}"/>
    <cellStyle name="Currency 3 2 2 2 7" xfId="2415" xr:uid="{00000000-0005-0000-0000-0000CF0A0000}"/>
    <cellStyle name="Currency 3 2 2 2 7 2" xfId="6699" xr:uid="{00000000-0005-0000-0000-0000D00A0000}"/>
    <cellStyle name="Currency 3 2 2 2 7 2 2" xfId="15149" xr:uid="{023EAED8-B422-441A-9FFE-27C59C309F9D}"/>
    <cellStyle name="Currency 3 2 2 2 7 3" xfId="10931" xr:uid="{48AF1133-EADC-4658-88A5-90C568D73566}"/>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F6754A47-EA85-409A-9230-85D96C9BE2FC}"/>
    <cellStyle name="Currency 3 2 2 2 9 3" xfId="11248" xr:uid="{DFC1FC97-B99D-41D1-A68A-EA882997D016}"/>
    <cellStyle name="Currency 3 2 2 3" xfId="181" xr:uid="{00000000-0005-0000-0000-0000D40A0000}"/>
    <cellStyle name="Currency 3 2 2 3 10" xfId="17308" xr:uid="{192E71F2-E8E1-4F65-9ECA-621FB11CFBD4}"/>
    <cellStyle name="Currency 3 2 2 3 11" xfId="18141" xr:uid="{183D14E2-8ABC-4BFE-8981-E6830F282AF4}"/>
    <cellStyle name="Currency 3 2 2 3 12" xfId="18970" xr:uid="{BAC1D853-E72A-417F-833D-44B9735573EC}"/>
    <cellStyle name="Currency 3 2 2 3 13" xfId="8867" xr:uid="{DF2BC39E-D367-43C5-BAC5-1C9C5642013A}"/>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ACCEF51F-2FFA-4AC1-A7A7-8B176713EF2A}"/>
    <cellStyle name="Currency 3 2 2 3 2 2 3" xfId="11426" xr:uid="{303FF3B8-0AAF-4075-B779-489CE3CB0369}"/>
    <cellStyle name="Currency 3 2 2 3 2 3" xfId="5049" xr:uid="{00000000-0005-0000-0000-0000D80A0000}"/>
    <cellStyle name="Currency 3 2 2 3 2 3 2" xfId="13499" xr:uid="{8AE8C6C2-4090-4CE5-BC49-B6807A9D4C73}"/>
    <cellStyle name="Currency 3 2 2 3 2 4" xfId="17725" xr:uid="{4FC44B01-B0F3-41EC-BF42-58F09680A090}"/>
    <cellStyle name="Currency 3 2 2 3 2 5" xfId="18557" xr:uid="{7FE2F06D-0898-46B7-B938-F1EFA9FBC85B}"/>
    <cellStyle name="Currency 3 2 2 3 2 6" xfId="19386" xr:uid="{DB2B76EB-07F2-4571-9703-262281640A97}"/>
    <cellStyle name="Currency 3 2 2 3 2 7" xfId="9281" xr:uid="{0CC31B49-2E37-436E-AFF3-C8877656CCAB}"/>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A183DD41-341E-4A1B-A241-EFC6D80721BF}"/>
    <cellStyle name="Currency 3 2 2 3 3 2 3" xfId="11839" xr:uid="{87B9556B-2F9D-42A2-BE44-0EFCB84D7461}"/>
    <cellStyle name="Currency 3 2 2 3 3 3" xfId="5462" xr:uid="{00000000-0005-0000-0000-0000DC0A0000}"/>
    <cellStyle name="Currency 3 2 2 3 3 3 2" xfId="13912" xr:uid="{2D17DA95-01E8-4DC4-8712-E7DC69ED66F3}"/>
    <cellStyle name="Currency 3 2 2 3 3 4" xfId="9694" xr:uid="{B0286A91-92E1-4E49-BA5C-3AB4DB290564}"/>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B55E4C58-3A02-408A-AEE9-424EDEB11E05}"/>
    <cellStyle name="Currency 3 2 2 3 4 2 3" xfId="12252" xr:uid="{49C81DD2-B346-41A0-972F-B8876EAD8E9E}"/>
    <cellStyle name="Currency 3 2 2 3 4 3" xfId="5875" xr:uid="{00000000-0005-0000-0000-0000E00A0000}"/>
    <cellStyle name="Currency 3 2 2 3 4 3 2" xfId="14325" xr:uid="{3DE51A87-04F5-410D-B1D3-87E112AAF0C6}"/>
    <cellStyle name="Currency 3 2 2 3 4 4" xfId="10107" xr:uid="{1CDD2655-13A8-41BE-A28E-82FD7D81CCE8}"/>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AFC853C7-5538-45F4-B92A-1B1AC34ED41C}"/>
    <cellStyle name="Currency 3 2 2 3 5 2 3" xfId="12665" xr:uid="{F9D31931-4B0C-4EAD-A1DD-E9E2650C3785}"/>
    <cellStyle name="Currency 3 2 2 3 5 3" xfId="6288" xr:uid="{00000000-0005-0000-0000-0000E40A0000}"/>
    <cellStyle name="Currency 3 2 2 3 5 3 2" xfId="14738" xr:uid="{790638D5-C6AA-455A-AE1D-ABEF74B26EAF}"/>
    <cellStyle name="Currency 3 2 2 3 5 4" xfId="10520" xr:uid="{6DDE671A-DE79-48E3-BB44-8773B4F7B069}"/>
    <cellStyle name="Currency 3 2 2 3 6" xfId="2417" xr:uid="{00000000-0005-0000-0000-0000E50A0000}"/>
    <cellStyle name="Currency 3 2 2 3 6 2" xfId="6701" xr:uid="{00000000-0005-0000-0000-0000E60A0000}"/>
    <cellStyle name="Currency 3 2 2 3 6 2 2" xfId="15151" xr:uid="{B7322589-1586-452A-B448-83488D0D100C}"/>
    <cellStyle name="Currency 3 2 2 3 6 3" xfId="10933" xr:uid="{629FBBB7-7D28-490D-9ADC-E1B4050F20AB}"/>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6F42E6B0-5559-4B79-88D8-951A9F701695}"/>
    <cellStyle name="Currency 3 2 2 3 8 3" xfId="11250" xr:uid="{95D8DB38-8F27-4A1A-A2D0-AB274DC18ED3}"/>
    <cellStyle name="Currency 3 2 2 3 9" xfId="4635" xr:uid="{00000000-0005-0000-0000-0000EA0A0000}"/>
    <cellStyle name="Currency 3 2 2 3 9 2" xfId="13085" xr:uid="{A66CBBBB-4678-4341-AE50-8A2D0E8A076A}"/>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D0191B63-9722-41E5-ADEB-8ECFF7C0233E}"/>
    <cellStyle name="Currency 3 2 2 4 2 3" xfId="11423" xr:uid="{65932B68-46A5-45C4-BC05-C921A81C7526}"/>
    <cellStyle name="Currency 3 2 2 4 3" xfId="5046" xr:uid="{00000000-0005-0000-0000-0000EE0A0000}"/>
    <cellStyle name="Currency 3 2 2 4 3 2" xfId="13496" xr:uid="{221FF39E-DC2C-4811-8FE6-1AFFB0439B8E}"/>
    <cellStyle name="Currency 3 2 2 4 4" xfId="17722" xr:uid="{8B68AED7-9A15-4C52-B103-58417C74D8EB}"/>
    <cellStyle name="Currency 3 2 2 4 5" xfId="18554" xr:uid="{7ECCB5A3-6D56-4011-8C92-F9FCB2FD41E0}"/>
    <cellStyle name="Currency 3 2 2 4 6" xfId="19383" xr:uid="{37EAA0D9-1873-43F3-B215-50F8BD6FA9DA}"/>
    <cellStyle name="Currency 3 2 2 4 7" xfId="9278" xr:uid="{A2B52278-2AC7-4BC6-8F54-F98D738536BA}"/>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47F95E28-3DF1-465D-963B-441B61485DE9}"/>
    <cellStyle name="Currency 3 2 2 5 2 3" xfId="11836" xr:uid="{FE678BB4-DE4E-4010-B289-CD7E6B7D4386}"/>
    <cellStyle name="Currency 3 2 2 5 3" xfId="5459" xr:uid="{00000000-0005-0000-0000-0000F20A0000}"/>
    <cellStyle name="Currency 3 2 2 5 3 2" xfId="13909" xr:uid="{7942ED7F-18F9-45F9-A232-CDA72FB7244B}"/>
    <cellStyle name="Currency 3 2 2 5 4" xfId="9691" xr:uid="{118359DA-8101-49E4-9B2B-095C01C482B6}"/>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38E9D29E-F672-4FB9-9FBB-7E7400716840}"/>
    <cellStyle name="Currency 3 2 2 6 2 3" xfId="12249" xr:uid="{756D226B-A94B-4B61-9AE6-C79A132498D8}"/>
    <cellStyle name="Currency 3 2 2 6 3" xfId="5872" xr:uid="{00000000-0005-0000-0000-0000F60A0000}"/>
    <cellStyle name="Currency 3 2 2 6 3 2" xfId="14322" xr:uid="{6DB9D9E1-1433-429C-A4CB-6E468722E422}"/>
    <cellStyle name="Currency 3 2 2 6 4" xfId="10104" xr:uid="{61B7E5A1-8AF4-4173-A1C7-9C374499334B}"/>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2D8B24FD-31FE-4156-8675-D95BDE9377AC}"/>
    <cellStyle name="Currency 3 2 2 7 2 3" xfId="12662" xr:uid="{1D51FC1F-E469-4342-9552-239DEF98E26E}"/>
    <cellStyle name="Currency 3 2 2 7 3" xfId="6285" xr:uid="{00000000-0005-0000-0000-0000FA0A0000}"/>
    <cellStyle name="Currency 3 2 2 7 3 2" xfId="14735" xr:uid="{67929192-D0A9-4473-9094-F9BBC6F3A455}"/>
    <cellStyle name="Currency 3 2 2 7 4" xfId="10517" xr:uid="{9A494A10-EAE3-4A01-8191-7C9ECBA0C2CF}"/>
    <cellStyle name="Currency 3 2 2 8" xfId="2414" xr:uid="{00000000-0005-0000-0000-0000FB0A0000}"/>
    <cellStyle name="Currency 3 2 2 8 2" xfId="6698" xr:uid="{00000000-0005-0000-0000-0000FC0A0000}"/>
    <cellStyle name="Currency 3 2 2 8 2 2" xfId="15148" xr:uid="{C8C2FE2B-B3B3-4654-8848-F953747ACE43}"/>
    <cellStyle name="Currency 3 2 2 8 3" xfId="10930" xr:uid="{1DF8BB3F-AE58-4B42-9EB3-D81C62F4792E}"/>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85E2D1AD-A61A-4E81-80E2-EA65E371657A}"/>
    <cellStyle name="Currency 3 2 3 11" xfId="17309" xr:uid="{3777163F-140E-405E-8FBC-1E71DE1861B6}"/>
    <cellStyle name="Currency 3 2 3 12" xfId="18142" xr:uid="{DA5DCE2F-9500-4A10-992A-355FC345FB2C}"/>
    <cellStyle name="Currency 3 2 3 13" xfId="18971" xr:uid="{9198E475-A0BE-4891-AC44-74CB4A2AAEB0}"/>
    <cellStyle name="Currency 3 2 3 14" xfId="8868" xr:uid="{29BBC7A4-BA70-4AEB-BA36-9EDF6B2A4A81}"/>
    <cellStyle name="Currency 3 2 3 2" xfId="183" xr:uid="{00000000-0005-0000-0000-0000000B0000}"/>
    <cellStyle name="Currency 3 2 3 2 10" xfId="17310" xr:uid="{A93A2F78-9BF2-4DB2-BECC-4C5BD2194D05}"/>
    <cellStyle name="Currency 3 2 3 2 11" xfId="18143" xr:uid="{5F13FF28-DF6E-4131-B012-71B42E0DCF8F}"/>
    <cellStyle name="Currency 3 2 3 2 12" xfId="18972" xr:uid="{41776665-298F-40C9-8034-2724E4BCB03F}"/>
    <cellStyle name="Currency 3 2 3 2 13" xfId="8869" xr:uid="{C6CE9219-4FE4-4832-9CF4-A996838C42AA}"/>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CF5F6638-506B-4CBA-999B-5EB20CC77633}"/>
    <cellStyle name="Currency 3 2 3 2 2 2 3" xfId="11428" xr:uid="{65F22609-0DDB-4CAF-BBD1-F6BCE1D65C1D}"/>
    <cellStyle name="Currency 3 2 3 2 2 3" xfId="5051" xr:uid="{00000000-0005-0000-0000-0000040B0000}"/>
    <cellStyle name="Currency 3 2 3 2 2 3 2" xfId="13501" xr:uid="{D4423EB2-221B-4A91-8428-1E9764479F4F}"/>
    <cellStyle name="Currency 3 2 3 2 2 4" xfId="17727" xr:uid="{DB3EC6A3-CED7-46F0-A644-915BEBB649DA}"/>
    <cellStyle name="Currency 3 2 3 2 2 5" xfId="18559" xr:uid="{B5CA18C1-BDB3-408C-99DF-48D10D7DA1B9}"/>
    <cellStyle name="Currency 3 2 3 2 2 6" xfId="19388" xr:uid="{E364568D-0B97-41A9-B775-335F193FE737}"/>
    <cellStyle name="Currency 3 2 3 2 2 7" xfId="9283" xr:uid="{A2D578ED-8586-4A35-B99A-B6B4177F26D5}"/>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74761AC3-7F6C-4A82-A022-81D8C461D81E}"/>
    <cellStyle name="Currency 3 2 3 2 3 2 3" xfId="11841" xr:uid="{5E1A1873-CEE5-401A-ACD7-AF38D2616030}"/>
    <cellStyle name="Currency 3 2 3 2 3 3" xfId="5464" xr:uid="{00000000-0005-0000-0000-0000080B0000}"/>
    <cellStyle name="Currency 3 2 3 2 3 3 2" xfId="13914" xr:uid="{6C7A2BDE-494E-4184-9F31-C92B81339CD4}"/>
    <cellStyle name="Currency 3 2 3 2 3 4" xfId="9696" xr:uid="{2DFB0FA8-A519-4A55-B92E-75B9B92ACBEC}"/>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F0048DD6-3568-4F96-B760-9C57273FEC68}"/>
    <cellStyle name="Currency 3 2 3 2 4 2 3" xfId="12254" xr:uid="{406B631F-B4FB-4517-8F33-1F80A7C77F3B}"/>
    <cellStyle name="Currency 3 2 3 2 4 3" xfId="5877" xr:uid="{00000000-0005-0000-0000-00000C0B0000}"/>
    <cellStyle name="Currency 3 2 3 2 4 3 2" xfId="14327" xr:uid="{19C126B8-E9EF-4FAA-A2FC-CFD31C608161}"/>
    <cellStyle name="Currency 3 2 3 2 4 4" xfId="10109" xr:uid="{92DB0A0C-7D46-4746-BDE4-AF3DF54CBE38}"/>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478AF25D-4A7E-4063-AB1E-6B8EEB5AFFD9}"/>
    <cellStyle name="Currency 3 2 3 2 5 2 3" xfId="12667" xr:uid="{861562D0-15B7-47FF-9753-3691398F98F1}"/>
    <cellStyle name="Currency 3 2 3 2 5 3" xfId="6290" xr:uid="{00000000-0005-0000-0000-0000100B0000}"/>
    <cellStyle name="Currency 3 2 3 2 5 3 2" xfId="14740" xr:uid="{22DD3AB4-2D18-4A46-A0E7-0622A7E18A11}"/>
    <cellStyle name="Currency 3 2 3 2 5 4" xfId="10522" xr:uid="{2D6B0157-60C1-4E12-9E90-3CBA7196184F}"/>
    <cellStyle name="Currency 3 2 3 2 6" xfId="2419" xr:uid="{00000000-0005-0000-0000-0000110B0000}"/>
    <cellStyle name="Currency 3 2 3 2 6 2" xfId="6703" xr:uid="{00000000-0005-0000-0000-0000120B0000}"/>
    <cellStyle name="Currency 3 2 3 2 6 2 2" xfId="15153" xr:uid="{E60020D3-A435-4167-8341-7F325DF36E3B}"/>
    <cellStyle name="Currency 3 2 3 2 6 3" xfId="10935" xr:uid="{24E7439E-D54E-4935-B68C-60F75D650AC9}"/>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73CF6443-43E4-4D2A-BEA6-63EB76B8D4FA}"/>
    <cellStyle name="Currency 3 2 3 2 8 3" xfId="11252" xr:uid="{AA083548-3CBE-4F6C-BF57-285E6D7E16E7}"/>
    <cellStyle name="Currency 3 2 3 2 9" xfId="4637" xr:uid="{00000000-0005-0000-0000-0000160B0000}"/>
    <cellStyle name="Currency 3 2 3 2 9 2" xfId="13087" xr:uid="{8284F530-D2B1-4DF4-A1F3-384A885B3E50}"/>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1D47A66E-5D5E-4A63-B155-6FA431171B50}"/>
    <cellStyle name="Currency 3 2 3 3 2 3" xfId="11427" xr:uid="{0341BE10-B212-4736-AD78-2C85DB91A2C3}"/>
    <cellStyle name="Currency 3 2 3 3 3" xfId="5050" xr:uid="{00000000-0005-0000-0000-00001A0B0000}"/>
    <cellStyle name="Currency 3 2 3 3 3 2" xfId="13500" xr:uid="{C9F640BF-ADFC-442C-B7AD-0556A0A95A33}"/>
    <cellStyle name="Currency 3 2 3 3 4" xfId="17726" xr:uid="{21DB9BA7-3763-433B-AE99-7E8AED249D2F}"/>
    <cellStyle name="Currency 3 2 3 3 5" xfId="18558" xr:uid="{11043C9B-D639-4698-95E5-59D2D7A06373}"/>
    <cellStyle name="Currency 3 2 3 3 6" xfId="19387" xr:uid="{877797C5-A5D0-4DD2-9EFB-97ED51F2C365}"/>
    <cellStyle name="Currency 3 2 3 3 7" xfId="9282" xr:uid="{A48E7003-A607-40FB-A35D-7CA765AA0141}"/>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FBF09A6C-CB99-4DFF-8327-C5E5FAEECCF3}"/>
    <cellStyle name="Currency 3 2 3 4 2 3" xfId="11840" xr:uid="{4D0D08BD-3D2B-4DDA-8B8D-43EB152B47A3}"/>
    <cellStyle name="Currency 3 2 3 4 3" xfId="5463" xr:uid="{00000000-0005-0000-0000-00001E0B0000}"/>
    <cellStyle name="Currency 3 2 3 4 3 2" xfId="13913" xr:uid="{4D000C3C-0F9F-44E5-9EE0-8381E3F803B8}"/>
    <cellStyle name="Currency 3 2 3 4 4" xfId="9695" xr:uid="{74F3F526-8F84-4970-B5A9-850DACEA499A}"/>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1940D183-66B0-4B2C-84FA-D11837530B99}"/>
    <cellStyle name="Currency 3 2 3 5 2 3" xfId="12253" xr:uid="{738E0EA4-6889-49BD-BD6F-23E892F21E73}"/>
    <cellStyle name="Currency 3 2 3 5 3" xfId="5876" xr:uid="{00000000-0005-0000-0000-0000220B0000}"/>
    <cellStyle name="Currency 3 2 3 5 3 2" xfId="14326" xr:uid="{DA671B5C-BAAC-441D-BC2C-00C1B8DB9421}"/>
    <cellStyle name="Currency 3 2 3 5 4" xfId="10108" xr:uid="{CD5B6BC4-5523-49FE-A8D3-0EBCA58A14D5}"/>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08316B93-EA63-4378-806B-393E558B9D18}"/>
    <cellStyle name="Currency 3 2 3 6 2 3" xfId="12666" xr:uid="{69F5EA10-4C3F-4BAE-8616-E437830D7FBF}"/>
    <cellStyle name="Currency 3 2 3 6 3" xfId="6289" xr:uid="{00000000-0005-0000-0000-0000260B0000}"/>
    <cellStyle name="Currency 3 2 3 6 3 2" xfId="14739" xr:uid="{05E0F51D-2E9A-4FBD-8964-1899F49365E5}"/>
    <cellStyle name="Currency 3 2 3 6 4" xfId="10521" xr:uid="{715C847A-5205-4AE3-B14D-19477C7839EF}"/>
    <cellStyle name="Currency 3 2 3 7" xfId="2418" xr:uid="{00000000-0005-0000-0000-0000270B0000}"/>
    <cellStyle name="Currency 3 2 3 7 2" xfId="6702" xr:uid="{00000000-0005-0000-0000-0000280B0000}"/>
    <cellStyle name="Currency 3 2 3 7 2 2" xfId="15152" xr:uid="{11F19D7B-2D27-4619-BA8D-433B00E87AF0}"/>
    <cellStyle name="Currency 3 2 3 7 3" xfId="10934" xr:uid="{E5C928FE-747D-482A-9188-0C8C0DB652FF}"/>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0138690C-D686-45D4-9C4D-729F95C44479}"/>
    <cellStyle name="Currency 3 2 3 9 3" xfId="11251" xr:uid="{696FFD58-12A7-40C6-B923-F864403904C0}"/>
    <cellStyle name="Currency 3 2 4" xfId="184" xr:uid="{00000000-0005-0000-0000-00002C0B0000}"/>
    <cellStyle name="Currency 3 2 4 10" xfId="17311" xr:uid="{CD804B6D-C0FC-43FF-886D-9098C5C828DC}"/>
    <cellStyle name="Currency 3 2 4 11" xfId="18144" xr:uid="{C1BA63EF-008F-4472-B18F-D4D602D71C12}"/>
    <cellStyle name="Currency 3 2 4 12" xfId="18973" xr:uid="{A89C241F-A61F-424A-8F7B-5BE7C8D70B1A}"/>
    <cellStyle name="Currency 3 2 4 13" xfId="8870" xr:uid="{C77C648A-A720-4C04-8CF6-895CB67B708B}"/>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0DDDD472-2135-4ECA-8235-C6E0F337A222}"/>
    <cellStyle name="Currency 3 2 4 2 2 3" xfId="11429" xr:uid="{87E8DA48-3E7E-4823-A4E0-E38AE47E63AF}"/>
    <cellStyle name="Currency 3 2 4 2 3" xfId="5052" xr:uid="{00000000-0005-0000-0000-0000300B0000}"/>
    <cellStyle name="Currency 3 2 4 2 3 2" xfId="13502" xr:uid="{5F8D372C-AEA8-41A6-8C74-1277E2C90FC1}"/>
    <cellStyle name="Currency 3 2 4 2 4" xfId="17728" xr:uid="{97B0AE70-122C-4AE7-9294-F7C61157C261}"/>
    <cellStyle name="Currency 3 2 4 2 5" xfId="18560" xr:uid="{53CD99CE-E6D3-476D-8C19-DBE1E8BE3B47}"/>
    <cellStyle name="Currency 3 2 4 2 6" xfId="19389" xr:uid="{09E64B4D-F266-408E-97A9-E70E5F8CB065}"/>
    <cellStyle name="Currency 3 2 4 2 7" xfId="9284" xr:uid="{65246667-157A-4784-BA8D-3E772ACA888E}"/>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5CFC4437-639E-41EE-B435-FED5FBCCD175}"/>
    <cellStyle name="Currency 3 2 4 3 2 3" xfId="11842" xr:uid="{EE12172F-99F4-4692-B967-416CBB57E48D}"/>
    <cellStyle name="Currency 3 2 4 3 3" xfId="5465" xr:uid="{00000000-0005-0000-0000-0000340B0000}"/>
    <cellStyle name="Currency 3 2 4 3 3 2" xfId="13915" xr:uid="{F7E3872C-3F9A-4BC8-B36F-DCBC5F60EA33}"/>
    <cellStyle name="Currency 3 2 4 3 4" xfId="9697" xr:uid="{C523A19E-2E78-474C-8AC2-C33EFB254769}"/>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5EB388D4-2764-4990-81CB-A3339AE8F428}"/>
    <cellStyle name="Currency 3 2 4 4 2 3" xfId="12255" xr:uid="{ACA79FA2-A914-4D86-9869-AAADD3DFA9E0}"/>
    <cellStyle name="Currency 3 2 4 4 3" xfId="5878" xr:uid="{00000000-0005-0000-0000-0000380B0000}"/>
    <cellStyle name="Currency 3 2 4 4 3 2" xfId="14328" xr:uid="{C72D682B-9B80-42F6-9A37-9EF6D5F66EBE}"/>
    <cellStyle name="Currency 3 2 4 4 4" xfId="10110" xr:uid="{6DC7C650-58C4-49D5-A4AD-98AB3A3356D0}"/>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AA51EDF6-D74B-4572-B32F-88EDB1E31A2A}"/>
    <cellStyle name="Currency 3 2 4 5 2 3" xfId="12668" xr:uid="{2F0A72C5-F384-4E7D-AFF8-B10CDC1B7EDA}"/>
    <cellStyle name="Currency 3 2 4 5 3" xfId="6291" xr:uid="{00000000-0005-0000-0000-00003C0B0000}"/>
    <cellStyle name="Currency 3 2 4 5 3 2" xfId="14741" xr:uid="{7508AD69-672A-471B-8E7F-818B14E6380A}"/>
    <cellStyle name="Currency 3 2 4 5 4" xfId="10523" xr:uid="{6B812012-68B1-4BFD-A6B0-1BBDA48DB155}"/>
    <cellStyle name="Currency 3 2 4 6" xfId="2420" xr:uid="{00000000-0005-0000-0000-00003D0B0000}"/>
    <cellStyle name="Currency 3 2 4 6 2" xfId="6704" xr:uid="{00000000-0005-0000-0000-00003E0B0000}"/>
    <cellStyle name="Currency 3 2 4 6 2 2" xfId="15154" xr:uid="{1420C507-0DB1-42C6-8936-EB36B7E967DF}"/>
    <cellStyle name="Currency 3 2 4 6 3" xfId="10936" xr:uid="{1A4C8C41-D03C-4134-9E48-6AA49DEFA4E1}"/>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64867648-21EA-48C0-A2E4-FA3646165A30}"/>
    <cellStyle name="Currency 3 2 4 8 3" xfId="11253" xr:uid="{1AE92810-9CC0-460A-BE3A-608A4294E686}"/>
    <cellStyle name="Currency 3 2 4 9" xfId="4638" xr:uid="{00000000-0005-0000-0000-0000420B0000}"/>
    <cellStyle name="Currency 3 2 4 9 2" xfId="13088" xr:uid="{AA728789-97AB-4A49-9371-536D8F44A50C}"/>
    <cellStyle name="Currency 3 2 5" xfId="185" xr:uid="{00000000-0005-0000-0000-0000430B0000}"/>
    <cellStyle name="Currency 3 2 5 10" xfId="17312" xr:uid="{0A17A219-B9F9-42B8-9422-5FF36239EF2C}"/>
    <cellStyle name="Currency 3 2 5 11" xfId="18145" xr:uid="{F2F05072-933B-430C-8E2A-76F9E1E6D8FB}"/>
    <cellStyle name="Currency 3 2 5 12" xfId="18974" xr:uid="{5FEACC1B-8683-423B-A696-AACDCCD86DB2}"/>
    <cellStyle name="Currency 3 2 5 13" xfId="8871" xr:uid="{929686D9-3CFF-4E36-8E8D-F0D00724B2D9}"/>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2A1AD875-5C2C-4A8C-A899-B4484AE8AA6B}"/>
    <cellStyle name="Currency 3 2 5 2 2 3" xfId="11430" xr:uid="{76578998-3109-4C1A-8414-95A937962F9B}"/>
    <cellStyle name="Currency 3 2 5 2 3" xfId="5053" xr:uid="{00000000-0005-0000-0000-0000470B0000}"/>
    <cellStyle name="Currency 3 2 5 2 3 2" xfId="13503" xr:uid="{F5AE0CF6-8F6D-49CC-8E6E-52E2F4A92D22}"/>
    <cellStyle name="Currency 3 2 5 2 4" xfId="17729" xr:uid="{AF104980-248D-4B65-B5ED-8D4D0AA75CFE}"/>
    <cellStyle name="Currency 3 2 5 2 5" xfId="18561" xr:uid="{A94184D8-B200-43A2-99AC-3DA3E92D6EB8}"/>
    <cellStyle name="Currency 3 2 5 2 6" xfId="19390" xr:uid="{E31E77E3-4BCA-4F8B-AB02-5FC6BE15E5BE}"/>
    <cellStyle name="Currency 3 2 5 2 7" xfId="9285" xr:uid="{BC64FFCE-E707-4CF5-97D5-070AF2E6B5F0}"/>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2A0DF7E6-F26C-4AAB-ABAA-2296E5786D93}"/>
    <cellStyle name="Currency 3 2 5 3 2 3" xfId="11843" xr:uid="{EA3C6B70-F2AD-4ACA-9015-DD298C7E76BD}"/>
    <cellStyle name="Currency 3 2 5 3 3" xfId="5466" xr:uid="{00000000-0005-0000-0000-00004B0B0000}"/>
    <cellStyle name="Currency 3 2 5 3 3 2" xfId="13916" xr:uid="{7FA99B31-4D42-49C7-A70E-BA5268FD8FCE}"/>
    <cellStyle name="Currency 3 2 5 3 4" xfId="9698" xr:uid="{59868880-0724-42A8-A7BA-A3DF0C4C4765}"/>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9365BF44-A787-4B51-9351-9D110152CDDB}"/>
    <cellStyle name="Currency 3 2 5 4 2 3" xfId="12256" xr:uid="{E107395A-88A9-4EDE-96F9-464A607B0469}"/>
    <cellStyle name="Currency 3 2 5 4 3" xfId="5879" xr:uid="{00000000-0005-0000-0000-00004F0B0000}"/>
    <cellStyle name="Currency 3 2 5 4 3 2" xfId="14329" xr:uid="{C9727D6A-E54A-4E26-998B-93703F4D797F}"/>
    <cellStyle name="Currency 3 2 5 4 4" xfId="10111" xr:uid="{ABA7C6D2-4678-4170-BAD0-C08507261B32}"/>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4A1442C5-C6A0-48E3-A5FC-63F331A822F1}"/>
    <cellStyle name="Currency 3 2 5 5 2 3" xfId="12669" xr:uid="{C0FB852A-2184-4CC0-A0B5-6CA2C1DE3166}"/>
    <cellStyle name="Currency 3 2 5 5 3" xfId="6292" xr:uid="{00000000-0005-0000-0000-0000530B0000}"/>
    <cellStyle name="Currency 3 2 5 5 3 2" xfId="14742" xr:uid="{9ED028B1-6C10-4B91-9AC9-885F664E169D}"/>
    <cellStyle name="Currency 3 2 5 5 4" xfId="10524" xr:uid="{B27B2B4F-1A31-4E7F-B5CE-180CFBDB94B0}"/>
    <cellStyle name="Currency 3 2 5 6" xfId="2421" xr:uid="{00000000-0005-0000-0000-0000540B0000}"/>
    <cellStyle name="Currency 3 2 5 6 2" xfId="6705" xr:uid="{00000000-0005-0000-0000-0000550B0000}"/>
    <cellStyle name="Currency 3 2 5 6 2 2" xfId="15155" xr:uid="{D817FBC9-C7DA-4CF1-9DAE-B4EA580660E3}"/>
    <cellStyle name="Currency 3 2 5 6 3" xfId="10937" xr:uid="{30642405-8759-4281-916E-C7EC17FA4A37}"/>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B4260123-1509-4DFE-B396-26BFDA8481F9}"/>
    <cellStyle name="Currency 3 2 5 8 3" xfId="11254" xr:uid="{46CF28DE-3536-4A27-826C-408DC1081F44}"/>
    <cellStyle name="Currency 3 2 5 9" xfId="4639" xr:uid="{00000000-0005-0000-0000-0000590B0000}"/>
    <cellStyle name="Currency 3 2 5 9 2" xfId="13089" xr:uid="{AE81AD05-39EF-4913-AEA1-54E1AD65743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261BECB6-2772-48D6-8EC6-A8261E7F5DA4}"/>
    <cellStyle name="Currency 5 2 2 2 10 3" xfId="11255" xr:uid="{C813E7BA-B487-444D-BF5D-5154D059CBCE}"/>
    <cellStyle name="Currency 5 2 2 2 11" xfId="4640" xr:uid="{00000000-0005-0000-0000-00006C0B0000}"/>
    <cellStyle name="Currency 5 2 2 2 11 2" xfId="13090" xr:uid="{CA68FDD0-2026-4023-9737-6986C30C5E65}"/>
    <cellStyle name="Currency 5 2 2 2 12" xfId="17313" xr:uid="{5B83CC75-FB57-4739-9ABA-2A6455A5CFB5}"/>
    <cellStyle name="Currency 5 2 2 2 13" xfId="18146" xr:uid="{A036B162-3153-492E-8953-0C6F2B87F2C8}"/>
    <cellStyle name="Currency 5 2 2 2 14" xfId="18975" xr:uid="{75BAFC58-17B3-4103-963D-748517B1D1A2}"/>
    <cellStyle name="Currency 5 2 2 2 15" xfId="8872" xr:uid="{E9228E76-9511-4663-ACA2-2F5DEA425DBB}"/>
    <cellStyle name="Currency 5 2 2 2 2" xfId="197" xr:uid="{00000000-0005-0000-0000-00006D0B0000}"/>
    <cellStyle name="Currency 5 2 2 2 2 10" xfId="4641" xr:uid="{00000000-0005-0000-0000-00006E0B0000}"/>
    <cellStyle name="Currency 5 2 2 2 2 10 2" xfId="13091" xr:uid="{9FFFCA85-72DC-42F4-9160-AFFA0C04843A}"/>
    <cellStyle name="Currency 5 2 2 2 2 11" xfId="17314" xr:uid="{33627D5E-3C2D-41A0-834F-8AEF18351653}"/>
    <cellStyle name="Currency 5 2 2 2 2 12" xfId="18147" xr:uid="{22117D39-C25C-436F-BBDA-C8C298C5B19F}"/>
    <cellStyle name="Currency 5 2 2 2 2 13" xfId="18976" xr:uid="{E1A586DB-659B-49C7-AB06-8ED4D8031641}"/>
    <cellStyle name="Currency 5 2 2 2 2 14" xfId="8873" xr:uid="{893DA4F1-E7F8-4028-BE1E-67E826702D6E}"/>
    <cellStyle name="Currency 5 2 2 2 2 2" xfId="198" xr:uid="{00000000-0005-0000-0000-00006F0B0000}"/>
    <cellStyle name="Currency 5 2 2 2 2 2 10" xfId="17315" xr:uid="{2861ABD1-C018-4E57-8DFE-DF35192B25E7}"/>
    <cellStyle name="Currency 5 2 2 2 2 2 11" xfId="18148" xr:uid="{F0741A4B-7D60-4274-A148-8351D619BE20}"/>
    <cellStyle name="Currency 5 2 2 2 2 2 12" xfId="18977" xr:uid="{7C388808-54E2-417D-8AE4-F90CB3265727}"/>
    <cellStyle name="Currency 5 2 2 2 2 2 13" xfId="8874" xr:uid="{A2063A5E-435C-4054-86A7-A81E568C03E2}"/>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E6692C31-CE2B-421B-91E1-79B915920B5E}"/>
    <cellStyle name="Currency 5 2 2 2 2 2 2 2 3" xfId="11433" xr:uid="{09713D1F-4233-4696-AD16-76C86B9289B4}"/>
    <cellStyle name="Currency 5 2 2 2 2 2 2 3" xfId="5056" xr:uid="{00000000-0005-0000-0000-0000730B0000}"/>
    <cellStyle name="Currency 5 2 2 2 2 2 2 3 2" xfId="13506" xr:uid="{74044318-FE7E-422C-B5A2-7C871B3CE4F7}"/>
    <cellStyle name="Currency 5 2 2 2 2 2 2 4" xfId="17732" xr:uid="{D6680002-3DE3-4839-AC09-7D4D6D79C6EC}"/>
    <cellStyle name="Currency 5 2 2 2 2 2 2 5" xfId="18564" xr:uid="{81412AB3-4A46-4C2C-A0FF-C2201838128C}"/>
    <cellStyle name="Currency 5 2 2 2 2 2 2 6" xfId="19393" xr:uid="{B1CEEBD3-AA6F-4C66-82DA-9AAC994527F9}"/>
    <cellStyle name="Currency 5 2 2 2 2 2 2 7" xfId="9288" xr:uid="{914C6121-1976-4ACB-91EA-0B194FB4DE61}"/>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BF1F3CB9-58F9-4FA2-A87C-905E3E27A8A9}"/>
    <cellStyle name="Currency 5 2 2 2 2 2 3 2 3" xfId="11846" xr:uid="{5EC53DB7-9AF4-4373-B77F-844953F54FFD}"/>
    <cellStyle name="Currency 5 2 2 2 2 2 3 3" xfId="5469" xr:uid="{00000000-0005-0000-0000-0000770B0000}"/>
    <cellStyle name="Currency 5 2 2 2 2 2 3 3 2" xfId="13919" xr:uid="{3CFB88C8-B6E0-4A29-9957-C27D225A567D}"/>
    <cellStyle name="Currency 5 2 2 2 2 2 3 4" xfId="9701" xr:uid="{3557667E-BD98-41BE-BC50-09070E5BD81E}"/>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FE491E04-F515-4923-BA8E-F79E18B8F833}"/>
    <cellStyle name="Currency 5 2 2 2 2 2 4 2 3" xfId="12259" xr:uid="{DB013204-F7F7-4E79-8503-5835C554076A}"/>
    <cellStyle name="Currency 5 2 2 2 2 2 4 3" xfId="5882" xr:uid="{00000000-0005-0000-0000-00007B0B0000}"/>
    <cellStyle name="Currency 5 2 2 2 2 2 4 3 2" xfId="14332" xr:uid="{0391A00C-9AA5-457A-8937-1BC1F4800355}"/>
    <cellStyle name="Currency 5 2 2 2 2 2 4 4" xfId="10114" xr:uid="{32D77863-B475-46F4-9E97-16D6529B2369}"/>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39FDA5EA-422E-43B5-9890-9AD288812BC1}"/>
    <cellStyle name="Currency 5 2 2 2 2 2 5 2 3" xfId="12672" xr:uid="{E2D1A890-418D-46FF-BAEA-72AF706E3E04}"/>
    <cellStyle name="Currency 5 2 2 2 2 2 5 3" xfId="6295" xr:uid="{00000000-0005-0000-0000-00007F0B0000}"/>
    <cellStyle name="Currency 5 2 2 2 2 2 5 3 2" xfId="14745" xr:uid="{F72E9E7E-E48D-465D-BDB6-3F318C28B0A6}"/>
    <cellStyle name="Currency 5 2 2 2 2 2 5 4" xfId="10527" xr:uid="{B3C576CE-0855-422B-8B3D-5DF555769A98}"/>
    <cellStyle name="Currency 5 2 2 2 2 2 6" xfId="2424" xr:uid="{00000000-0005-0000-0000-0000800B0000}"/>
    <cellStyle name="Currency 5 2 2 2 2 2 6 2" xfId="6708" xr:uid="{00000000-0005-0000-0000-0000810B0000}"/>
    <cellStyle name="Currency 5 2 2 2 2 2 6 2 2" xfId="15158" xr:uid="{ACC67F2E-EFB1-46BC-A4E3-96F690C511DF}"/>
    <cellStyle name="Currency 5 2 2 2 2 2 6 3" xfId="10940" xr:uid="{EE60AF58-6C7F-4AD7-9663-7E6F699EB81D}"/>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F7619DB6-652B-4340-B2F2-5439E5EB54FB}"/>
    <cellStyle name="Currency 5 2 2 2 2 2 8 3" xfId="11257" xr:uid="{39700D29-5404-4DE4-9B96-FD9689865792}"/>
    <cellStyle name="Currency 5 2 2 2 2 2 9" xfId="4642" xr:uid="{00000000-0005-0000-0000-0000850B0000}"/>
    <cellStyle name="Currency 5 2 2 2 2 2 9 2" xfId="13092" xr:uid="{665CBB13-29AD-4DF6-9EEB-11903B5C525A}"/>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45F48DE9-EB87-4A7D-B2F7-BF68801AC9A9}"/>
    <cellStyle name="Currency 5 2 2 2 2 3 2 3" xfId="11432" xr:uid="{370FA01A-95CC-42EB-87AD-7392F4F25A67}"/>
    <cellStyle name="Currency 5 2 2 2 2 3 3" xfId="5055" xr:uid="{00000000-0005-0000-0000-0000890B0000}"/>
    <cellStyle name="Currency 5 2 2 2 2 3 3 2" xfId="13505" xr:uid="{53EE5D75-3F74-4B65-9031-0FF9E0FE61CC}"/>
    <cellStyle name="Currency 5 2 2 2 2 3 4" xfId="17731" xr:uid="{7D1ACDE6-146F-460F-9136-DA2B1EC9CD39}"/>
    <cellStyle name="Currency 5 2 2 2 2 3 5" xfId="18563" xr:uid="{71C13200-A6CF-4B5A-A874-00DB7E5336C7}"/>
    <cellStyle name="Currency 5 2 2 2 2 3 6" xfId="19392" xr:uid="{462CD33B-6C9C-4B26-AD6B-EEDD6484E5AA}"/>
    <cellStyle name="Currency 5 2 2 2 2 3 7" xfId="9287" xr:uid="{032FF152-35C9-4894-A00F-F26B9C9CA8A2}"/>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7A0C0A7A-EF31-4568-8511-ED2EAD043381}"/>
    <cellStyle name="Currency 5 2 2 2 2 4 2 3" xfId="11845" xr:uid="{4498829F-FD03-4E10-812C-0A809E59F901}"/>
    <cellStyle name="Currency 5 2 2 2 2 4 3" xfId="5468" xr:uid="{00000000-0005-0000-0000-00008D0B0000}"/>
    <cellStyle name="Currency 5 2 2 2 2 4 3 2" xfId="13918" xr:uid="{EC213B07-E9FD-4AFE-AE33-3DBDC1C12035}"/>
    <cellStyle name="Currency 5 2 2 2 2 4 4" xfId="9700" xr:uid="{F41D3FDF-6738-403E-9F09-707521FC98D4}"/>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678D4570-33B7-4DF1-8E6E-F432BE5CA9F5}"/>
    <cellStyle name="Currency 5 2 2 2 2 5 2 3" xfId="12258" xr:uid="{292BB75D-ADA0-4480-9832-9DAFEE680615}"/>
    <cellStyle name="Currency 5 2 2 2 2 5 3" xfId="5881" xr:uid="{00000000-0005-0000-0000-0000910B0000}"/>
    <cellStyle name="Currency 5 2 2 2 2 5 3 2" xfId="14331" xr:uid="{F05C92E7-45FB-4543-BFFA-8AEA1239A240}"/>
    <cellStyle name="Currency 5 2 2 2 2 5 4" xfId="10113" xr:uid="{EA0FEC07-81AE-4DF0-BA5F-8F88FBF75382}"/>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D5E08E53-B6A0-4811-986A-56C6CB027052}"/>
    <cellStyle name="Currency 5 2 2 2 2 6 2 3" xfId="12671" xr:uid="{2110DA8E-7B99-43B9-85D9-5CF592BA9299}"/>
    <cellStyle name="Currency 5 2 2 2 2 6 3" xfId="6294" xr:uid="{00000000-0005-0000-0000-0000950B0000}"/>
    <cellStyle name="Currency 5 2 2 2 2 6 3 2" xfId="14744" xr:uid="{181E6E57-AA3C-4F3C-9C41-313AAF36BF91}"/>
    <cellStyle name="Currency 5 2 2 2 2 6 4" xfId="10526" xr:uid="{8CD8E498-94E6-4FF4-BE93-1789F86502CA}"/>
    <cellStyle name="Currency 5 2 2 2 2 7" xfId="2423" xr:uid="{00000000-0005-0000-0000-0000960B0000}"/>
    <cellStyle name="Currency 5 2 2 2 2 7 2" xfId="6707" xr:uid="{00000000-0005-0000-0000-0000970B0000}"/>
    <cellStyle name="Currency 5 2 2 2 2 7 2 2" xfId="15157" xr:uid="{0BBE983A-1688-43AE-BD86-77CE01E78C6F}"/>
    <cellStyle name="Currency 5 2 2 2 2 7 3" xfId="10939" xr:uid="{2861E870-BF3E-43FF-8BA4-4A4E3085CD24}"/>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4523174D-D1D8-48BC-8511-35CA3AEC9F9B}"/>
    <cellStyle name="Currency 5 2 2 2 2 9 3" xfId="11256" xr:uid="{CBD20002-A74A-486A-A4F4-8C9F6A83AE96}"/>
    <cellStyle name="Currency 5 2 2 2 3" xfId="199" xr:uid="{00000000-0005-0000-0000-00009B0B0000}"/>
    <cellStyle name="Currency 5 2 2 2 3 10" xfId="17316" xr:uid="{6DDE425E-0E6C-4084-BE27-3722567D73E7}"/>
    <cellStyle name="Currency 5 2 2 2 3 11" xfId="18149" xr:uid="{856BFAD4-213C-43DC-AE06-C6DB03924302}"/>
    <cellStyle name="Currency 5 2 2 2 3 12" xfId="18978" xr:uid="{2E38AB1B-7A16-4F85-9294-54FB95FC3680}"/>
    <cellStyle name="Currency 5 2 2 2 3 13" xfId="8875" xr:uid="{583FDBBA-CD61-4EEE-A418-0CE1AE821EF4}"/>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9E8CD201-B3AC-4FEB-80B3-A5CB51DCEBB1}"/>
    <cellStyle name="Currency 5 2 2 2 3 2 2 3" xfId="11434" xr:uid="{67A11836-C560-42A3-A222-C2FD23F22660}"/>
    <cellStyle name="Currency 5 2 2 2 3 2 3" xfId="5057" xr:uid="{00000000-0005-0000-0000-00009F0B0000}"/>
    <cellStyle name="Currency 5 2 2 2 3 2 3 2" xfId="13507" xr:uid="{F07CF3A6-82E7-44CA-9ED8-235039C3E112}"/>
    <cellStyle name="Currency 5 2 2 2 3 2 4" xfId="17733" xr:uid="{687689D3-98B0-4C87-9FCE-A62F7380AD62}"/>
    <cellStyle name="Currency 5 2 2 2 3 2 5" xfId="18565" xr:uid="{38FFDAC8-0A83-4653-B9F8-D204E8FB2C24}"/>
    <cellStyle name="Currency 5 2 2 2 3 2 6" xfId="19394" xr:uid="{850A08CE-6EC7-4B39-819B-3761925A2D44}"/>
    <cellStyle name="Currency 5 2 2 2 3 2 7" xfId="9289" xr:uid="{20BCDC47-FDEB-4251-BE91-FDEA60B96B1F}"/>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BC13E046-C487-472C-811B-6437C048F993}"/>
    <cellStyle name="Currency 5 2 2 2 3 3 2 3" xfId="11847" xr:uid="{AF79C074-0213-47D5-B6D8-A9C16E02DF4D}"/>
    <cellStyle name="Currency 5 2 2 2 3 3 3" xfId="5470" xr:uid="{00000000-0005-0000-0000-0000A30B0000}"/>
    <cellStyle name="Currency 5 2 2 2 3 3 3 2" xfId="13920" xr:uid="{A5B4EFC2-1DE5-4562-A1CA-B8E8410EA3B3}"/>
    <cellStyle name="Currency 5 2 2 2 3 3 4" xfId="9702" xr:uid="{CA4783EA-BFCE-4622-9B35-CE3B82532854}"/>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506F3F9B-AFD7-46D4-B097-9AF22F23E8B7}"/>
    <cellStyle name="Currency 5 2 2 2 3 4 2 3" xfId="12260" xr:uid="{6656BB87-FF01-4A21-9D87-61FF8DE69790}"/>
    <cellStyle name="Currency 5 2 2 2 3 4 3" xfId="5883" xr:uid="{00000000-0005-0000-0000-0000A70B0000}"/>
    <cellStyle name="Currency 5 2 2 2 3 4 3 2" xfId="14333" xr:uid="{34A2A4AA-7387-4AB3-9009-1C225BDD75F0}"/>
    <cellStyle name="Currency 5 2 2 2 3 4 4" xfId="10115" xr:uid="{0364CAD1-3441-4BFB-9ED7-4F4FBBAD801B}"/>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3306D308-0927-40DA-80F9-D041E900C18E}"/>
    <cellStyle name="Currency 5 2 2 2 3 5 2 3" xfId="12673" xr:uid="{75DAF121-52E7-4A13-96D1-B9CF3228D944}"/>
    <cellStyle name="Currency 5 2 2 2 3 5 3" xfId="6296" xr:uid="{00000000-0005-0000-0000-0000AB0B0000}"/>
    <cellStyle name="Currency 5 2 2 2 3 5 3 2" xfId="14746" xr:uid="{98A060FA-4EB9-4D94-9E06-831C04B0B485}"/>
    <cellStyle name="Currency 5 2 2 2 3 5 4" xfId="10528" xr:uid="{1CA5AC95-8F72-45C1-878D-0B4E6DBCF378}"/>
    <cellStyle name="Currency 5 2 2 2 3 6" xfId="2425" xr:uid="{00000000-0005-0000-0000-0000AC0B0000}"/>
    <cellStyle name="Currency 5 2 2 2 3 6 2" xfId="6709" xr:uid="{00000000-0005-0000-0000-0000AD0B0000}"/>
    <cellStyle name="Currency 5 2 2 2 3 6 2 2" xfId="15159" xr:uid="{AB4187A6-22C3-4E0B-A1B7-549AD969CF89}"/>
    <cellStyle name="Currency 5 2 2 2 3 6 3" xfId="10941" xr:uid="{97729AA3-D9F9-4EE5-846C-398BBCD2B14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8F9AE1C7-7CDF-49B6-AA15-C07B65B4C32B}"/>
    <cellStyle name="Currency 5 2 2 2 3 8 3" xfId="11258" xr:uid="{E8A1CBA4-9FFB-435E-BA94-5948D2E061F7}"/>
    <cellStyle name="Currency 5 2 2 2 3 9" xfId="4643" xr:uid="{00000000-0005-0000-0000-0000B10B0000}"/>
    <cellStyle name="Currency 5 2 2 2 3 9 2" xfId="13093" xr:uid="{537215CB-2170-4211-B77F-E81308A5A71A}"/>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61423A30-74AD-473C-B9B2-3D2E4694C326}"/>
    <cellStyle name="Currency 5 2 2 2 4 2 3" xfId="11431" xr:uid="{B22BA377-0138-497A-B1B8-5563193C3AE1}"/>
    <cellStyle name="Currency 5 2 2 2 4 3" xfId="5054" xr:uid="{00000000-0005-0000-0000-0000B50B0000}"/>
    <cellStyle name="Currency 5 2 2 2 4 3 2" xfId="13504" xr:uid="{9C468F57-09B2-4AAA-91D6-2E50547FCE84}"/>
    <cellStyle name="Currency 5 2 2 2 4 4" xfId="17730" xr:uid="{F7130AAA-5ADF-4560-951D-9AFD1D573EE9}"/>
    <cellStyle name="Currency 5 2 2 2 4 5" xfId="18562" xr:uid="{3A0AD392-4D87-441E-9DEA-B53520F14DC6}"/>
    <cellStyle name="Currency 5 2 2 2 4 6" xfId="19391" xr:uid="{16B7A286-6CC7-4BC1-939C-E5E4B04E0B85}"/>
    <cellStyle name="Currency 5 2 2 2 4 7" xfId="9286" xr:uid="{5C594F10-CEE6-4A8D-A919-884E4C06E43D}"/>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16C95E30-75EE-4ED2-820A-E22F209F1860}"/>
    <cellStyle name="Currency 5 2 2 2 5 2 3" xfId="11844" xr:uid="{E895A6ED-B330-4653-8F24-A4855D088672}"/>
    <cellStyle name="Currency 5 2 2 2 5 3" xfId="5467" xr:uid="{00000000-0005-0000-0000-0000B90B0000}"/>
    <cellStyle name="Currency 5 2 2 2 5 3 2" xfId="13917" xr:uid="{77BC35D3-5B6C-4262-9952-AC9D019CA0A3}"/>
    <cellStyle name="Currency 5 2 2 2 5 4" xfId="9699" xr:uid="{07E636C4-4A90-4724-8DF4-F46A6AFCF912}"/>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5D54C034-DCF6-46DF-94BD-11C768B77C38}"/>
    <cellStyle name="Currency 5 2 2 2 6 2 3" xfId="12257" xr:uid="{7641BC5A-55AD-4471-BCDA-F7105C1CE08A}"/>
    <cellStyle name="Currency 5 2 2 2 6 3" xfId="5880" xr:uid="{00000000-0005-0000-0000-0000BD0B0000}"/>
    <cellStyle name="Currency 5 2 2 2 6 3 2" xfId="14330" xr:uid="{F4C5EFD7-3BE4-4939-936E-F8B2CFE9D76A}"/>
    <cellStyle name="Currency 5 2 2 2 6 4" xfId="10112" xr:uid="{6295CE54-6D72-426B-8A03-432554B0FF66}"/>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E18CD7C1-E738-49FC-BE8A-253941E46F4C}"/>
    <cellStyle name="Currency 5 2 2 2 7 2 3" xfId="12670" xr:uid="{19D5FDDF-8164-41F8-BBE0-E503C9F99C63}"/>
    <cellStyle name="Currency 5 2 2 2 7 3" xfId="6293" xr:uid="{00000000-0005-0000-0000-0000C10B0000}"/>
    <cellStyle name="Currency 5 2 2 2 7 3 2" xfId="14743" xr:uid="{DAA23E58-CA23-4191-A87F-158BE16A30EC}"/>
    <cellStyle name="Currency 5 2 2 2 7 4" xfId="10525" xr:uid="{60BC28D2-7ED5-48BF-A6C2-4EA144FD5E31}"/>
    <cellStyle name="Currency 5 2 2 2 8" xfId="2422" xr:uid="{00000000-0005-0000-0000-0000C20B0000}"/>
    <cellStyle name="Currency 5 2 2 2 8 2" xfId="6706" xr:uid="{00000000-0005-0000-0000-0000C30B0000}"/>
    <cellStyle name="Currency 5 2 2 2 8 2 2" xfId="15156" xr:uid="{A438D993-1787-44F6-83E8-7647FC2A85B3}"/>
    <cellStyle name="Currency 5 2 2 2 8 3" xfId="10938" xr:uid="{BC1BB77E-81B2-4FB4-B181-E923477C1001}"/>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684F4768-1B2D-420E-9B02-43D28BB92A2D}"/>
    <cellStyle name="Currency 5 2 2 3 11" xfId="17317" xr:uid="{1179A2E7-881C-48F1-BF44-CB5DAA3F3539}"/>
    <cellStyle name="Currency 5 2 2 3 12" xfId="18150" xr:uid="{175C25A4-3E66-4F85-9851-ED0F30B0BE37}"/>
    <cellStyle name="Currency 5 2 2 3 13" xfId="18979" xr:uid="{1039297D-664D-4D8B-B7D3-E2AE538155A1}"/>
    <cellStyle name="Currency 5 2 2 3 14" xfId="8876" xr:uid="{91296BC9-4F96-4F07-91B5-0D33A6B77BC9}"/>
    <cellStyle name="Currency 5 2 2 3 2" xfId="201" xr:uid="{00000000-0005-0000-0000-0000C70B0000}"/>
    <cellStyle name="Currency 5 2 2 3 2 10" xfId="17318" xr:uid="{BD9CFA55-2881-4879-8AB3-01C57F20135F}"/>
    <cellStyle name="Currency 5 2 2 3 2 11" xfId="18151" xr:uid="{661BFF3D-7F4D-4D41-BD01-D3B3B2A02BC6}"/>
    <cellStyle name="Currency 5 2 2 3 2 12" xfId="18980" xr:uid="{06646A33-AF62-40E1-9E5C-27D5F8F6943C}"/>
    <cellStyle name="Currency 5 2 2 3 2 13" xfId="8877" xr:uid="{944A0A08-9B7D-494B-AA9A-9AFC96672083}"/>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1A7C6E17-07B4-4F0D-B8BC-88D71B593E9D}"/>
    <cellStyle name="Currency 5 2 2 3 2 2 2 3" xfId="11436" xr:uid="{6958691A-7953-4616-AFE2-6F7B3B8DC292}"/>
    <cellStyle name="Currency 5 2 2 3 2 2 3" xfId="5059" xr:uid="{00000000-0005-0000-0000-0000CB0B0000}"/>
    <cellStyle name="Currency 5 2 2 3 2 2 3 2" xfId="13509" xr:uid="{E28CAAF6-6C51-4D9A-9FA9-B4CD67EDEC12}"/>
    <cellStyle name="Currency 5 2 2 3 2 2 4" xfId="17735" xr:uid="{A9CCE6CE-CEE7-4812-A6B3-3DAAE72EA19F}"/>
    <cellStyle name="Currency 5 2 2 3 2 2 5" xfId="18567" xr:uid="{2EF85E74-2261-40D8-A4AD-05022643B880}"/>
    <cellStyle name="Currency 5 2 2 3 2 2 6" xfId="19396" xr:uid="{61FF7E22-B923-4075-BFA6-C54B085AA415}"/>
    <cellStyle name="Currency 5 2 2 3 2 2 7" xfId="9291" xr:uid="{4D7F548D-193E-4261-B924-6CF2709A19C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8191148D-B0D7-4BE0-B509-481636016F50}"/>
    <cellStyle name="Currency 5 2 2 3 2 3 2 3" xfId="11849" xr:uid="{CBAADBFE-0192-4A09-B6DC-9A2DB3CE8AA3}"/>
    <cellStyle name="Currency 5 2 2 3 2 3 3" xfId="5472" xr:uid="{00000000-0005-0000-0000-0000CF0B0000}"/>
    <cellStyle name="Currency 5 2 2 3 2 3 3 2" xfId="13922" xr:uid="{28DB11AD-4461-4AFA-A472-DC293D327089}"/>
    <cellStyle name="Currency 5 2 2 3 2 3 4" xfId="9704" xr:uid="{A300C94C-5199-4226-B24B-A75AFC0B7411}"/>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115663F0-B3AA-4FCF-92A7-2CD97C4F3E26}"/>
    <cellStyle name="Currency 5 2 2 3 2 4 2 3" xfId="12262" xr:uid="{0F74F314-930C-4F91-9B2C-23D46E44AA7D}"/>
    <cellStyle name="Currency 5 2 2 3 2 4 3" xfId="5885" xr:uid="{00000000-0005-0000-0000-0000D30B0000}"/>
    <cellStyle name="Currency 5 2 2 3 2 4 3 2" xfId="14335" xr:uid="{38C02799-0874-4E7F-A182-D8DF37989B34}"/>
    <cellStyle name="Currency 5 2 2 3 2 4 4" xfId="10117" xr:uid="{32D2C54C-50E2-4EA5-8AC0-220FD39DC096}"/>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F0E6B4A9-D3D6-460F-B35D-FC804E704E0F}"/>
    <cellStyle name="Currency 5 2 2 3 2 5 2 3" xfId="12675" xr:uid="{79F0CA52-04B8-4B02-8442-125CFE624C9D}"/>
    <cellStyle name="Currency 5 2 2 3 2 5 3" xfId="6298" xr:uid="{00000000-0005-0000-0000-0000D70B0000}"/>
    <cellStyle name="Currency 5 2 2 3 2 5 3 2" xfId="14748" xr:uid="{C44AD31B-1CC6-4F09-B00D-AE473D9EE668}"/>
    <cellStyle name="Currency 5 2 2 3 2 5 4" xfId="10530" xr:uid="{C64DB2FB-5426-4B8C-AADE-F6F3029E368C}"/>
    <cellStyle name="Currency 5 2 2 3 2 6" xfId="2427" xr:uid="{00000000-0005-0000-0000-0000D80B0000}"/>
    <cellStyle name="Currency 5 2 2 3 2 6 2" xfId="6711" xr:uid="{00000000-0005-0000-0000-0000D90B0000}"/>
    <cellStyle name="Currency 5 2 2 3 2 6 2 2" xfId="15161" xr:uid="{671A9B07-78A9-44F3-B7C3-9F3ADE7ABB31}"/>
    <cellStyle name="Currency 5 2 2 3 2 6 3" xfId="10943" xr:uid="{1AD46AB5-A455-445E-92A3-18EF7312F085}"/>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4B4D5E76-70AC-4F81-A5EB-212BBCA1FF4D}"/>
    <cellStyle name="Currency 5 2 2 3 2 8 3" xfId="11260" xr:uid="{C3F15968-FEC3-4B7E-AFD2-C65826E27428}"/>
    <cellStyle name="Currency 5 2 2 3 2 9" xfId="4645" xr:uid="{00000000-0005-0000-0000-0000DD0B0000}"/>
    <cellStyle name="Currency 5 2 2 3 2 9 2" xfId="13095" xr:uid="{91EA3816-ECD5-417C-A8A2-3D474F9F904B}"/>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B385921B-9ADC-486A-9DDB-ED10D5BA0141}"/>
    <cellStyle name="Currency 5 2 2 3 3 2 3" xfId="11435" xr:uid="{EDC3F0ED-BA37-4541-8F56-63B0BD49EA9F}"/>
    <cellStyle name="Currency 5 2 2 3 3 3" xfId="5058" xr:uid="{00000000-0005-0000-0000-0000E10B0000}"/>
    <cellStyle name="Currency 5 2 2 3 3 3 2" xfId="13508" xr:uid="{F4A65ADE-6022-439D-AB3D-1D23F7E805C8}"/>
    <cellStyle name="Currency 5 2 2 3 3 4" xfId="17734" xr:uid="{0F83ABBD-EDCE-4CA5-B5BE-0B12509A790C}"/>
    <cellStyle name="Currency 5 2 2 3 3 5" xfId="18566" xr:uid="{1C87F667-4AE7-43E1-BD64-78778DF561D2}"/>
    <cellStyle name="Currency 5 2 2 3 3 6" xfId="19395" xr:uid="{A68B39BA-ACCE-49C2-A68D-26A42877D679}"/>
    <cellStyle name="Currency 5 2 2 3 3 7" xfId="9290" xr:uid="{5509ABAE-9B36-4838-A45E-54AC93D60CB6}"/>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0659961A-9631-4472-B1F1-E4EAD98A7D68}"/>
    <cellStyle name="Currency 5 2 2 3 4 2 3" xfId="11848" xr:uid="{E3EADCCC-F59D-45F7-B3F7-10EF3A904A40}"/>
    <cellStyle name="Currency 5 2 2 3 4 3" xfId="5471" xr:uid="{00000000-0005-0000-0000-0000E50B0000}"/>
    <cellStyle name="Currency 5 2 2 3 4 3 2" xfId="13921" xr:uid="{4E7F1BBF-2151-4C5E-A25D-98E529C2E541}"/>
    <cellStyle name="Currency 5 2 2 3 4 4" xfId="9703" xr:uid="{40560FB4-6B63-402C-82ED-8F9C7B205D3B}"/>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331F41C6-AD3F-4C6A-9C8F-1C54C276FDBE}"/>
    <cellStyle name="Currency 5 2 2 3 5 2 3" xfId="12261" xr:uid="{DE449F88-4F0E-4B84-8161-96D5E6C6DBA2}"/>
    <cellStyle name="Currency 5 2 2 3 5 3" xfId="5884" xr:uid="{00000000-0005-0000-0000-0000E90B0000}"/>
    <cellStyle name="Currency 5 2 2 3 5 3 2" xfId="14334" xr:uid="{373C39EA-6633-4ADF-88B2-418BFADDEF35}"/>
    <cellStyle name="Currency 5 2 2 3 5 4" xfId="10116" xr:uid="{F13D1A84-D894-4175-895B-37AFBD06F9BE}"/>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A55C7D28-32C9-4465-8BC9-FD95DBF505F1}"/>
    <cellStyle name="Currency 5 2 2 3 6 2 3" xfId="12674" xr:uid="{6CF5FEB9-3375-48D8-9BF6-5C1F65643413}"/>
    <cellStyle name="Currency 5 2 2 3 6 3" xfId="6297" xr:uid="{00000000-0005-0000-0000-0000ED0B0000}"/>
    <cellStyle name="Currency 5 2 2 3 6 3 2" xfId="14747" xr:uid="{3340B268-1A15-4ADC-A4BE-D2B33AF2676F}"/>
    <cellStyle name="Currency 5 2 2 3 6 4" xfId="10529" xr:uid="{53FAD962-9E98-4F93-A87F-8B47B4711872}"/>
    <cellStyle name="Currency 5 2 2 3 7" xfId="2426" xr:uid="{00000000-0005-0000-0000-0000EE0B0000}"/>
    <cellStyle name="Currency 5 2 2 3 7 2" xfId="6710" xr:uid="{00000000-0005-0000-0000-0000EF0B0000}"/>
    <cellStyle name="Currency 5 2 2 3 7 2 2" xfId="15160" xr:uid="{0587B924-13DF-42DE-96C3-DB90CBDA9757}"/>
    <cellStyle name="Currency 5 2 2 3 7 3" xfId="10942" xr:uid="{3086CF33-54C9-425E-B659-1FA3AA3AC676}"/>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A8E5F9BD-D3E5-4518-ACCA-911003295CF8}"/>
    <cellStyle name="Currency 5 2 2 3 9 3" xfId="11259" xr:uid="{8E8B7E06-41A6-400E-96E0-EFDD90B0E95A}"/>
    <cellStyle name="Currency 5 2 2 4" xfId="202" xr:uid="{00000000-0005-0000-0000-0000F30B0000}"/>
    <cellStyle name="Currency 5 2 2 4 10" xfId="17319" xr:uid="{192FB246-C77E-465F-A856-BB9A93B2AD3C}"/>
    <cellStyle name="Currency 5 2 2 4 11" xfId="18152" xr:uid="{18FC2C57-B4DD-42A7-9F78-705829440C28}"/>
    <cellStyle name="Currency 5 2 2 4 12" xfId="18981" xr:uid="{88FAF2B0-1203-4B99-82F2-E6D900E106A3}"/>
    <cellStyle name="Currency 5 2 2 4 13" xfId="8878" xr:uid="{3322245A-5CAB-46F5-A78A-C3F7C7476A19}"/>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8B0D332C-D0C6-46DB-8176-C6C5453F61D0}"/>
    <cellStyle name="Currency 5 2 2 4 2 2 3" xfId="11437" xr:uid="{63E1BE8B-8925-4B0A-A47D-8AFAF6883478}"/>
    <cellStyle name="Currency 5 2 2 4 2 3" xfId="5060" xr:uid="{00000000-0005-0000-0000-0000F70B0000}"/>
    <cellStyle name="Currency 5 2 2 4 2 3 2" xfId="13510" xr:uid="{16319A0C-8152-4669-BB56-7D632969B367}"/>
    <cellStyle name="Currency 5 2 2 4 2 4" xfId="17736" xr:uid="{B0C3CBE5-B5F8-4C1D-9ADD-6EF5742E7402}"/>
    <cellStyle name="Currency 5 2 2 4 2 5" xfId="18568" xr:uid="{F9535AAE-D296-45C4-AFA1-60D7A8BAEF3B}"/>
    <cellStyle name="Currency 5 2 2 4 2 6" xfId="19397" xr:uid="{D0156138-707A-4BD5-8A06-0E295CDA2B56}"/>
    <cellStyle name="Currency 5 2 2 4 2 7" xfId="9292" xr:uid="{71589C67-E20C-4630-9067-60F89624CAE6}"/>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F064D5D9-1C5F-4293-8FEA-F69F66AF238F}"/>
    <cellStyle name="Currency 5 2 2 4 3 2 3" xfId="11850" xr:uid="{8D57BFAC-77F1-4331-A5A5-EC65B9CCA9FB}"/>
    <cellStyle name="Currency 5 2 2 4 3 3" xfId="5473" xr:uid="{00000000-0005-0000-0000-0000FB0B0000}"/>
    <cellStyle name="Currency 5 2 2 4 3 3 2" xfId="13923" xr:uid="{CD9B21CD-D789-4C8C-B94E-BF5AE7959E77}"/>
    <cellStyle name="Currency 5 2 2 4 3 4" xfId="9705" xr:uid="{1F3D3A39-0388-4ADE-BFF8-7FEE7A015D64}"/>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ADDA4DBB-677A-4EE8-946B-BF5425CB0FDC}"/>
    <cellStyle name="Currency 5 2 2 4 4 2 3" xfId="12263" xr:uid="{C61466E4-DA67-4F25-AE7A-14241F4EE330}"/>
    <cellStyle name="Currency 5 2 2 4 4 3" xfId="5886" xr:uid="{00000000-0005-0000-0000-0000FF0B0000}"/>
    <cellStyle name="Currency 5 2 2 4 4 3 2" xfId="14336" xr:uid="{FFD6252B-D8C6-4527-B164-B29E8750CDB8}"/>
    <cellStyle name="Currency 5 2 2 4 4 4" xfId="10118" xr:uid="{9E305B57-758F-4271-9914-8D4670A0892A}"/>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653A72B2-1DA0-4842-A204-DD248E50FC5B}"/>
    <cellStyle name="Currency 5 2 2 4 5 2 3" xfId="12676" xr:uid="{7A2608AC-B0BF-456B-AC86-C55A22117269}"/>
    <cellStyle name="Currency 5 2 2 4 5 3" xfId="6299" xr:uid="{00000000-0005-0000-0000-0000030C0000}"/>
    <cellStyle name="Currency 5 2 2 4 5 3 2" xfId="14749" xr:uid="{9287958C-9F74-4AE7-83BE-20C69D1B8773}"/>
    <cellStyle name="Currency 5 2 2 4 5 4" xfId="10531" xr:uid="{4FF3A13F-4BA0-4D5E-BF05-E3D362F6E79B}"/>
    <cellStyle name="Currency 5 2 2 4 6" xfId="2428" xr:uid="{00000000-0005-0000-0000-0000040C0000}"/>
    <cellStyle name="Currency 5 2 2 4 6 2" xfId="6712" xr:uid="{00000000-0005-0000-0000-0000050C0000}"/>
    <cellStyle name="Currency 5 2 2 4 6 2 2" xfId="15162" xr:uid="{E0BCA497-ACE2-4079-96FD-56EEE94CCD70}"/>
    <cellStyle name="Currency 5 2 2 4 6 3" xfId="10944" xr:uid="{4ECAA3BA-7291-464B-8E9F-DBAA6EEA7595}"/>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32616148-E177-4111-A18F-3E93244CE612}"/>
    <cellStyle name="Currency 5 2 2 4 8 3" xfId="11261" xr:uid="{8C6BF13E-F6CB-4569-8135-5DB5B581E4BF}"/>
    <cellStyle name="Currency 5 2 2 4 9" xfId="4646" xr:uid="{00000000-0005-0000-0000-0000090C0000}"/>
    <cellStyle name="Currency 5 2 2 4 9 2" xfId="13096" xr:uid="{9267FB7A-2B44-4524-B6C7-17D652345FDF}"/>
    <cellStyle name="Currency 5 2 2 5" xfId="203" xr:uid="{00000000-0005-0000-0000-00000A0C0000}"/>
    <cellStyle name="Currency 5 2 2 5 10" xfId="17320" xr:uid="{8B06D02A-17CB-4413-AB5F-C5FC6F9F0F07}"/>
    <cellStyle name="Currency 5 2 2 5 11" xfId="18153" xr:uid="{7B8A28DF-1471-4319-B472-AE79EC10FFE7}"/>
    <cellStyle name="Currency 5 2 2 5 12" xfId="18982" xr:uid="{0F9C2C4B-F6DE-49AE-B31B-2B187878128B}"/>
    <cellStyle name="Currency 5 2 2 5 13" xfId="8879" xr:uid="{572E92C7-2D60-4A01-9162-C891369C773C}"/>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388D9C4D-4191-4A4C-80F5-46B83F62E71B}"/>
    <cellStyle name="Currency 5 2 2 5 2 2 3" xfId="11438" xr:uid="{8ED47071-3E76-4F5F-98C2-C9C65C2A60AF}"/>
    <cellStyle name="Currency 5 2 2 5 2 3" xfId="5061" xr:uid="{00000000-0005-0000-0000-00000E0C0000}"/>
    <cellStyle name="Currency 5 2 2 5 2 3 2" xfId="13511" xr:uid="{E371958D-D3A0-4879-888B-505940A04FF3}"/>
    <cellStyle name="Currency 5 2 2 5 2 4" xfId="17737" xr:uid="{D22971AE-EDD8-4B08-95EA-AC5DB11E90AB}"/>
    <cellStyle name="Currency 5 2 2 5 2 5" xfId="18569" xr:uid="{CDB28D18-5FE9-46CC-ABFD-C591349573B8}"/>
    <cellStyle name="Currency 5 2 2 5 2 6" xfId="19398" xr:uid="{E976738D-5ECC-4B56-BF19-FD32BF68A70A}"/>
    <cellStyle name="Currency 5 2 2 5 2 7" xfId="9293" xr:uid="{CB60B655-507A-47E2-B6BB-50A29F5E5F32}"/>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423EF52B-89F3-404D-AFC5-10D090237F19}"/>
    <cellStyle name="Currency 5 2 2 5 3 2 3" xfId="11851" xr:uid="{6EE13DB2-7788-4BC2-B986-BC1BA77D440F}"/>
    <cellStyle name="Currency 5 2 2 5 3 3" xfId="5474" xr:uid="{00000000-0005-0000-0000-0000120C0000}"/>
    <cellStyle name="Currency 5 2 2 5 3 3 2" xfId="13924" xr:uid="{B4317B30-C89F-4EFA-82EE-34ACD0673106}"/>
    <cellStyle name="Currency 5 2 2 5 3 4" xfId="9706" xr:uid="{F9EB44E0-E5A3-4323-BC1D-C7BAAC81BAC4}"/>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871A3CDE-4B56-488D-B6CE-28CAC64593C7}"/>
    <cellStyle name="Currency 5 2 2 5 4 2 3" xfId="12264" xr:uid="{155FEBB9-37EB-4922-A0D8-3D9BB5CE1265}"/>
    <cellStyle name="Currency 5 2 2 5 4 3" xfId="5887" xr:uid="{00000000-0005-0000-0000-0000160C0000}"/>
    <cellStyle name="Currency 5 2 2 5 4 3 2" xfId="14337" xr:uid="{0A3BE7CF-EB15-45A3-A905-8CE5297AC90E}"/>
    <cellStyle name="Currency 5 2 2 5 4 4" xfId="10119" xr:uid="{A2A42384-33AE-4A42-A08C-51881AEC9058}"/>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33EF9E81-E7F1-4F92-852F-5248C7DC8EE8}"/>
    <cellStyle name="Currency 5 2 2 5 5 2 3" xfId="12677" xr:uid="{02D0798B-ED79-427E-811A-65B91C27085E}"/>
    <cellStyle name="Currency 5 2 2 5 5 3" xfId="6300" xr:uid="{00000000-0005-0000-0000-00001A0C0000}"/>
    <cellStyle name="Currency 5 2 2 5 5 3 2" xfId="14750" xr:uid="{0C95D32D-BC34-4E9B-824B-20B5084B6108}"/>
    <cellStyle name="Currency 5 2 2 5 5 4" xfId="10532" xr:uid="{833DA071-6438-4E1A-8B57-57BF35CB8A7B}"/>
    <cellStyle name="Currency 5 2 2 5 6" xfId="2429" xr:uid="{00000000-0005-0000-0000-00001B0C0000}"/>
    <cellStyle name="Currency 5 2 2 5 6 2" xfId="6713" xr:uid="{00000000-0005-0000-0000-00001C0C0000}"/>
    <cellStyle name="Currency 5 2 2 5 6 2 2" xfId="15163" xr:uid="{451181FE-7684-4C92-B9F9-2C0FC466745B}"/>
    <cellStyle name="Currency 5 2 2 5 6 3" xfId="10945" xr:uid="{A761691C-0E9A-4C3F-B933-157FBDFEE2EA}"/>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E248E6EC-71DE-4EFC-B479-3DE1F49110BB}"/>
    <cellStyle name="Currency 5 2 2 5 8 3" xfId="11262" xr:uid="{9CDFDB4D-B101-435A-AC25-B90D6D876481}"/>
    <cellStyle name="Currency 5 2 2 5 9" xfId="4647" xr:uid="{00000000-0005-0000-0000-0000200C0000}"/>
    <cellStyle name="Currency 5 2 2 5 9 2" xfId="13097" xr:uid="{7F838092-B2A2-485F-A718-28C7F1686698}"/>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AAA32361-9AE6-42CA-85ED-2A4DC6F6B2F1}"/>
    <cellStyle name="Currency 5 2 4 11" xfId="17321" xr:uid="{5F6870D3-8DA9-422F-AB74-7BDE305E1F76}"/>
    <cellStyle name="Currency 5 2 4 12" xfId="18154" xr:uid="{FDEF402A-EFDB-4081-AF42-FA4462745EB6}"/>
    <cellStyle name="Currency 5 2 4 13" xfId="18983" xr:uid="{125F6F35-3153-42BC-8F91-AAC0951E9FE6}"/>
    <cellStyle name="Currency 5 2 4 14" xfId="8880" xr:uid="{A267EF3F-4953-4400-80C7-FBB4802156B8}"/>
    <cellStyle name="Currency 5 2 4 2" xfId="206" xr:uid="{00000000-0005-0000-0000-0000250C0000}"/>
    <cellStyle name="Currency 5 2 4 2 10" xfId="17322" xr:uid="{E79CF4C6-42D7-4AD7-B6AA-0271798AC712}"/>
    <cellStyle name="Currency 5 2 4 2 11" xfId="18155" xr:uid="{434117B1-DD47-47FE-92BE-BBF763A65F0B}"/>
    <cellStyle name="Currency 5 2 4 2 12" xfId="18984" xr:uid="{66FF2EA5-CD18-4395-81EC-5C2D092D1A5C}"/>
    <cellStyle name="Currency 5 2 4 2 13" xfId="8881" xr:uid="{7F8336D0-4CDD-47E0-B241-7ED9453FBDD5}"/>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C62B01B1-FF07-4DEF-AE6C-6F917FE19419}"/>
    <cellStyle name="Currency 5 2 4 2 2 2 3" xfId="11440" xr:uid="{81341CCD-0948-42B5-9B40-4593B0CF225A}"/>
    <cellStyle name="Currency 5 2 4 2 2 3" xfId="5063" xr:uid="{00000000-0005-0000-0000-0000290C0000}"/>
    <cellStyle name="Currency 5 2 4 2 2 3 2" xfId="13513" xr:uid="{70E6FFFE-DD74-49B3-9CFA-52386B5D9795}"/>
    <cellStyle name="Currency 5 2 4 2 2 4" xfId="17739" xr:uid="{88CDFD24-930D-4186-81F8-E14D806242B9}"/>
    <cellStyle name="Currency 5 2 4 2 2 5" xfId="18571" xr:uid="{8879B2F8-4E49-40F5-9E6D-B8B87670335F}"/>
    <cellStyle name="Currency 5 2 4 2 2 6" xfId="19400" xr:uid="{EFED8720-E5E8-470C-A227-279D793C243A}"/>
    <cellStyle name="Currency 5 2 4 2 2 7" xfId="9295" xr:uid="{1CE660DA-9D37-464D-A0F8-EB9E4A24D3A7}"/>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5997C4AC-8FAD-46EA-8D7D-7819D73C8E51}"/>
    <cellStyle name="Currency 5 2 4 2 3 2 3" xfId="11853" xr:uid="{48874251-F529-45F9-9E0F-94A1417E3A26}"/>
    <cellStyle name="Currency 5 2 4 2 3 3" xfId="5476" xr:uid="{00000000-0005-0000-0000-00002D0C0000}"/>
    <cellStyle name="Currency 5 2 4 2 3 3 2" xfId="13926" xr:uid="{D5569278-AF56-4CE1-A01E-2F071FBA0A2C}"/>
    <cellStyle name="Currency 5 2 4 2 3 4" xfId="9708" xr:uid="{5015991B-655B-40DF-AD84-4B5BCAF1FA5E}"/>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8039E521-D43B-46FE-B270-0E002409E3B5}"/>
    <cellStyle name="Currency 5 2 4 2 4 2 3" xfId="12266" xr:uid="{E9552038-A203-4010-BFC5-05898EFA2D7F}"/>
    <cellStyle name="Currency 5 2 4 2 4 3" xfId="5889" xr:uid="{00000000-0005-0000-0000-0000310C0000}"/>
    <cellStyle name="Currency 5 2 4 2 4 3 2" xfId="14339" xr:uid="{1D2CA863-0DC4-47F3-959E-6224F24CF9CD}"/>
    <cellStyle name="Currency 5 2 4 2 4 4" xfId="10121" xr:uid="{51E88AEB-1077-4F4F-B8BA-A0DFADD0A476}"/>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6A95E8E7-8603-44D8-95AA-9779AB380309}"/>
    <cellStyle name="Currency 5 2 4 2 5 2 3" xfId="12679" xr:uid="{DE8355FE-127A-4FEF-8D81-B74FA17C372F}"/>
    <cellStyle name="Currency 5 2 4 2 5 3" xfId="6302" xr:uid="{00000000-0005-0000-0000-0000350C0000}"/>
    <cellStyle name="Currency 5 2 4 2 5 3 2" xfId="14752" xr:uid="{77376BF8-25B2-49CA-AEC1-15DB05D6C34B}"/>
    <cellStyle name="Currency 5 2 4 2 5 4" xfId="10534" xr:uid="{77B35652-1D25-4ED1-A992-1674902E0A98}"/>
    <cellStyle name="Currency 5 2 4 2 6" xfId="2431" xr:uid="{00000000-0005-0000-0000-0000360C0000}"/>
    <cellStyle name="Currency 5 2 4 2 6 2" xfId="6715" xr:uid="{00000000-0005-0000-0000-0000370C0000}"/>
    <cellStyle name="Currency 5 2 4 2 6 2 2" xfId="15165" xr:uid="{090A2949-7C8C-4C52-8401-F4839AE1EAD0}"/>
    <cellStyle name="Currency 5 2 4 2 6 3" xfId="10947" xr:uid="{B81D3F53-D4D2-4B77-A4B6-34A85B3F91B9}"/>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F6E1B2FA-2A81-4061-9BE7-C0BC6FFFAA62}"/>
    <cellStyle name="Currency 5 2 4 2 8 3" xfId="11264" xr:uid="{9E783B4A-7693-441C-827A-4E82B90F8BE8}"/>
    <cellStyle name="Currency 5 2 4 2 9" xfId="4649" xr:uid="{00000000-0005-0000-0000-00003B0C0000}"/>
    <cellStyle name="Currency 5 2 4 2 9 2" xfId="13099" xr:uid="{D2822E4E-D0DD-4AB3-9FB0-9C23EE1ECECA}"/>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5680F6A7-9FA8-457C-9532-AEDF1B88B005}"/>
    <cellStyle name="Currency 5 2 4 3 2 3" xfId="11439" xr:uid="{09308012-9905-49BE-9D51-0A353741C458}"/>
    <cellStyle name="Currency 5 2 4 3 3" xfId="5062" xr:uid="{00000000-0005-0000-0000-00003F0C0000}"/>
    <cellStyle name="Currency 5 2 4 3 3 2" xfId="13512" xr:uid="{1F02E06C-55A8-47E3-81A2-FB52FB234307}"/>
    <cellStyle name="Currency 5 2 4 3 4" xfId="17738" xr:uid="{95813A18-E3CB-4DB7-8BD0-B30AC4542D35}"/>
    <cellStyle name="Currency 5 2 4 3 5" xfId="18570" xr:uid="{A104AD70-160A-4CFD-B2F1-E5F87A278406}"/>
    <cellStyle name="Currency 5 2 4 3 6" xfId="19399" xr:uid="{971D7E78-39FC-4096-A48E-EE1CAE5A765B}"/>
    <cellStyle name="Currency 5 2 4 3 7" xfId="9294" xr:uid="{D7C816FF-5B0B-45DC-AC1A-99113A756F27}"/>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44481668-20FC-4E3F-8D0D-7D2752021FA9}"/>
    <cellStyle name="Currency 5 2 4 4 2 3" xfId="11852" xr:uid="{09552AA6-1BE4-49DC-BA87-A453A05C56EA}"/>
    <cellStyle name="Currency 5 2 4 4 3" xfId="5475" xr:uid="{00000000-0005-0000-0000-0000430C0000}"/>
    <cellStyle name="Currency 5 2 4 4 3 2" xfId="13925" xr:uid="{8E8382EA-DD9A-4184-B80F-1CB0573A9A5E}"/>
    <cellStyle name="Currency 5 2 4 4 4" xfId="9707" xr:uid="{CD6E863A-0192-4F2D-879E-4DC934083E93}"/>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194F08E4-F6F9-488A-976F-9BA25600A90C}"/>
    <cellStyle name="Currency 5 2 4 5 2 3" xfId="12265" xr:uid="{98CB327D-E238-4401-91EB-E7A3DB2D3EDA}"/>
    <cellStyle name="Currency 5 2 4 5 3" xfId="5888" xr:uid="{00000000-0005-0000-0000-0000470C0000}"/>
    <cellStyle name="Currency 5 2 4 5 3 2" xfId="14338" xr:uid="{081F3AC8-F662-400E-82CF-31E3B9027418}"/>
    <cellStyle name="Currency 5 2 4 5 4" xfId="10120" xr:uid="{10317510-A7F3-4E30-A6B2-6325B1921147}"/>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2F35E1BA-B0D3-4B7A-A2D4-C95B7C22B41F}"/>
    <cellStyle name="Currency 5 2 4 6 2 3" xfId="12678" xr:uid="{4DA682EB-44DD-40D8-8F42-735547FFF855}"/>
    <cellStyle name="Currency 5 2 4 6 3" xfId="6301" xr:uid="{00000000-0005-0000-0000-00004B0C0000}"/>
    <cellStyle name="Currency 5 2 4 6 3 2" xfId="14751" xr:uid="{374EFF97-6D33-4CE3-AAFE-4C32D546716F}"/>
    <cellStyle name="Currency 5 2 4 6 4" xfId="10533" xr:uid="{DB6F4203-6840-4BE7-9956-B81443F26927}"/>
    <cellStyle name="Currency 5 2 4 7" xfId="2430" xr:uid="{00000000-0005-0000-0000-00004C0C0000}"/>
    <cellStyle name="Currency 5 2 4 7 2" xfId="6714" xr:uid="{00000000-0005-0000-0000-00004D0C0000}"/>
    <cellStyle name="Currency 5 2 4 7 2 2" xfId="15164" xr:uid="{75DA38AB-6757-46D7-A9F3-60D8228E64A0}"/>
    <cellStyle name="Currency 5 2 4 7 3" xfId="10946" xr:uid="{4419EABD-1C90-4647-83E1-C25E11538531}"/>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0DD99958-8410-4AC6-BE50-20163DA0B446}"/>
    <cellStyle name="Currency 5 2 4 9 3" xfId="11263" xr:uid="{E425AFE9-8982-466A-A71A-9C047FB4BC0E}"/>
    <cellStyle name="Currency 5 2 5" xfId="207" xr:uid="{00000000-0005-0000-0000-0000510C0000}"/>
    <cellStyle name="Currency 5 2 5 10" xfId="17323" xr:uid="{D73805E1-4842-4AB0-936B-B1D8193BBEBE}"/>
    <cellStyle name="Currency 5 2 5 11" xfId="18156" xr:uid="{A2B87F7C-1B2D-479E-84DF-D9C4D6C97A53}"/>
    <cellStyle name="Currency 5 2 5 12" xfId="18985" xr:uid="{01271A31-F3F4-461A-B216-4554A96BAED7}"/>
    <cellStyle name="Currency 5 2 5 13" xfId="8882" xr:uid="{43E613A0-5B4B-4B13-977A-72C1AEED9B96}"/>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EAB7542D-F167-4FA1-81A0-7664C6F08D56}"/>
    <cellStyle name="Currency 5 2 5 2 2 3" xfId="11441" xr:uid="{EC132930-5D1E-42FE-AA2B-FB843EB22CF2}"/>
    <cellStyle name="Currency 5 2 5 2 3" xfId="5064" xr:uid="{00000000-0005-0000-0000-0000550C0000}"/>
    <cellStyle name="Currency 5 2 5 2 3 2" xfId="13514" xr:uid="{ACACEA7D-AD5F-4371-AC8D-1863F83AB2B7}"/>
    <cellStyle name="Currency 5 2 5 2 4" xfId="17740" xr:uid="{7681506C-0A07-4975-A307-CCB5AD15C418}"/>
    <cellStyle name="Currency 5 2 5 2 5" xfId="18572" xr:uid="{601DAA3D-C44E-4F70-993E-1F9C9C1C744C}"/>
    <cellStyle name="Currency 5 2 5 2 6" xfId="19401" xr:uid="{1F546CEE-764F-4796-A4F5-3E66D6430E3F}"/>
    <cellStyle name="Currency 5 2 5 2 7" xfId="9296" xr:uid="{195845ED-4D18-4365-8F2F-D75A9152235E}"/>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6EB25C07-0325-4076-B917-AA56FB271E73}"/>
    <cellStyle name="Currency 5 2 5 3 2 3" xfId="11854" xr:uid="{086B7AFB-2A08-461E-BC69-9FC0108124B0}"/>
    <cellStyle name="Currency 5 2 5 3 3" xfId="5477" xr:uid="{00000000-0005-0000-0000-0000590C0000}"/>
    <cellStyle name="Currency 5 2 5 3 3 2" xfId="13927" xr:uid="{AE58AE53-DD66-443C-A3C1-BE91BA065526}"/>
    <cellStyle name="Currency 5 2 5 3 4" xfId="9709" xr:uid="{4B1A34AC-2EF6-4E54-848D-B2B736D930AE}"/>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32AC3528-E2E7-41C7-A7EF-A6EC1DF3C01A}"/>
    <cellStyle name="Currency 5 2 5 4 2 3" xfId="12267" xr:uid="{726D8BAE-ABAF-4ABF-80B1-CCC776C85247}"/>
    <cellStyle name="Currency 5 2 5 4 3" xfId="5890" xr:uid="{00000000-0005-0000-0000-00005D0C0000}"/>
    <cellStyle name="Currency 5 2 5 4 3 2" xfId="14340" xr:uid="{3F4FF9F9-C18D-4D42-80DE-57658F4AA25C}"/>
    <cellStyle name="Currency 5 2 5 4 4" xfId="10122" xr:uid="{E3D9A0AD-AA57-49B4-BF7A-310AA811C3DE}"/>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47F8F766-650E-4124-ABBD-D964EFA0D9FF}"/>
    <cellStyle name="Currency 5 2 5 5 2 3" xfId="12680" xr:uid="{BC5DC89B-C829-476E-9F30-F9B4C0424934}"/>
    <cellStyle name="Currency 5 2 5 5 3" xfId="6303" xr:uid="{00000000-0005-0000-0000-0000610C0000}"/>
    <cellStyle name="Currency 5 2 5 5 3 2" xfId="14753" xr:uid="{8DFD8984-2052-4733-BE20-BCB062BAA443}"/>
    <cellStyle name="Currency 5 2 5 5 4" xfId="10535" xr:uid="{5F50896A-AA98-448F-92F0-2A273E8B256B}"/>
    <cellStyle name="Currency 5 2 5 6" xfId="2432" xr:uid="{00000000-0005-0000-0000-0000620C0000}"/>
    <cellStyle name="Currency 5 2 5 6 2" xfId="6716" xr:uid="{00000000-0005-0000-0000-0000630C0000}"/>
    <cellStyle name="Currency 5 2 5 6 2 2" xfId="15166" xr:uid="{15829879-1AC1-46AE-A4DB-5240B42E9DCB}"/>
    <cellStyle name="Currency 5 2 5 6 3" xfId="10948" xr:uid="{C2227DA6-1067-4E31-9970-B35ECE20CA09}"/>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F1CFE7F2-56D5-49E7-B15C-E0CB5CE3EB5E}"/>
    <cellStyle name="Currency 5 2 5 8 3" xfId="11265" xr:uid="{BDB0E5F5-B470-4EA3-861C-3DB37AB59222}"/>
    <cellStyle name="Currency 5 2 5 9" xfId="4650" xr:uid="{00000000-0005-0000-0000-0000670C0000}"/>
    <cellStyle name="Currency 5 2 5 9 2" xfId="13100" xr:uid="{FC2B7CE6-E9CE-49C4-BAC0-299E13E7D835}"/>
    <cellStyle name="Currency 5 2 6" xfId="208" xr:uid="{00000000-0005-0000-0000-0000680C0000}"/>
    <cellStyle name="Currency 5 2 6 10" xfId="17324" xr:uid="{14FD55ED-43BF-41F7-842C-7102EE5FA6D5}"/>
    <cellStyle name="Currency 5 2 6 11" xfId="18157" xr:uid="{CE0244B8-9A85-4997-8831-1B184D605524}"/>
    <cellStyle name="Currency 5 2 6 12" xfId="18986" xr:uid="{B42A1C23-8512-4F2F-9489-E14692A3462B}"/>
    <cellStyle name="Currency 5 2 6 13" xfId="8883" xr:uid="{51E333F8-6DF2-4277-A35B-27C92C8F1A25}"/>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B4F912D3-067B-48D6-823A-7DFF35F97E99}"/>
    <cellStyle name="Currency 5 2 6 2 2 3" xfId="11442" xr:uid="{78186701-F54D-47D0-84F1-1EC4D4FD8C26}"/>
    <cellStyle name="Currency 5 2 6 2 3" xfId="5065" xr:uid="{00000000-0005-0000-0000-00006C0C0000}"/>
    <cellStyle name="Currency 5 2 6 2 3 2" xfId="13515" xr:uid="{A5C87AAA-5896-4EAB-8333-84D50A8CF4E6}"/>
    <cellStyle name="Currency 5 2 6 2 4" xfId="17741" xr:uid="{07A57E99-EA35-4824-A17A-11974FD8BEA8}"/>
    <cellStyle name="Currency 5 2 6 2 5" xfId="18573" xr:uid="{53E60FFA-1A32-42F4-A455-3448751C86F7}"/>
    <cellStyle name="Currency 5 2 6 2 6" xfId="19402" xr:uid="{97B61EE7-A569-48BC-A4DE-2CF36BFDD8B1}"/>
    <cellStyle name="Currency 5 2 6 2 7" xfId="9297" xr:uid="{7C6CA4B2-34E0-4AEF-AA41-772F1F38B75B}"/>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77E88389-9D7A-4D30-98EA-689C4317C6A2}"/>
    <cellStyle name="Currency 5 2 6 3 2 3" xfId="11855" xr:uid="{A5F7C37A-BD75-40C0-BD97-1272AEF842BD}"/>
    <cellStyle name="Currency 5 2 6 3 3" xfId="5478" xr:uid="{00000000-0005-0000-0000-0000700C0000}"/>
    <cellStyle name="Currency 5 2 6 3 3 2" xfId="13928" xr:uid="{2E041F7A-97D7-46A6-B94E-83535BE662D4}"/>
    <cellStyle name="Currency 5 2 6 3 4" xfId="9710" xr:uid="{C7ABB8FB-B041-4595-9435-EFBC15915733}"/>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6CD2093D-BEF3-4126-90C6-1B709AE4B984}"/>
    <cellStyle name="Currency 5 2 6 4 2 3" xfId="12268" xr:uid="{FCC7801D-2B0F-4019-979C-59D2C9CF9EF7}"/>
    <cellStyle name="Currency 5 2 6 4 3" xfId="5891" xr:uid="{00000000-0005-0000-0000-0000740C0000}"/>
    <cellStyle name="Currency 5 2 6 4 3 2" xfId="14341" xr:uid="{21D1A046-923D-4693-B4CD-3A2FAF2A7190}"/>
    <cellStyle name="Currency 5 2 6 4 4" xfId="10123" xr:uid="{A1BC4F65-694B-4680-86EE-674B5379D3E4}"/>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089D31AA-3D5C-4934-95BB-863970E193BC}"/>
    <cellStyle name="Currency 5 2 6 5 2 3" xfId="12681" xr:uid="{73A05778-47EC-41BD-9831-F5729430424A}"/>
    <cellStyle name="Currency 5 2 6 5 3" xfId="6304" xr:uid="{00000000-0005-0000-0000-0000780C0000}"/>
    <cellStyle name="Currency 5 2 6 5 3 2" xfId="14754" xr:uid="{3F422B3A-2A0D-458D-BCA3-7721322E5145}"/>
    <cellStyle name="Currency 5 2 6 5 4" xfId="10536" xr:uid="{0DE54A3A-F78C-4112-A26B-5E314E885C75}"/>
    <cellStyle name="Currency 5 2 6 6" xfId="2433" xr:uid="{00000000-0005-0000-0000-0000790C0000}"/>
    <cellStyle name="Currency 5 2 6 6 2" xfId="6717" xr:uid="{00000000-0005-0000-0000-00007A0C0000}"/>
    <cellStyle name="Currency 5 2 6 6 2 2" xfId="15167" xr:uid="{3551D520-1130-4D65-A5F6-10B7E80A212C}"/>
    <cellStyle name="Currency 5 2 6 6 3" xfId="10949" xr:uid="{1F2764A2-89A6-416D-932D-F1941A393D86}"/>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E7414D65-C190-4183-A2FA-36373EF99B7F}"/>
    <cellStyle name="Currency 5 2 6 8 3" xfId="11266" xr:uid="{64778FED-1D41-4A2B-BB8B-0F5C74D54D66}"/>
    <cellStyle name="Currency 5 2 6 9" xfId="4651" xr:uid="{00000000-0005-0000-0000-00007E0C0000}"/>
    <cellStyle name="Currency 5 2 6 9 2" xfId="13101" xr:uid="{6E3B90B7-F12C-4BE3-8106-64007425007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98C0926A-9E91-4647-AF8E-94C896C4FB08}"/>
    <cellStyle name="Currency 5 3 2 10 3" xfId="11267" xr:uid="{1B0A3847-FDC4-4FE8-93D3-5868B9814C9D}"/>
    <cellStyle name="Currency 5 3 2 11" xfId="4652" xr:uid="{00000000-0005-0000-0000-0000840C0000}"/>
    <cellStyle name="Currency 5 3 2 11 2" xfId="13102" xr:uid="{3F2CBEC1-70BF-46BF-B085-73A940C91B59}"/>
    <cellStyle name="Currency 5 3 2 12" xfId="17325" xr:uid="{D9AF0277-6BA6-4362-A6BE-79CA32629899}"/>
    <cellStyle name="Currency 5 3 2 13" xfId="18158" xr:uid="{0B658145-02D7-4CF1-8CBA-540AE984974E}"/>
    <cellStyle name="Currency 5 3 2 14" xfId="18987" xr:uid="{BAC7673F-ECDB-4644-A257-8AFD88044F04}"/>
    <cellStyle name="Currency 5 3 2 15" xfId="8884" xr:uid="{46B31F69-70A8-426F-8B8F-7B2357BA26B3}"/>
    <cellStyle name="Currency 5 3 2 2" xfId="211" xr:uid="{00000000-0005-0000-0000-0000850C0000}"/>
    <cellStyle name="Currency 5 3 2 2 10" xfId="4653" xr:uid="{00000000-0005-0000-0000-0000860C0000}"/>
    <cellStyle name="Currency 5 3 2 2 10 2" xfId="13103" xr:uid="{C352631F-21D4-4DE3-ABDE-4AAEC60CBB51}"/>
    <cellStyle name="Currency 5 3 2 2 11" xfId="17326" xr:uid="{209605F5-7D4C-4E0F-8D7D-C0C915203BDC}"/>
    <cellStyle name="Currency 5 3 2 2 12" xfId="18159" xr:uid="{56797555-D261-460C-8650-E39A7F667BFD}"/>
    <cellStyle name="Currency 5 3 2 2 13" xfId="18988" xr:uid="{E43D0C28-FA43-4912-9D11-4BDBF803819E}"/>
    <cellStyle name="Currency 5 3 2 2 14" xfId="8885" xr:uid="{FE317804-445A-4D6F-AE64-A9695387C2AB}"/>
    <cellStyle name="Currency 5 3 2 2 2" xfId="212" xr:uid="{00000000-0005-0000-0000-0000870C0000}"/>
    <cellStyle name="Currency 5 3 2 2 2 10" xfId="17327" xr:uid="{CFCB3C61-42A1-40FF-92FA-6F727F6D299E}"/>
    <cellStyle name="Currency 5 3 2 2 2 11" xfId="18160" xr:uid="{3A11F4D8-283A-4F0A-8635-C83483112472}"/>
    <cellStyle name="Currency 5 3 2 2 2 12" xfId="18989" xr:uid="{F24071D9-F992-4C66-8042-33B779983552}"/>
    <cellStyle name="Currency 5 3 2 2 2 13" xfId="8886" xr:uid="{579D051C-7D46-4111-A062-0924B36B514D}"/>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3E734E03-84EB-46A9-B23C-AC821DBD6148}"/>
    <cellStyle name="Currency 5 3 2 2 2 2 2 3" xfId="11445" xr:uid="{F758D18F-7F4F-4384-8E95-D0A0E2026D7E}"/>
    <cellStyle name="Currency 5 3 2 2 2 2 3" xfId="5068" xr:uid="{00000000-0005-0000-0000-00008B0C0000}"/>
    <cellStyle name="Currency 5 3 2 2 2 2 3 2" xfId="13518" xr:uid="{C4B5556B-ED22-4BC3-B567-EB831D7961EC}"/>
    <cellStyle name="Currency 5 3 2 2 2 2 4" xfId="17744" xr:uid="{B03AF814-B086-49CF-B2E7-0430EBF3FC6C}"/>
    <cellStyle name="Currency 5 3 2 2 2 2 5" xfId="18576" xr:uid="{01F6E9FE-3BF2-45AB-A3F2-309BD368A7A7}"/>
    <cellStyle name="Currency 5 3 2 2 2 2 6" xfId="19405" xr:uid="{8DCC0734-FE8D-4667-9911-10A3133ADF90}"/>
    <cellStyle name="Currency 5 3 2 2 2 2 7" xfId="9300" xr:uid="{BBACC5EE-F9DE-4B18-A09F-FD1BA904DDE3}"/>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749922E8-F1EC-4AB1-B19B-A986A124ABA3}"/>
    <cellStyle name="Currency 5 3 2 2 2 3 2 3" xfId="11858" xr:uid="{1EFFE1C2-A80B-47D1-B673-FA61A54E0B46}"/>
    <cellStyle name="Currency 5 3 2 2 2 3 3" xfId="5481" xr:uid="{00000000-0005-0000-0000-00008F0C0000}"/>
    <cellStyle name="Currency 5 3 2 2 2 3 3 2" xfId="13931" xr:uid="{FD1906BC-9227-42E3-AA03-0FB7BEF2EFC4}"/>
    <cellStyle name="Currency 5 3 2 2 2 3 4" xfId="9713" xr:uid="{32E0F6E3-A02C-44BB-8953-A7D2042F2A22}"/>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FB78F9D0-D601-482B-8AF6-BB659B467939}"/>
    <cellStyle name="Currency 5 3 2 2 2 4 2 3" xfId="12271" xr:uid="{F03A9D99-3255-4C8D-8607-92C8286E93F2}"/>
    <cellStyle name="Currency 5 3 2 2 2 4 3" xfId="5894" xr:uid="{00000000-0005-0000-0000-0000930C0000}"/>
    <cellStyle name="Currency 5 3 2 2 2 4 3 2" xfId="14344" xr:uid="{B5667C03-84B7-4E88-B6CE-7C051936D9D6}"/>
    <cellStyle name="Currency 5 3 2 2 2 4 4" xfId="10126" xr:uid="{E29BFB4E-E550-4236-9575-B4BFB1A62C7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6014868F-0EBA-4281-A2E3-560B28FBC55D}"/>
    <cellStyle name="Currency 5 3 2 2 2 5 2 3" xfId="12684" xr:uid="{B46DB882-00AC-4E21-818F-B9289091BE17}"/>
    <cellStyle name="Currency 5 3 2 2 2 5 3" xfId="6307" xr:uid="{00000000-0005-0000-0000-0000970C0000}"/>
    <cellStyle name="Currency 5 3 2 2 2 5 3 2" xfId="14757" xr:uid="{60D33603-6E4C-44DE-9B63-BFD63EC261BC}"/>
    <cellStyle name="Currency 5 3 2 2 2 5 4" xfId="10539" xr:uid="{EE26446A-9ED1-45CE-A348-EDB2571C0135}"/>
    <cellStyle name="Currency 5 3 2 2 2 6" xfId="2436" xr:uid="{00000000-0005-0000-0000-0000980C0000}"/>
    <cellStyle name="Currency 5 3 2 2 2 6 2" xfId="6720" xr:uid="{00000000-0005-0000-0000-0000990C0000}"/>
    <cellStyle name="Currency 5 3 2 2 2 6 2 2" xfId="15170" xr:uid="{A1B9EA83-6310-49CB-AA59-B389D54F83C0}"/>
    <cellStyle name="Currency 5 3 2 2 2 6 3" xfId="10952" xr:uid="{D33259E1-FB09-4561-9690-417893CF70AC}"/>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F9332BB6-BB1B-4491-80DB-8CDFD415E62D}"/>
    <cellStyle name="Currency 5 3 2 2 2 8 3" xfId="11269" xr:uid="{9A333FB5-FA9B-40BB-B1B2-74988FF6F102}"/>
    <cellStyle name="Currency 5 3 2 2 2 9" xfId="4654" xr:uid="{00000000-0005-0000-0000-00009D0C0000}"/>
    <cellStyle name="Currency 5 3 2 2 2 9 2" xfId="13104" xr:uid="{0AA8D9BA-2422-47FA-8A5D-E2FEEDEC7091}"/>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36A227AD-C23D-49B7-8208-A7A340AC7B01}"/>
    <cellStyle name="Currency 5 3 2 2 3 2 3" xfId="11444" xr:uid="{2DE3BA67-0F7E-46A0-AFC1-8F90672DE254}"/>
    <cellStyle name="Currency 5 3 2 2 3 3" xfId="5067" xr:uid="{00000000-0005-0000-0000-0000A10C0000}"/>
    <cellStyle name="Currency 5 3 2 2 3 3 2" xfId="13517" xr:uid="{3B192241-C9E4-4987-BDF3-3F35A33440B3}"/>
    <cellStyle name="Currency 5 3 2 2 3 4" xfId="17743" xr:uid="{EFAB4B29-FFE8-47C6-BD4A-27483CD14D9B}"/>
    <cellStyle name="Currency 5 3 2 2 3 5" xfId="18575" xr:uid="{BCCB37D5-B556-4102-A92B-8A7ADC368E3F}"/>
    <cellStyle name="Currency 5 3 2 2 3 6" xfId="19404" xr:uid="{7A2AFC65-B6C1-42B4-8D7F-04D5202EC072}"/>
    <cellStyle name="Currency 5 3 2 2 3 7" xfId="9299" xr:uid="{C314D604-DD6E-4635-897D-62EE83AAA1B9}"/>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1F0D08CD-2EF5-473F-9ED9-84A478B93F66}"/>
    <cellStyle name="Currency 5 3 2 2 4 2 3" xfId="11857" xr:uid="{8013AEE3-9959-4850-8713-6CC658B31F40}"/>
    <cellStyle name="Currency 5 3 2 2 4 3" xfId="5480" xr:uid="{00000000-0005-0000-0000-0000A50C0000}"/>
    <cellStyle name="Currency 5 3 2 2 4 3 2" xfId="13930" xr:uid="{86B6885C-DEE5-4548-AFA5-4CE498462ABA}"/>
    <cellStyle name="Currency 5 3 2 2 4 4" xfId="9712" xr:uid="{CA6CFA43-A6C4-467A-A262-960DF56C02AF}"/>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381C238E-C04A-413A-B484-5C7E2504216A}"/>
    <cellStyle name="Currency 5 3 2 2 5 2 3" xfId="12270" xr:uid="{3D9F8464-C193-4043-92CD-6E96A424F301}"/>
    <cellStyle name="Currency 5 3 2 2 5 3" xfId="5893" xr:uid="{00000000-0005-0000-0000-0000A90C0000}"/>
    <cellStyle name="Currency 5 3 2 2 5 3 2" xfId="14343" xr:uid="{91FE2591-D8AC-4D6B-9EA1-221CB4C7A78C}"/>
    <cellStyle name="Currency 5 3 2 2 5 4" xfId="10125" xr:uid="{8A9C4E9A-6290-42EC-A5BD-043EE37BA176}"/>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5C484581-F917-4336-8090-3E610BDFA23B}"/>
    <cellStyle name="Currency 5 3 2 2 6 2 3" xfId="12683" xr:uid="{0689C2DB-F9C8-4A37-AF48-2D080EF1C689}"/>
    <cellStyle name="Currency 5 3 2 2 6 3" xfId="6306" xr:uid="{00000000-0005-0000-0000-0000AD0C0000}"/>
    <cellStyle name="Currency 5 3 2 2 6 3 2" xfId="14756" xr:uid="{644AFC8D-0AB8-4657-8912-F0B834CCA5BE}"/>
    <cellStyle name="Currency 5 3 2 2 6 4" xfId="10538" xr:uid="{012B78CD-9876-419A-9040-C15EAEAB7558}"/>
    <cellStyle name="Currency 5 3 2 2 7" xfId="2435" xr:uid="{00000000-0005-0000-0000-0000AE0C0000}"/>
    <cellStyle name="Currency 5 3 2 2 7 2" xfId="6719" xr:uid="{00000000-0005-0000-0000-0000AF0C0000}"/>
    <cellStyle name="Currency 5 3 2 2 7 2 2" xfId="15169" xr:uid="{AF7C6B44-49BC-49D1-BF14-71FC02FEB1FF}"/>
    <cellStyle name="Currency 5 3 2 2 7 3" xfId="10951" xr:uid="{1D69418B-671D-4435-8A0E-E41F6D8ABEE8}"/>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B9E06147-8183-483E-BC56-62B5AC2410E3}"/>
    <cellStyle name="Currency 5 3 2 2 9 3" xfId="11268" xr:uid="{7DB10319-7AD8-4366-A387-4AF0F2C32A8D}"/>
    <cellStyle name="Currency 5 3 2 3" xfId="213" xr:uid="{00000000-0005-0000-0000-0000B30C0000}"/>
    <cellStyle name="Currency 5 3 2 3 10" xfId="17328" xr:uid="{20214CEC-9D24-4C83-ADF6-F380CF58BD87}"/>
    <cellStyle name="Currency 5 3 2 3 11" xfId="18161" xr:uid="{F086ED78-8057-45BE-8D9C-A1B4D100AC4B}"/>
    <cellStyle name="Currency 5 3 2 3 12" xfId="18990" xr:uid="{BBE68A4C-042D-4F28-997D-5D424BCE33EF}"/>
    <cellStyle name="Currency 5 3 2 3 13" xfId="8887" xr:uid="{F46D2958-EF93-42A6-8FFE-66251BB7D4BE}"/>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81115F1D-BB1E-471E-B85D-6072E495CDBB}"/>
    <cellStyle name="Currency 5 3 2 3 2 2 3" xfId="11446" xr:uid="{114E7FF1-5345-4FE5-8943-673FF240B70F}"/>
    <cellStyle name="Currency 5 3 2 3 2 3" xfId="5069" xr:uid="{00000000-0005-0000-0000-0000B70C0000}"/>
    <cellStyle name="Currency 5 3 2 3 2 3 2" xfId="13519" xr:uid="{813BBFAA-C7C6-4CA7-BB8E-09A228E6E079}"/>
    <cellStyle name="Currency 5 3 2 3 2 4" xfId="17745" xr:uid="{A1866927-617E-426A-9C43-5E4B1664A579}"/>
    <cellStyle name="Currency 5 3 2 3 2 5" xfId="18577" xr:uid="{B5BA3465-9FF0-45A2-B7C5-456C48D25FC7}"/>
    <cellStyle name="Currency 5 3 2 3 2 6" xfId="19406" xr:uid="{A67CC648-2A3D-4168-A36C-66918A08513C}"/>
    <cellStyle name="Currency 5 3 2 3 2 7" xfId="9301" xr:uid="{979DFCDF-20EB-4FFC-8033-5CE20702F0E2}"/>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6AD1905A-AF48-426B-90C3-355C394C0A03}"/>
    <cellStyle name="Currency 5 3 2 3 3 2 3" xfId="11859" xr:uid="{3799CB5B-3D1E-465F-A850-440BFEE1F187}"/>
    <cellStyle name="Currency 5 3 2 3 3 3" xfId="5482" xr:uid="{00000000-0005-0000-0000-0000BB0C0000}"/>
    <cellStyle name="Currency 5 3 2 3 3 3 2" xfId="13932" xr:uid="{17A5D917-2FB2-4FAB-9366-F978A5085E9C}"/>
    <cellStyle name="Currency 5 3 2 3 3 4" xfId="9714" xr:uid="{464F7678-DA17-4F27-97BA-1B914ABEE0E1}"/>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1D61CE52-5176-4E13-A0D6-28FB7544CCC7}"/>
    <cellStyle name="Currency 5 3 2 3 4 2 3" xfId="12272" xr:uid="{13A9D0D6-FCA3-4B2D-9228-1B898C7D267D}"/>
    <cellStyle name="Currency 5 3 2 3 4 3" xfId="5895" xr:uid="{00000000-0005-0000-0000-0000BF0C0000}"/>
    <cellStyle name="Currency 5 3 2 3 4 3 2" xfId="14345" xr:uid="{DD7BE0FB-8EA7-4E1C-A9B5-98B50CF072EE}"/>
    <cellStyle name="Currency 5 3 2 3 4 4" xfId="10127" xr:uid="{200EC1A3-1B2E-4FA5-8E34-F1FA82960854}"/>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1F039EAC-A2F9-4BA8-B1A4-B949385F84CF}"/>
    <cellStyle name="Currency 5 3 2 3 5 2 3" xfId="12685" xr:uid="{9B44FEA1-1E3B-4608-9E84-ED113A4FC211}"/>
    <cellStyle name="Currency 5 3 2 3 5 3" xfId="6308" xr:uid="{00000000-0005-0000-0000-0000C30C0000}"/>
    <cellStyle name="Currency 5 3 2 3 5 3 2" xfId="14758" xr:uid="{BB090832-DDB5-42C2-B214-3C1C43F148BC}"/>
    <cellStyle name="Currency 5 3 2 3 5 4" xfId="10540" xr:uid="{6F719634-3EE8-44CE-AD44-F47D706E005A}"/>
    <cellStyle name="Currency 5 3 2 3 6" xfId="2437" xr:uid="{00000000-0005-0000-0000-0000C40C0000}"/>
    <cellStyle name="Currency 5 3 2 3 6 2" xfId="6721" xr:uid="{00000000-0005-0000-0000-0000C50C0000}"/>
    <cellStyle name="Currency 5 3 2 3 6 2 2" xfId="15171" xr:uid="{BDA6B9F1-B98B-4244-85F9-16F437E189D0}"/>
    <cellStyle name="Currency 5 3 2 3 6 3" xfId="10953" xr:uid="{159C434C-7541-43C4-8B13-1171E5154D84}"/>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B5778AEC-76A2-4CEC-A934-D12EF106825E}"/>
    <cellStyle name="Currency 5 3 2 3 8 3" xfId="11270" xr:uid="{0264FB64-E019-494F-81D7-4F283C2E83C3}"/>
    <cellStyle name="Currency 5 3 2 3 9" xfId="4655" xr:uid="{00000000-0005-0000-0000-0000C90C0000}"/>
    <cellStyle name="Currency 5 3 2 3 9 2" xfId="13105" xr:uid="{468E1099-A352-4CB0-8287-79039A42D6A4}"/>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DB1A478E-3E64-48C7-9CF2-0350B20FE1E6}"/>
    <cellStyle name="Currency 5 3 2 4 2 3" xfId="11443" xr:uid="{216752D1-53F6-4FEB-AB4E-A493D69FB772}"/>
    <cellStyle name="Currency 5 3 2 4 3" xfId="5066" xr:uid="{00000000-0005-0000-0000-0000CD0C0000}"/>
    <cellStyle name="Currency 5 3 2 4 3 2" xfId="13516" xr:uid="{A14C4E35-3FF9-44ED-8086-14425661D5FD}"/>
    <cellStyle name="Currency 5 3 2 4 4" xfId="17742" xr:uid="{F6F866D2-895C-41F3-B69C-781C4FBD490D}"/>
    <cellStyle name="Currency 5 3 2 4 5" xfId="18574" xr:uid="{F4F76BD6-C47C-4F90-84AB-6A9F642D716D}"/>
    <cellStyle name="Currency 5 3 2 4 6" xfId="19403" xr:uid="{24467979-2E57-425F-9300-98A764C92571}"/>
    <cellStyle name="Currency 5 3 2 4 7" xfId="9298" xr:uid="{C2E378E0-0545-455C-A7D4-88A2063C0879}"/>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80ED014B-68FB-4A9F-BA34-300649BAEB58}"/>
    <cellStyle name="Currency 5 3 2 5 2 3" xfId="11856" xr:uid="{C679B075-6FF7-4D56-8CB8-620E863C2036}"/>
    <cellStyle name="Currency 5 3 2 5 3" xfId="5479" xr:uid="{00000000-0005-0000-0000-0000D10C0000}"/>
    <cellStyle name="Currency 5 3 2 5 3 2" xfId="13929" xr:uid="{C32E2E77-4D68-4EA2-AD80-8995EBDFC709}"/>
    <cellStyle name="Currency 5 3 2 5 4" xfId="9711" xr:uid="{FDD1BA02-87F3-463D-AECD-5F2F81CE4F0E}"/>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B8FDDB1D-D589-4D1C-8896-FB52F7B3FF6E}"/>
    <cellStyle name="Currency 5 3 2 6 2 3" xfId="12269" xr:uid="{3792BA18-E41C-47E2-B732-7606E94089F8}"/>
    <cellStyle name="Currency 5 3 2 6 3" xfId="5892" xr:uid="{00000000-0005-0000-0000-0000D50C0000}"/>
    <cellStyle name="Currency 5 3 2 6 3 2" xfId="14342" xr:uid="{63A067C2-DC12-4B2E-827D-400034E25AE1}"/>
    <cellStyle name="Currency 5 3 2 6 4" xfId="10124" xr:uid="{7A6EC595-773B-45E6-9DA8-8915CA9E1067}"/>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EC9F1D50-50C6-411B-8293-D1A4973C96FA}"/>
    <cellStyle name="Currency 5 3 2 7 2 3" xfId="12682" xr:uid="{FE837A49-CD22-499F-86C2-362131C5165E}"/>
    <cellStyle name="Currency 5 3 2 7 3" xfId="6305" xr:uid="{00000000-0005-0000-0000-0000D90C0000}"/>
    <cellStyle name="Currency 5 3 2 7 3 2" xfId="14755" xr:uid="{C95A3E29-6DF6-4EE3-8A42-64CE5CFD6B03}"/>
    <cellStyle name="Currency 5 3 2 7 4" xfId="10537" xr:uid="{D18EB2C8-96FD-4A64-B541-9CC4B44814E6}"/>
    <cellStyle name="Currency 5 3 2 8" xfId="2434" xr:uid="{00000000-0005-0000-0000-0000DA0C0000}"/>
    <cellStyle name="Currency 5 3 2 8 2" xfId="6718" xr:uid="{00000000-0005-0000-0000-0000DB0C0000}"/>
    <cellStyle name="Currency 5 3 2 8 2 2" xfId="15168" xr:uid="{19778F0D-818F-4A81-880A-C439A5D9ACC3}"/>
    <cellStyle name="Currency 5 3 2 8 3" xfId="10950" xr:uid="{AADECC3B-60BD-497C-8A7C-83C947182E19}"/>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97448918-5EED-432D-A869-D22C3E504344}"/>
    <cellStyle name="Currency 5 3 3 11" xfId="17329" xr:uid="{8BBB93C1-2832-4B06-A8B9-0462750070D3}"/>
    <cellStyle name="Currency 5 3 3 12" xfId="18162" xr:uid="{30F4AB0C-EA52-4D22-8F38-0989E7C9F1F2}"/>
    <cellStyle name="Currency 5 3 3 13" xfId="18991" xr:uid="{A13D8EE3-1948-41D2-A63C-F8329250B60C}"/>
    <cellStyle name="Currency 5 3 3 14" xfId="8888" xr:uid="{5EBD1858-5DE1-457B-830C-9CD202718C5F}"/>
    <cellStyle name="Currency 5 3 3 2" xfId="215" xr:uid="{00000000-0005-0000-0000-0000DF0C0000}"/>
    <cellStyle name="Currency 5 3 3 2 10" xfId="17330" xr:uid="{37D1C290-106D-4B55-8F1C-8BC75AE7434E}"/>
    <cellStyle name="Currency 5 3 3 2 11" xfId="18163" xr:uid="{FA42FD0E-AC64-49C4-9925-38B2BB45C3F6}"/>
    <cellStyle name="Currency 5 3 3 2 12" xfId="18992" xr:uid="{EF18852E-E62D-4509-AB78-DC0559D3F441}"/>
    <cellStyle name="Currency 5 3 3 2 13" xfId="8889" xr:uid="{DCFCA65E-F743-47B0-9C2A-C727CAD0DDD5}"/>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B9B69E3A-8557-418C-8F9E-0F1481D70572}"/>
    <cellStyle name="Currency 5 3 3 2 2 2 3" xfId="11448" xr:uid="{427A9B5E-7421-490E-91DE-603C2E4E376A}"/>
    <cellStyle name="Currency 5 3 3 2 2 3" xfId="5071" xr:uid="{00000000-0005-0000-0000-0000E30C0000}"/>
    <cellStyle name="Currency 5 3 3 2 2 3 2" xfId="13521" xr:uid="{0259828B-0B09-4FC7-82C3-EC36D0D26718}"/>
    <cellStyle name="Currency 5 3 3 2 2 4" xfId="17747" xr:uid="{6026760A-095E-4C7A-89D6-CBB003717E60}"/>
    <cellStyle name="Currency 5 3 3 2 2 5" xfId="18579" xr:uid="{3333C458-F467-4BBE-BC36-A2B510EB22BA}"/>
    <cellStyle name="Currency 5 3 3 2 2 6" xfId="19408" xr:uid="{2A949A2E-A5FC-4509-A545-AD4F9F62F8A6}"/>
    <cellStyle name="Currency 5 3 3 2 2 7" xfId="9303" xr:uid="{C31F7785-836B-42E0-821B-B77CAFF5F95B}"/>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B8A99EF9-BABE-48A7-A18C-898BC2AC608E}"/>
    <cellStyle name="Currency 5 3 3 2 3 2 3" xfId="11861" xr:uid="{C13098E2-45EB-49F9-ABD4-0CFE7F03AD31}"/>
    <cellStyle name="Currency 5 3 3 2 3 3" xfId="5484" xr:uid="{00000000-0005-0000-0000-0000E70C0000}"/>
    <cellStyle name="Currency 5 3 3 2 3 3 2" xfId="13934" xr:uid="{BD8B7080-5C8C-4394-9D5E-9A4D48408B0F}"/>
    <cellStyle name="Currency 5 3 3 2 3 4" xfId="9716" xr:uid="{7AED82C6-4861-4338-A31A-0BB788923332}"/>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43CC3912-8CC4-4FF3-8F62-BB4CBF2E96EE}"/>
    <cellStyle name="Currency 5 3 3 2 4 2 3" xfId="12274" xr:uid="{3A6A511F-96B9-4AC0-A125-BBB659F8725F}"/>
    <cellStyle name="Currency 5 3 3 2 4 3" xfId="5897" xr:uid="{00000000-0005-0000-0000-0000EB0C0000}"/>
    <cellStyle name="Currency 5 3 3 2 4 3 2" xfId="14347" xr:uid="{52658DFA-01C0-47E4-BDCD-CE216DBAC6E4}"/>
    <cellStyle name="Currency 5 3 3 2 4 4" xfId="10129" xr:uid="{4A8061CD-C6C6-450B-A1BB-2F538E102DDE}"/>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03AAB2C6-C010-4305-AE2C-C9B756A6C955}"/>
    <cellStyle name="Currency 5 3 3 2 5 2 3" xfId="12687" xr:uid="{4FCC6A9A-D7AD-45F8-A5AA-8FB6AAEDFA1D}"/>
    <cellStyle name="Currency 5 3 3 2 5 3" xfId="6310" xr:uid="{00000000-0005-0000-0000-0000EF0C0000}"/>
    <cellStyle name="Currency 5 3 3 2 5 3 2" xfId="14760" xr:uid="{5428231A-3FBC-4E20-9DC5-58FCB0565B6F}"/>
    <cellStyle name="Currency 5 3 3 2 5 4" xfId="10542" xr:uid="{27A1C3D9-DF2F-4F08-AE09-8D0FA6A82C6B}"/>
    <cellStyle name="Currency 5 3 3 2 6" xfId="2439" xr:uid="{00000000-0005-0000-0000-0000F00C0000}"/>
    <cellStyle name="Currency 5 3 3 2 6 2" xfId="6723" xr:uid="{00000000-0005-0000-0000-0000F10C0000}"/>
    <cellStyle name="Currency 5 3 3 2 6 2 2" xfId="15173" xr:uid="{B7AF0706-3C57-4EF9-9F46-4730FF226DEB}"/>
    <cellStyle name="Currency 5 3 3 2 6 3" xfId="10955" xr:uid="{C60BA806-9B06-4667-9A0F-AB5A778D8DD6}"/>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DD7357B3-95CA-49B3-9423-07B539C23FBA}"/>
    <cellStyle name="Currency 5 3 3 2 8 3" xfId="11272" xr:uid="{9FD7ECA0-23C3-4FE1-8ED9-3C5C41B8B6D4}"/>
    <cellStyle name="Currency 5 3 3 2 9" xfId="4657" xr:uid="{00000000-0005-0000-0000-0000F50C0000}"/>
    <cellStyle name="Currency 5 3 3 2 9 2" xfId="13107" xr:uid="{17425713-4FC9-4221-93AF-719EF5742594}"/>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B22A9EF9-74E9-4F89-B5B2-782944AB0BB9}"/>
    <cellStyle name="Currency 5 3 3 3 2 3" xfId="11447" xr:uid="{E6016178-E336-4E6F-B11A-478DAC134CD8}"/>
    <cellStyle name="Currency 5 3 3 3 3" xfId="5070" xr:uid="{00000000-0005-0000-0000-0000F90C0000}"/>
    <cellStyle name="Currency 5 3 3 3 3 2" xfId="13520" xr:uid="{1EDE48C6-555B-40AA-9A3D-46F72AD42100}"/>
    <cellStyle name="Currency 5 3 3 3 4" xfId="17746" xr:uid="{54590997-DDA2-4B71-8292-2BB703EA22EF}"/>
    <cellStyle name="Currency 5 3 3 3 5" xfId="18578" xr:uid="{7D9280E8-3EE8-438D-8B4D-4B5E0A014642}"/>
    <cellStyle name="Currency 5 3 3 3 6" xfId="19407" xr:uid="{1AEB8BF1-0CD4-4163-A966-102FC533423C}"/>
    <cellStyle name="Currency 5 3 3 3 7" xfId="9302" xr:uid="{8A8DC0F1-1645-415A-BED0-C31D53569D6D}"/>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39232879-1ACB-4C0B-A4E4-B985314D2BC8}"/>
    <cellStyle name="Currency 5 3 3 4 2 3" xfId="11860" xr:uid="{3A673508-0EC1-41D8-AE68-CF9A7888BA60}"/>
    <cellStyle name="Currency 5 3 3 4 3" xfId="5483" xr:uid="{00000000-0005-0000-0000-0000FD0C0000}"/>
    <cellStyle name="Currency 5 3 3 4 3 2" xfId="13933" xr:uid="{F6065BDD-424F-49C0-BC30-A5E18CAD1805}"/>
    <cellStyle name="Currency 5 3 3 4 4" xfId="9715" xr:uid="{259F5EE6-508F-4908-B721-AF1B2D219740}"/>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DE6908A7-7D3A-473F-9DBB-0517E9817EE8}"/>
    <cellStyle name="Currency 5 3 3 5 2 3" xfId="12273" xr:uid="{118E47BC-A2F8-47F1-AF57-6AB9D07E2A34}"/>
    <cellStyle name="Currency 5 3 3 5 3" xfId="5896" xr:uid="{00000000-0005-0000-0000-0000010D0000}"/>
    <cellStyle name="Currency 5 3 3 5 3 2" xfId="14346" xr:uid="{ABC9FB2E-9570-47FB-AEBE-56F050687C8F}"/>
    <cellStyle name="Currency 5 3 3 5 4" xfId="10128" xr:uid="{BA59AD5B-47C1-49ED-9B9E-D85FEE7D96F4}"/>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EEF3789D-FC3E-48CC-A067-2AF83FA3131D}"/>
    <cellStyle name="Currency 5 3 3 6 2 3" xfId="12686" xr:uid="{39F2F0EC-220A-4FC7-AB8F-9BDC9996C1C4}"/>
    <cellStyle name="Currency 5 3 3 6 3" xfId="6309" xr:uid="{00000000-0005-0000-0000-0000050D0000}"/>
    <cellStyle name="Currency 5 3 3 6 3 2" xfId="14759" xr:uid="{71EE6AE5-85CE-4017-8971-E9BB23D7E9E0}"/>
    <cellStyle name="Currency 5 3 3 6 4" xfId="10541" xr:uid="{68A39D51-7051-475A-B392-029B0F59862E}"/>
    <cellStyle name="Currency 5 3 3 7" xfId="2438" xr:uid="{00000000-0005-0000-0000-0000060D0000}"/>
    <cellStyle name="Currency 5 3 3 7 2" xfId="6722" xr:uid="{00000000-0005-0000-0000-0000070D0000}"/>
    <cellStyle name="Currency 5 3 3 7 2 2" xfId="15172" xr:uid="{0C2FBBAA-E007-4BBA-892D-99D01053F545}"/>
    <cellStyle name="Currency 5 3 3 7 3" xfId="10954" xr:uid="{C31DD6F4-577D-4C0C-B0DE-972D07F1EA7F}"/>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AF636D4A-9A1A-4ADF-8437-6548BB7BFA5E}"/>
    <cellStyle name="Currency 5 3 3 9 3" xfId="11271" xr:uid="{3DAABF82-3C6C-44FC-BF0F-29E40C4E4261}"/>
    <cellStyle name="Currency 5 3 4" xfId="216" xr:uid="{00000000-0005-0000-0000-00000B0D0000}"/>
    <cellStyle name="Currency 5 3 4 10" xfId="17331" xr:uid="{39B688EA-1B75-4B4D-BED8-53320BB336DF}"/>
    <cellStyle name="Currency 5 3 4 11" xfId="18164" xr:uid="{B6D932C0-0A76-4561-B716-4BC3EF1FC422}"/>
    <cellStyle name="Currency 5 3 4 12" xfId="18993" xr:uid="{60FEB59D-033A-42AA-B3DF-352E5B758F59}"/>
    <cellStyle name="Currency 5 3 4 13" xfId="8890" xr:uid="{0A0B3DC9-7034-4DA5-82C7-094ACE2D02F3}"/>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5DF1396E-FE06-40FC-B81C-F80DC1283B25}"/>
    <cellStyle name="Currency 5 3 4 2 2 3" xfId="11449" xr:uid="{A3059B2B-0B72-4E33-AFC1-C60CFE1FC43D}"/>
    <cellStyle name="Currency 5 3 4 2 3" xfId="5072" xr:uid="{00000000-0005-0000-0000-00000F0D0000}"/>
    <cellStyle name="Currency 5 3 4 2 3 2" xfId="13522" xr:uid="{15068A3F-53FD-4900-8C98-5866A5D64963}"/>
    <cellStyle name="Currency 5 3 4 2 4" xfId="17748" xr:uid="{42EFB4F9-8A3A-41B9-9687-5E0CA9DC0F00}"/>
    <cellStyle name="Currency 5 3 4 2 5" xfId="18580" xr:uid="{CB8E11E4-5A17-457C-A85A-B10389250B42}"/>
    <cellStyle name="Currency 5 3 4 2 6" xfId="19409" xr:uid="{A1FB0A08-9CF5-47C5-AC77-F46F60A78F1C}"/>
    <cellStyle name="Currency 5 3 4 2 7" xfId="9304" xr:uid="{B8C3330B-2DC7-48B8-AEBD-DB016D600ED5}"/>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1B90301B-E036-448A-881A-BE547E91ABA1}"/>
    <cellStyle name="Currency 5 3 4 3 2 3" xfId="11862" xr:uid="{E4E19D0F-F0AE-4A1F-B49F-7B126AA88D31}"/>
    <cellStyle name="Currency 5 3 4 3 3" xfId="5485" xr:uid="{00000000-0005-0000-0000-0000130D0000}"/>
    <cellStyle name="Currency 5 3 4 3 3 2" xfId="13935" xr:uid="{A10CEFA5-A5ED-4704-9BD2-7931C8C4C6E4}"/>
    <cellStyle name="Currency 5 3 4 3 4" xfId="9717" xr:uid="{4557BD1D-2FD3-4234-AEB6-2D448474E35B}"/>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BE517EE7-D684-464B-ABD3-D92E1BC43D08}"/>
    <cellStyle name="Currency 5 3 4 4 2 3" xfId="12275" xr:uid="{CAC728C4-1690-405D-805B-2D66EED3036C}"/>
    <cellStyle name="Currency 5 3 4 4 3" xfId="5898" xr:uid="{00000000-0005-0000-0000-0000170D0000}"/>
    <cellStyle name="Currency 5 3 4 4 3 2" xfId="14348" xr:uid="{EF12FEE6-EFB1-4C73-8EDA-47FE40CD758D}"/>
    <cellStyle name="Currency 5 3 4 4 4" xfId="10130" xr:uid="{B1655047-F2AC-4114-9EAF-71FCBC9DE3F0}"/>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3988BA1B-B00E-479E-BFF0-2EFB205F7AD4}"/>
    <cellStyle name="Currency 5 3 4 5 2 3" xfId="12688" xr:uid="{3F57BAA0-3C91-40B9-B0F0-F10FB3658909}"/>
    <cellStyle name="Currency 5 3 4 5 3" xfId="6311" xr:uid="{00000000-0005-0000-0000-00001B0D0000}"/>
    <cellStyle name="Currency 5 3 4 5 3 2" xfId="14761" xr:uid="{DA03A803-C601-49D9-897A-34E12219771F}"/>
    <cellStyle name="Currency 5 3 4 5 4" xfId="10543" xr:uid="{30740DEA-3F60-434F-BD79-E648E7750A97}"/>
    <cellStyle name="Currency 5 3 4 6" xfId="2440" xr:uid="{00000000-0005-0000-0000-00001C0D0000}"/>
    <cellStyle name="Currency 5 3 4 6 2" xfId="6724" xr:uid="{00000000-0005-0000-0000-00001D0D0000}"/>
    <cellStyle name="Currency 5 3 4 6 2 2" xfId="15174" xr:uid="{2EE29D6E-ECE1-4BB9-912A-20908D044C2C}"/>
    <cellStyle name="Currency 5 3 4 6 3" xfId="10956" xr:uid="{4F134900-9C3D-4B24-AB60-927F4697B644}"/>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529B2792-4541-4E55-B910-51A235C18408}"/>
    <cellStyle name="Currency 5 3 4 8 3" xfId="11273" xr:uid="{9425C7E2-5A2E-44F0-989F-489122A2F611}"/>
    <cellStyle name="Currency 5 3 4 9" xfId="4658" xr:uid="{00000000-0005-0000-0000-0000210D0000}"/>
    <cellStyle name="Currency 5 3 4 9 2" xfId="13108" xr:uid="{72AF68DB-1DD6-435F-A5D4-738B6DECA827}"/>
    <cellStyle name="Currency 5 3 5" xfId="217" xr:uid="{00000000-0005-0000-0000-0000220D0000}"/>
    <cellStyle name="Currency 5 3 5 10" xfId="17332" xr:uid="{D0D5B6D7-DC19-4486-BEC7-9175829B4B37}"/>
    <cellStyle name="Currency 5 3 5 11" xfId="18165" xr:uid="{CA99589A-4E45-4988-9230-C88FA8EEFB97}"/>
    <cellStyle name="Currency 5 3 5 12" xfId="18994" xr:uid="{8082919C-3647-44CC-9F66-AA58D72EEF42}"/>
    <cellStyle name="Currency 5 3 5 13" xfId="8891" xr:uid="{B190830F-94BC-463D-929C-B59FADF2C90D}"/>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3F368639-F789-48DB-A040-3843B3F9B2FE}"/>
    <cellStyle name="Currency 5 3 5 2 2 3" xfId="11450" xr:uid="{25786AC1-8088-4057-94AE-205151844826}"/>
    <cellStyle name="Currency 5 3 5 2 3" xfId="5073" xr:uid="{00000000-0005-0000-0000-0000260D0000}"/>
    <cellStyle name="Currency 5 3 5 2 3 2" xfId="13523" xr:uid="{D8D4EF48-3BEC-413F-8F99-310CB0AE2FC1}"/>
    <cellStyle name="Currency 5 3 5 2 4" xfId="17749" xr:uid="{068FCAA7-9BCC-42F9-9AD7-21CB751B8C04}"/>
    <cellStyle name="Currency 5 3 5 2 5" xfId="18581" xr:uid="{418AF2F4-8F3E-4DA2-AF6A-7F521C7F085B}"/>
    <cellStyle name="Currency 5 3 5 2 6" xfId="19410" xr:uid="{AB1DAF69-4A3E-49B1-92E4-472C37D78EDD}"/>
    <cellStyle name="Currency 5 3 5 2 7" xfId="9305" xr:uid="{10379F32-9385-4B26-A58B-826AC44826D6}"/>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471EE4F7-0E48-411B-89CC-BEC257359BC3}"/>
    <cellStyle name="Currency 5 3 5 3 2 3" xfId="11863" xr:uid="{CC8460E8-9102-480A-A537-E1EE42A346A4}"/>
    <cellStyle name="Currency 5 3 5 3 3" xfId="5486" xr:uid="{00000000-0005-0000-0000-00002A0D0000}"/>
    <cellStyle name="Currency 5 3 5 3 3 2" xfId="13936" xr:uid="{228BC239-1CEA-443C-B99B-50CF8CD3BB1E}"/>
    <cellStyle name="Currency 5 3 5 3 4" xfId="9718" xr:uid="{8EC2AF7A-3E13-4FC1-A28F-218E4C84AA1D}"/>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D09C97C5-A0F4-4FD0-8F78-BEEBEAAF0A6F}"/>
    <cellStyle name="Currency 5 3 5 4 2 3" xfId="12276" xr:uid="{EA94170D-078F-4A3B-9804-F5CD89C0B329}"/>
    <cellStyle name="Currency 5 3 5 4 3" xfId="5899" xr:uid="{00000000-0005-0000-0000-00002E0D0000}"/>
    <cellStyle name="Currency 5 3 5 4 3 2" xfId="14349" xr:uid="{BB8270C1-BAD6-4616-8EA2-D7B741CE0935}"/>
    <cellStyle name="Currency 5 3 5 4 4" xfId="10131" xr:uid="{3A3A462E-8E3A-46E4-B252-B110244FBD9C}"/>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5F85C524-AB55-41F4-9E4D-38CC0769F31E}"/>
    <cellStyle name="Currency 5 3 5 5 2 3" xfId="12689" xr:uid="{A92A92FD-8800-4DB9-A9B0-5EBF809F6BEC}"/>
    <cellStyle name="Currency 5 3 5 5 3" xfId="6312" xr:uid="{00000000-0005-0000-0000-0000320D0000}"/>
    <cellStyle name="Currency 5 3 5 5 3 2" xfId="14762" xr:uid="{9891C034-39FC-43BB-938E-CAE1092F73FD}"/>
    <cellStyle name="Currency 5 3 5 5 4" xfId="10544" xr:uid="{3E73DFE6-A171-4C8A-A760-97C54A3549BD}"/>
    <cellStyle name="Currency 5 3 5 6" xfId="2441" xr:uid="{00000000-0005-0000-0000-0000330D0000}"/>
    <cellStyle name="Currency 5 3 5 6 2" xfId="6725" xr:uid="{00000000-0005-0000-0000-0000340D0000}"/>
    <cellStyle name="Currency 5 3 5 6 2 2" xfId="15175" xr:uid="{31D07213-32AD-4036-8BCC-C2801101AF84}"/>
    <cellStyle name="Currency 5 3 5 6 3" xfId="10957" xr:uid="{1EF49AE8-9252-4DA2-ACEC-D3D6BE61BD76}"/>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5275142B-7563-4FFA-B217-E98FB4F2A761}"/>
    <cellStyle name="Currency 5 3 5 8 3" xfId="11274" xr:uid="{66D10D06-F4E7-4D70-AB38-F0F815698A78}"/>
    <cellStyle name="Currency 5 3 5 9" xfId="4659" xr:uid="{00000000-0005-0000-0000-0000380D0000}"/>
    <cellStyle name="Currency 5 3 5 9 2" xfId="13109" xr:uid="{16FBC2D8-5EC3-4BC4-8F2E-493A2604753C}"/>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DF02B612-51C9-4563-A9F2-12F1E84AF2EA}"/>
    <cellStyle name="Currency 5 5 11" xfId="17333" xr:uid="{D9CA0ED0-3ED3-4C9C-8638-6BAFADF136A5}"/>
    <cellStyle name="Currency 5 5 12" xfId="18166" xr:uid="{8FC7D6F7-1E9A-4FF6-9E70-BBE03A47226E}"/>
    <cellStyle name="Currency 5 5 13" xfId="18995" xr:uid="{4C2C18FD-BEF8-424D-8ACE-4B82FA9F2E6D}"/>
    <cellStyle name="Currency 5 5 14" xfId="8892" xr:uid="{D5A44B30-AB2F-4F90-89F4-FE27E39F3EC2}"/>
    <cellStyle name="Currency 5 5 2" xfId="220" xr:uid="{00000000-0005-0000-0000-00003D0D0000}"/>
    <cellStyle name="Currency 5 5 2 10" xfId="17334" xr:uid="{E690644E-D206-4EBE-8FA4-E23098A14D8C}"/>
    <cellStyle name="Currency 5 5 2 11" xfId="18167" xr:uid="{ABEC3333-0B2A-4324-9C91-EB00530BC25B}"/>
    <cellStyle name="Currency 5 5 2 12" xfId="18996" xr:uid="{41ECB37C-4A4F-48C1-B41D-AF5784993240}"/>
    <cellStyle name="Currency 5 5 2 13" xfId="8893" xr:uid="{662B4302-E824-4503-BAC9-2D7D17FEABDA}"/>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83B8F0D6-1C21-44B8-935B-693CC0738144}"/>
    <cellStyle name="Currency 5 5 2 2 2 3" xfId="11452" xr:uid="{AB907BAD-8BB7-43CF-AB34-5FEDFFDA874F}"/>
    <cellStyle name="Currency 5 5 2 2 3" xfId="5075" xr:uid="{00000000-0005-0000-0000-0000410D0000}"/>
    <cellStyle name="Currency 5 5 2 2 3 2" xfId="13525" xr:uid="{1150596A-7DA6-4568-BDA9-E0C82FEE72C5}"/>
    <cellStyle name="Currency 5 5 2 2 4" xfId="17751" xr:uid="{ACB62C66-E197-42C7-910B-1DC6E67EA366}"/>
    <cellStyle name="Currency 5 5 2 2 5" xfId="18583" xr:uid="{4A11C53B-3A75-409D-8106-318AA212AFFB}"/>
    <cellStyle name="Currency 5 5 2 2 6" xfId="19412" xr:uid="{74CD5418-90F9-4F4F-879E-E051B627FBCC}"/>
    <cellStyle name="Currency 5 5 2 2 7" xfId="9307" xr:uid="{7AD57C8E-21AE-45EB-8FCE-AB26611DBC71}"/>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95CF0AFF-1F13-495E-B8A6-D54017B4DDED}"/>
    <cellStyle name="Currency 5 5 2 3 2 3" xfId="11865" xr:uid="{F58C7AC6-726D-4030-99FD-0A661C54777A}"/>
    <cellStyle name="Currency 5 5 2 3 3" xfId="5488" xr:uid="{00000000-0005-0000-0000-0000450D0000}"/>
    <cellStyle name="Currency 5 5 2 3 3 2" xfId="13938" xr:uid="{8121230F-F417-4B7A-9024-3A85C4089ED5}"/>
    <cellStyle name="Currency 5 5 2 3 4" xfId="9720" xr:uid="{1A6997C9-613A-4238-B4BB-24BED88725B7}"/>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2C9348B3-7C34-440E-BC7F-574AAFF236D0}"/>
    <cellStyle name="Currency 5 5 2 4 2 3" xfId="12278" xr:uid="{EA16745C-C476-42BE-9E37-D2E9A9525B0D}"/>
    <cellStyle name="Currency 5 5 2 4 3" xfId="5901" xr:uid="{00000000-0005-0000-0000-0000490D0000}"/>
    <cellStyle name="Currency 5 5 2 4 3 2" xfId="14351" xr:uid="{537447E2-17D0-4B5C-9E5D-C1B4E67542C3}"/>
    <cellStyle name="Currency 5 5 2 4 4" xfId="10133" xr:uid="{92E1C9EB-DC9B-460C-A09A-EC4CD1CAF765}"/>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7AFAE03A-E8AE-4607-93A7-2B63BF001692}"/>
    <cellStyle name="Currency 5 5 2 5 2 3" xfId="12691" xr:uid="{90FDC30D-AA55-4A71-9F00-86A070C32A06}"/>
    <cellStyle name="Currency 5 5 2 5 3" xfId="6314" xr:uid="{00000000-0005-0000-0000-00004D0D0000}"/>
    <cellStyle name="Currency 5 5 2 5 3 2" xfId="14764" xr:uid="{64B3FE7A-F5BB-45A2-AB17-0A53FEFE52F0}"/>
    <cellStyle name="Currency 5 5 2 5 4" xfId="10546" xr:uid="{97863487-177C-4ED2-92DC-9E9591A38F83}"/>
    <cellStyle name="Currency 5 5 2 6" xfId="2443" xr:uid="{00000000-0005-0000-0000-00004E0D0000}"/>
    <cellStyle name="Currency 5 5 2 6 2" xfId="6727" xr:uid="{00000000-0005-0000-0000-00004F0D0000}"/>
    <cellStyle name="Currency 5 5 2 6 2 2" xfId="15177" xr:uid="{189BC47B-D315-4258-B256-0010FCAF9795}"/>
    <cellStyle name="Currency 5 5 2 6 3" xfId="10959" xr:uid="{2CA6CED4-BE5A-484D-8ABC-5690C7EE1F10}"/>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5BFECDA6-5521-47CD-9C02-FCB455E50E72}"/>
    <cellStyle name="Currency 5 5 2 8 3" xfId="11276" xr:uid="{B2DA430D-B73D-4A75-81BC-A7ECA740460C}"/>
    <cellStyle name="Currency 5 5 2 9" xfId="4661" xr:uid="{00000000-0005-0000-0000-0000530D0000}"/>
    <cellStyle name="Currency 5 5 2 9 2" xfId="13111" xr:uid="{9B64FA35-B364-4A37-B8A1-23E97D2E26F6}"/>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341D047C-9D75-4289-B0EC-93DB494BE019}"/>
    <cellStyle name="Currency 5 5 3 2 3" xfId="11451" xr:uid="{ADA4B4B2-7031-4670-8C67-BAD6D8240FCE}"/>
    <cellStyle name="Currency 5 5 3 3" xfId="5074" xr:uid="{00000000-0005-0000-0000-0000570D0000}"/>
    <cellStyle name="Currency 5 5 3 3 2" xfId="13524" xr:uid="{6BD375FC-C87E-46A0-B3CA-5C2A395F362F}"/>
    <cellStyle name="Currency 5 5 3 4" xfId="17750" xr:uid="{4AAD9534-BD07-4B55-98C1-3F56FA172625}"/>
    <cellStyle name="Currency 5 5 3 5" xfId="18582" xr:uid="{1F147C7A-03B9-4996-8A32-C627035AEA3A}"/>
    <cellStyle name="Currency 5 5 3 6" xfId="19411" xr:uid="{78455BA1-4AFF-4CB6-B5E2-D253EBC2042F}"/>
    <cellStyle name="Currency 5 5 3 7" xfId="9306" xr:uid="{D27DFE38-DAC1-4C83-BC7E-01224A12F088}"/>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402AF076-B3BA-456F-A84C-F95A2A088134}"/>
    <cellStyle name="Currency 5 5 4 2 3" xfId="11864" xr:uid="{A1BAF36B-2F60-4B65-9EF0-399EFB0890A6}"/>
    <cellStyle name="Currency 5 5 4 3" xfId="5487" xr:uid="{00000000-0005-0000-0000-00005B0D0000}"/>
    <cellStyle name="Currency 5 5 4 3 2" xfId="13937" xr:uid="{F4C2E734-CAF0-44EF-A0BD-A3C699C6C392}"/>
    <cellStyle name="Currency 5 5 4 4" xfId="9719" xr:uid="{2F46E9C0-6F4F-49BA-8F5A-7E0D9EAB2E7A}"/>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918A286B-6F42-49DA-94BC-AC7D0BB27F01}"/>
    <cellStyle name="Currency 5 5 5 2 3" xfId="12277" xr:uid="{DCC0D17C-9441-42E3-B1AC-D17F9A0E3D38}"/>
    <cellStyle name="Currency 5 5 5 3" xfId="5900" xr:uid="{00000000-0005-0000-0000-00005F0D0000}"/>
    <cellStyle name="Currency 5 5 5 3 2" xfId="14350" xr:uid="{DD7ACAFB-36E3-4316-8A23-3C6FD05E5DED}"/>
    <cellStyle name="Currency 5 5 5 4" xfId="10132" xr:uid="{E7C62FCD-B9AE-401F-90FF-695D159E3F3B}"/>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F929B6D5-EEA1-4483-AB4B-8B28F8D20345}"/>
    <cellStyle name="Currency 5 5 6 2 3" xfId="12690" xr:uid="{6E06DA39-F758-43D3-81CE-7AC706A1B78A}"/>
    <cellStyle name="Currency 5 5 6 3" xfId="6313" xr:uid="{00000000-0005-0000-0000-0000630D0000}"/>
    <cellStyle name="Currency 5 5 6 3 2" xfId="14763" xr:uid="{B8E97AFD-6D54-48F5-891C-2101B949E789}"/>
    <cellStyle name="Currency 5 5 6 4" xfId="10545" xr:uid="{FEEB203E-7ABE-4767-8156-D23CADE0695B}"/>
    <cellStyle name="Currency 5 5 7" xfId="2442" xr:uid="{00000000-0005-0000-0000-0000640D0000}"/>
    <cellStyle name="Currency 5 5 7 2" xfId="6726" xr:uid="{00000000-0005-0000-0000-0000650D0000}"/>
    <cellStyle name="Currency 5 5 7 2 2" xfId="15176" xr:uid="{79B7C9B1-2833-49AE-909F-48C6A4B5390A}"/>
    <cellStyle name="Currency 5 5 7 3" xfId="10958" xr:uid="{4B9BE9A9-DB9D-4AE8-BA1E-533753138A7C}"/>
    <cellStyle name="Currency 5 5 8" xfId="2739" xr:uid="{00000000-0005-0000-0000-0000660D0000}"/>
    <cellStyle name="Currency 5 5 9" xfId="2820" xr:uid="{00000000-0005-0000-0000-0000670D0000}"/>
    <cellStyle name="Currency 5 5 9 2" xfId="7043" xr:uid="{00000000-0005-0000-0000-0000680D0000}"/>
    <cellStyle name="Currency 5 5 9 2 2" xfId="15493" xr:uid="{638B89FA-C6F4-41E5-866C-6F94833EA748}"/>
    <cellStyle name="Currency 5 5 9 3" xfId="11275" xr:uid="{138B9F3A-83FB-4371-975F-C4431027DC97}"/>
    <cellStyle name="Currency 5 6" xfId="221" xr:uid="{00000000-0005-0000-0000-0000690D0000}"/>
    <cellStyle name="Currency 5 6 10" xfId="17335" xr:uid="{4B333505-FF82-4426-91CB-A6432B3282E6}"/>
    <cellStyle name="Currency 5 6 11" xfId="18168" xr:uid="{682753CF-3E88-490F-8EA2-A5C66EFB5ED0}"/>
    <cellStyle name="Currency 5 6 12" xfId="18997" xr:uid="{3BEAA6C7-6591-4768-BA91-108D4CB7D95D}"/>
    <cellStyle name="Currency 5 6 13" xfId="8894" xr:uid="{7BD176D0-F921-47CF-83CC-8D498EE0D54C}"/>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CAA6DACF-786D-4E36-A56A-5A42F414A979}"/>
    <cellStyle name="Currency 5 6 2 2 3" xfId="11453" xr:uid="{A4195538-3415-4EF7-8B4C-3A94F4FD6A2D}"/>
    <cellStyle name="Currency 5 6 2 3" xfId="5076" xr:uid="{00000000-0005-0000-0000-00006D0D0000}"/>
    <cellStyle name="Currency 5 6 2 3 2" xfId="13526" xr:uid="{922D2411-1A6F-4E18-A3F0-23643CBA60BE}"/>
    <cellStyle name="Currency 5 6 2 4" xfId="17752" xr:uid="{A38E8533-5BFF-427C-B35E-B334D5FE2CC7}"/>
    <cellStyle name="Currency 5 6 2 5" xfId="18584" xr:uid="{81E5E320-E5CF-4BAE-84CF-E794CBC8BBED}"/>
    <cellStyle name="Currency 5 6 2 6" xfId="19413" xr:uid="{DC49E547-70E0-461E-8989-6C5E8C10E8C9}"/>
    <cellStyle name="Currency 5 6 2 7" xfId="9308" xr:uid="{900F52F5-068B-4488-85FA-8C7B19540A8C}"/>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13F9B8BF-4B2D-4B88-B5B6-A80E6029D5F5}"/>
    <cellStyle name="Currency 5 6 3 2 3" xfId="11866" xr:uid="{6CF232BB-B523-487A-8E11-EC009C5765AB}"/>
    <cellStyle name="Currency 5 6 3 3" xfId="5489" xr:uid="{00000000-0005-0000-0000-0000710D0000}"/>
    <cellStyle name="Currency 5 6 3 3 2" xfId="13939" xr:uid="{D761F863-1A29-4938-A3D1-AF465607188C}"/>
    <cellStyle name="Currency 5 6 3 4" xfId="9721" xr:uid="{079CF5B3-0DCD-44D3-933D-209CB1BB72CE}"/>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42558C7B-D535-4715-80BC-7B615FFE8B6F}"/>
    <cellStyle name="Currency 5 6 4 2 3" xfId="12279" xr:uid="{8EA8DB2E-2866-415A-BDA0-036FC5B20037}"/>
    <cellStyle name="Currency 5 6 4 3" xfId="5902" xr:uid="{00000000-0005-0000-0000-0000750D0000}"/>
    <cellStyle name="Currency 5 6 4 3 2" xfId="14352" xr:uid="{D4F1BCA2-E75E-4951-992F-388C42DB1B95}"/>
    <cellStyle name="Currency 5 6 4 4" xfId="10134" xr:uid="{AC08B863-2E87-4C78-A199-C2513D50EFD3}"/>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FA9D9350-9A5B-42C5-932F-F871B4315095}"/>
    <cellStyle name="Currency 5 6 5 2 3" xfId="12692" xr:uid="{32DD926B-7B96-4A47-B9A0-E5BA0C6F2660}"/>
    <cellStyle name="Currency 5 6 5 3" xfId="6315" xr:uid="{00000000-0005-0000-0000-0000790D0000}"/>
    <cellStyle name="Currency 5 6 5 3 2" xfId="14765" xr:uid="{73B0DCBE-64D1-4193-A907-3B0D1DD53C82}"/>
    <cellStyle name="Currency 5 6 5 4" xfId="10547" xr:uid="{D588B1EF-49D6-45A6-888D-410F5220D833}"/>
    <cellStyle name="Currency 5 6 6" xfId="2444" xr:uid="{00000000-0005-0000-0000-00007A0D0000}"/>
    <cellStyle name="Currency 5 6 6 2" xfId="6728" xr:uid="{00000000-0005-0000-0000-00007B0D0000}"/>
    <cellStyle name="Currency 5 6 6 2 2" xfId="15178" xr:uid="{88930CD2-131D-47A5-9A43-6D8FC1DBB095}"/>
    <cellStyle name="Currency 5 6 6 3" xfId="10960" xr:uid="{C8F44186-654E-465E-8AEB-7B92A2CC41A6}"/>
    <cellStyle name="Currency 5 6 7" xfId="2741" xr:uid="{00000000-0005-0000-0000-00007C0D0000}"/>
    <cellStyle name="Currency 5 6 8" xfId="2822" xr:uid="{00000000-0005-0000-0000-00007D0D0000}"/>
    <cellStyle name="Currency 5 6 8 2" xfId="7045" xr:uid="{00000000-0005-0000-0000-00007E0D0000}"/>
    <cellStyle name="Currency 5 6 8 2 2" xfId="15495" xr:uid="{2388B141-5C89-4B67-822D-BDD38E71AE41}"/>
    <cellStyle name="Currency 5 6 8 3" xfId="11277" xr:uid="{338E463F-FB5C-48E3-8417-5FF8EDFECF44}"/>
    <cellStyle name="Currency 5 6 9" xfId="4662" xr:uid="{00000000-0005-0000-0000-00007F0D0000}"/>
    <cellStyle name="Currency 5 6 9 2" xfId="13112" xr:uid="{94B1A52C-DA24-4A62-A4B9-CBBC5D3BD9AF}"/>
    <cellStyle name="Currency 5 7" xfId="222" xr:uid="{00000000-0005-0000-0000-0000800D0000}"/>
    <cellStyle name="Currency 5 7 10" xfId="17336" xr:uid="{633205B5-BB38-4058-937B-9D341CB180AE}"/>
    <cellStyle name="Currency 5 7 11" xfId="18169" xr:uid="{FD01C868-6916-423A-B8B3-34BA233D8121}"/>
    <cellStyle name="Currency 5 7 12" xfId="18998" xr:uid="{19CCF766-02BA-43E6-9C48-19411ECC9820}"/>
    <cellStyle name="Currency 5 7 13" xfId="8895" xr:uid="{85B285CA-2FCC-4AC5-B49A-4C09D181D098}"/>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CAFD5B61-B66F-49D0-8079-1E6CAB27B6B9}"/>
    <cellStyle name="Currency 5 7 2 2 3" xfId="11454" xr:uid="{AEE29CC0-D247-4949-BD5D-9AD01B51D98F}"/>
    <cellStyle name="Currency 5 7 2 3" xfId="5077" xr:uid="{00000000-0005-0000-0000-0000840D0000}"/>
    <cellStyle name="Currency 5 7 2 3 2" xfId="13527" xr:uid="{80BE468A-A7B5-45AD-8DEA-3891730905F6}"/>
    <cellStyle name="Currency 5 7 2 4" xfId="17753" xr:uid="{8E1B88D9-24AA-42C3-A993-A8498006BC89}"/>
    <cellStyle name="Currency 5 7 2 5" xfId="18585" xr:uid="{20EB038E-6436-4476-8945-1525D047E9D9}"/>
    <cellStyle name="Currency 5 7 2 6" xfId="19414" xr:uid="{074FBE96-0CA6-42DF-8191-1DC0C95C69B1}"/>
    <cellStyle name="Currency 5 7 2 7" xfId="9309" xr:uid="{4199CDA1-AE78-4AF5-8C64-E5C82FC507DB}"/>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F7B69571-E8DF-4BC7-BF63-22CB44696C75}"/>
    <cellStyle name="Currency 5 7 3 2 3" xfId="11867" xr:uid="{074A748E-DAAF-43D6-BD42-FCFC6C724F10}"/>
    <cellStyle name="Currency 5 7 3 3" xfId="5490" xr:uid="{00000000-0005-0000-0000-0000880D0000}"/>
    <cellStyle name="Currency 5 7 3 3 2" xfId="13940" xr:uid="{16210D24-7066-466A-B538-14EFECC02C85}"/>
    <cellStyle name="Currency 5 7 3 4" xfId="9722" xr:uid="{93450094-AE6A-40C7-9941-0EA8E97DFF34}"/>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3C5E4B57-CE5A-4D0E-8329-4BA55420927A}"/>
    <cellStyle name="Currency 5 7 4 2 3" xfId="12280" xr:uid="{13CDBD56-F933-499F-9B51-4AE82770F901}"/>
    <cellStyle name="Currency 5 7 4 3" xfId="5903" xr:uid="{00000000-0005-0000-0000-00008C0D0000}"/>
    <cellStyle name="Currency 5 7 4 3 2" xfId="14353" xr:uid="{3EBF6E9C-C04C-468F-94E9-17F64A4BB509}"/>
    <cellStyle name="Currency 5 7 4 4" xfId="10135" xr:uid="{AA0D3743-716D-46A7-811D-5C2D85D31AE7}"/>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5105DDDD-C663-4DA1-9149-A368EC7B1EEE}"/>
    <cellStyle name="Currency 5 7 5 2 3" xfId="12693" xr:uid="{C360B49D-B52D-44AF-BD4E-56A317D47D9A}"/>
    <cellStyle name="Currency 5 7 5 3" xfId="6316" xr:uid="{00000000-0005-0000-0000-0000900D0000}"/>
    <cellStyle name="Currency 5 7 5 3 2" xfId="14766" xr:uid="{F46C7263-9983-4697-8A30-432223B4234C}"/>
    <cellStyle name="Currency 5 7 5 4" xfId="10548" xr:uid="{8067CD3C-A4FD-4A95-A165-7ACFE9546769}"/>
    <cellStyle name="Currency 5 7 6" xfId="2445" xr:uid="{00000000-0005-0000-0000-0000910D0000}"/>
    <cellStyle name="Currency 5 7 6 2" xfId="6729" xr:uid="{00000000-0005-0000-0000-0000920D0000}"/>
    <cellStyle name="Currency 5 7 6 2 2" xfId="15179" xr:uid="{542CC389-6D61-4E18-8771-B31E6DA01A40}"/>
    <cellStyle name="Currency 5 7 6 3" xfId="10961" xr:uid="{CBE32043-9DA2-49EC-B081-1D69E1A2AD0C}"/>
    <cellStyle name="Currency 5 7 7" xfId="2742" xr:uid="{00000000-0005-0000-0000-0000930D0000}"/>
    <cellStyle name="Currency 5 7 8" xfId="2823" xr:uid="{00000000-0005-0000-0000-0000940D0000}"/>
    <cellStyle name="Currency 5 7 8 2" xfId="7046" xr:uid="{00000000-0005-0000-0000-0000950D0000}"/>
    <cellStyle name="Currency 5 7 8 2 2" xfId="15496" xr:uid="{C993F5FE-E321-462B-8924-E14329F567EC}"/>
    <cellStyle name="Currency 5 7 8 3" xfId="11278" xr:uid="{6496F6C7-0872-406F-AC39-5631B1263DEC}"/>
    <cellStyle name="Currency 5 7 9" xfId="4663" xr:uid="{00000000-0005-0000-0000-0000960D0000}"/>
    <cellStyle name="Currency 5 7 9 2" xfId="13113" xr:uid="{AAFEAED8-FCFB-4279-8096-D5CFC433612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2 3 2" xfId="17754" xr:uid="{227FCB66-1F4B-45EF-963F-2FB3C0E831C8}"/>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5C622487-C693-464D-A15F-2C86D71E5D39}"/>
    <cellStyle name="Normal 12 10 3" xfId="10962" xr:uid="{36E0AA4D-17B1-4C68-998C-27E90D2CC6BA}"/>
    <cellStyle name="Normal 12 11" xfId="4664" xr:uid="{00000000-0005-0000-0000-0000CC0D0000}"/>
    <cellStyle name="Normal 12 11 2" xfId="13114" xr:uid="{1DCADA15-9844-47D8-807F-F72C671A37C6}"/>
    <cellStyle name="Normal 12 12" xfId="17337" xr:uid="{4369E19C-C49C-44CE-94EB-07FE148A7ECA}"/>
    <cellStyle name="Normal 12 13" xfId="18170" xr:uid="{9D81B9F7-6F14-422C-8885-7F9C60C36CB5}"/>
    <cellStyle name="Normal 12 14" xfId="18999" xr:uid="{C1BF1EA9-1C26-4489-B160-9DF2BF4CE222}"/>
    <cellStyle name="Normal 12 15" xfId="8896" xr:uid="{89AF7F80-9BB7-4ED4-9ECC-3E3071FA5D89}"/>
    <cellStyle name="Normal 12 2" xfId="260" xr:uid="{00000000-0005-0000-0000-0000CD0D0000}"/>
    <cellStyle name="Normal 12 2 10" xfId="17338" xr:uid="{97582176-3AA9-49EA-94A3-1C2203E05232}"/>
    <cellStyle name="Normal 12 2 11" xfId="18171" xr:uid="{0B6B803B-9397-4552-BDDF-5281F2CDAE5A}"/>
    <cellStyle name="Normal 12 2 12" xfId="19000" xr:uid="{C2812096-FFD4-4943-86E6-1FF960159641}"/>
    <cellStyle name="Normal 12 2 13" xfId="8897" xr:uid="{09505FF2-ED42-460B-8B33-67DF1079B7EB}"/>
    <cellStyle name="Normal 12 2 2" xfId="261" xr:uid="{00000000-0005-0000-0000-0000CE0D0000}"/>
    <cellStyle name="Normal 12 2 2 10" xfId="18172" xr:uid="{CAB8E64C-10E9-47BB-9D13-BE7D5FF91DBB}"/>
    <cellStyle name="Normal 12 2 2 11" xfId="19001" xr:uid="{3D900FA7-11BC-4591-96E9-EF551EE30FF6}"/>
    <cellStyle name="Normal 12 2 2 12" xfId="8898" xr:uid="{92C29D10-F162-4577-8FC6-EBE402969019}"/>
    <cellStyle name="Normal 12 2 2 2" xfId="262" xr:uid="{00000000-0005-0000-0000-0000CF0D0000}"/>
    <cellStyle name="Normal 12 2 2 2 10" xfId="19002" xr:uid="{9B0BA5B5-D0FD-4674-97C9-0C2CBA43E749}"/>
    <cellStyle name="Normal 12 2 2 2 11" xfId="8899" xr:uid="{95965FE6-DAE8-420E-AE58-FE6C507D4BA6}"/>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7F474653-334F-4E16-900C-8963B9E5005C}"/>
    <cellStyle name="Normal 12 2 2 2 2 2 3" xfId="11458" xr:uid="{7931D7CA-E444-43EF-BA6D-9D8E984BEE6F}"/>
    <cellStyle name="Normal 12 2 2 2 2 3" xfId="5081" xr:uid="{00000000-0005-0000-0000-0000D30D0000}"/>
    <cellStyle name="Normal 12 2 2 2 2 3 2" xfId="13531" xr:uid="{2F5B395A-938D-4FC3-A3EF-1494208B2D44}"/>
    <cellStyle name="Normal 12 2 2 2 2 4" xfId="17758" xr:uid="{02FC38EC-ACAE-490B-A9F8-046A5EB97BAF}"/>
    <cellStyle name="Normal 12 2 2 2 2 5" xfId="18589" xr:uid="{A7F0AE88-892A-4413-ADB2-5113ECD4D3B7}"/>
    <cellStyle name="Normal 12 2 2 2 2 6" xfId="19418" xr:uid="{FB04BDA5-63A8-4E7B-9955-FBE69E8EECDB}"/>
    <cellStyle name="Normal 12 2 2 2 2 7" xfId="9313" xr:uid="{DBEED9D6-FD64-4590-A1B6-1C5F436E66CA}"/>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8F1AA6D8-0C80-40ED-ABC9-DF6C988A300A}"/>
    <cellStyle name="Normal 12 2 2 2 3 2 3" xfId="11871" xr:uid="{4B649FB1-A576-4DEC-8490-6A2658D3B046}"/>
    <cellStyle name="Normal 12 2 2 2 3 3" xfId="5494" xr:uid="{00000000-0005-0000-0000-0000D70D0000}"/>
    <cellStyle name="Normal 12 2 2 2 3 3 2" xfId="13944" xr:uid="{03F07ACD-3265-4408-B74D-2ACCEBA85408}"/>
    <cellStyle name="Normal 12 2 2 2 3 4" xfId="9726" xr:uid="{A52BB351-3939-4962-8927-CBF309C3D2E7}"/>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7D0E9CDF-E6F4-40A2-B52D-3A755D0C9026}"/>
    <cellStyle name="Normal 12 2 2 2 4 2 3" xfId="12284" xr:uid="{2D3EB01C-0427-4B84-B503-202143EAD755}"/>
    <cellStyle name="Normal 12 2 2 2 4 3" xfId="5907" xr:uid="{00000000-0005-0000-0000-0000DB0D0000}"/>
    <cellStyle name="Normal 12 2 2 2 4 3 2" xfId="14357" xr:uid="{D455C98A-2D43-485C-97BF-6788B2CEF2E5}"/>
    <cellStyle name="Normal 12 2 2 2 4 4" xfId="10139" xr:uid="{FEEF20CD-3F17-42DA-AE6D-D4BC7D71D3BA}"/>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15AC0AAD-5EC4-43DE-8C05-7F20729F8F30}"/>
    <cellStyle name="Normal 12 2 2 2 5 2 3" xfId="12697" xr:uid="{03358657-D249-4E93-83B5-47021DE1A7A2}"/>
    <cellStyle name="Normal 12 2 2 2 5 3" xfId="6320" xr:uid="{00000000-0005-0000-0000-0000DF0D0000}"/>
    <cellStyle name="Normal 12 2 2 2 5 3 2" xfId="14770" xr:uid="{88D1CE99-D4DA-4F05-9B66-65AC9304A348}"/>
    <cellStyle name="Normal 12 2 2 2 5 4" xfId="10552" xr:uid="{1FB57C8B-8BB4-44DF-92EA-B00C3049A3B6}"/>
    <cellStyle name="Normal 12 2 2 2 6" xfId="2450" xr:uid="{00000000-0005-0000-0000-0000E00D0000}"/>
    <cellStyle name="Normal 12 2 2 2 6 2" xfId="6733" xr:uid="{00000000-0005-0000-0000-0000E10D0000}"/>
    <cellStyle name="Normal 12 2 2 2 6 2 2" xfId="15183" xr:uid="{45FF3975-FAD9-4D79-A80A-A087C42B7EEB}"/>
    <cellStyle name="Normal 12 2 2 2 6 3" xfId="10965" xr:uid="{7186AE79-CA3E-436C-AB11-E976B08150B6}"/>
    <cellStyle name="Normal 12 2 2 2 7" xfId="4667" xr:uid="{00000000-0005-0000-0000-0000E20D0000}"/>
    <cellStyle name="Normal 12 2 2 2 7 2" xfId="13117" xr:uid="{BC286E9D-9743-4D8F-88C0-7D9F2C0422AB}"/>
    <cellStyle name="Normal 12 2 2 2 8" xfId="17340" xr:uid="{BCBB95D5-116E-486B-8AB3-BB4307575BB8}"/>
    <cellStyle name="Normal 12 2 2 2 9" xfId="18173" xr:uid="{2532464F-9595-4BC8-8FF4-9E91DE46AF35}"/>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13B17FC8-F645-4C58-AA21-D10180A2E24A}"/>
    <cellStyle name="Normal 12 2 2 3 2 3" xfId="11457" xr:uid="{F742C2EB-332E-4AE9-BCCE-E901D6FB7926}"/>
    <cellStyle name="Normal 12 2 2 3 3" xfId="5080" xr:uid="{00000000-0005-0000-0000-0000E60D0000}"/>
    <cellStyle name="Normal 12 2 2 3 3 2" xfId="13530" xr:uid="{5DB01FBD-8A10-4427-AFD5-4161506EFA74}"/>
    <cellStyle name="Normal 12 2 2 3 4" xfId="17757" xr:uid="{C45B2E2B-640F-4D04-8CB8-10673F4AF5DD}"/>
    <cellStyle name="Normal 12 2 2 3 5" xfId="18588" xr:uid="{4C4DC582-DF5D-49AD-BAA8-4E098F963842}"/>
    <cellStyle name="Normal 12 2 2 3 6" xfId="19417" xr:uid="{13DDB54C-6CCE-4BBB-87DB-85B464290FE9}"/>
    <cellStyle name="Normal 12 2 2 3 7" xfId="9312" xr:uid="{B0015FA3-162C-42CA-828E-06A41C4CF98B}"/>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D87FB758-4230-4FAA-A2CB-7476E37A0AFE}"/>
    <cellStyle name="Normal 12 2 2 4 2 3" xfId="11870" xr:uid="{C0A14150-9B5F-49EC-AFA9-006379A06068}"/>
    <cellStyle name="Normal 12 2 2 4 3" xfId="5493" xr:uid="{00000000-0005-0000-0000-0000EA0D0000}"/>
    <cellStyle name="Normal 12 2 2 4 3 2" xfId="13943" xr:uid="{72408B97-C521-45DE-B42E-99133565FE70}"/>
    <cellStyle name="Normal 12 2 2 4 4" xfId="9725" xr:uid="{3BDE2D96-C1C8-480D-8719-4C2B4BF45009}"/>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87AE5B79-A2C5-4B4D-8DEE-117F641B308E}"/>
    <cellStyle name="Normal 12 2 2 5 2 3" xfId="12283" xr:uid="{487B0766-9BE6-46DB-B01D-02ADD3C78064}"/>
    <cellStyle name="Normal 12 2 2 5 3" xfId="5906" xr:uid="{00000000-0005-0000-0000-0000EE0D0000}"/>
    <cellStyle name="Normal 12 2 2 5 3 2" xfId="14356" xr:uid="{559E83A4-46D7-4CCA-BE6C-81A7565397BE}"/>
    <cellStyle name="Normal 12 2 2 5 4" xfId="10138" xr:uid="{97B2CA6E-3252-4EA6-A90E-82AF38867AE2}"/>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C3E4F93E-9698-4D8F-9EA4-4C69C8220634}"/>
    <cellStyle name="Normal 12 2 2 6 2 3" xfId="12696" xr:uid="{2C7001AD-38E1-4677-BE18-E09D2702CBAD}"/>
    <cellStyle name="Normal 12 2 2 6 3" xfId="6319" xr:uid="{00000000-0005-0000-0000-0000F20D0000}"/>
    <cellStyle name="Normal 12 2 2 6 3 2" xfId="14769" xr:uid="{8105131A-E01E-42EE-811B-F59390BCB72F}"/>
    <cellStyle name="Normal 12 2 2 6 4" xfId="10551" xr:uid="{73C44F63-3D58-4130-9BE4-4C7F3211F5BC}"/>
    <cellStyle name="Normal 12 2 2 7" xfId="2449" xr:uid="{00000000-0005-0000-0000-0000F30D0000}"/>
    <cellStyle name="Normal 12 2 2 7 2" xfId="6732" xr:uid="{00000000-0005-0000-0000-0000F40D0000}"/>
    <cellStyle name="Normal 12 2 2 7 2 2" xfId="15182" xr:uid="{4BDEF0EA-F1EA-4D7E-BCFD-5BC6D7DD6EC0}"/>
    <cellStyle name="Normal 12 2 2 7 3" xfId="10964" xr:uid="{43A584AA-CE1F-4C53-B759-16C7B9963ADF}"/>
    <cellStyle name="Normal 12 2 2 8" xfId="4666" xr:uid="{00000000-0005-0000-0000-0000F50D0000}"/>
    <cellStyle name="Normal 12 2 2 8 2" xfId="13116" xr:uid="{94C280DE-0F07-48BD-A7F9-D823EAB2D4C8}"/>
    <cellStyle name="Normal 12 2 2 9" xfId="17339" xr:uid="{496782EC-A946-47B3-9411-116368B32812}"/>
    <cellStyle name="Normal 12 2 3" xfId="263" xr:uid="{00000000-0005-0000-0000-0000F60D0000}"/>
    <cellStyle name="Normal 12 2 3 10" xfId="19003" xr:uid="{4A173583-7654-4F5B-A30E-CB5440493975}"/>
    <cellStyle name="Normal 12 2 3 11" xfId="8900" xr:uid="{9A4A24F6-5E6E-492A-A7D8-09C17BDA1E98}"/>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6EFB4239-1F1B-4E9D-9A5C-D59CEE7334BF}"/>
    <cellStyle name="Normal 12 2 3 2 2 3" xfId="11459" xr:uid="{C4B4064A-091F-4223-9AF2-264D88191BBA}"/>
    <cellStyle name="Normal 12 2 3 2 3" xfId="5082" xr:uid="{00000000-0005-0000-0000-0000FA0D0000}"/>
    <cellStyle name="Normal 12 2 3 2 3 2" xfId="13532" xr:uid="{1BADF679-AA5A-43C4-8A4E-B964E902D73C}"/>
    <cellStyle name="Normal 12 2 3 2 4" xfId="17759" xr:uid="{2D80C0D8-9B09-47DE-9BCE-B80A7DDC7AC0}"/>
    <cellStyle name="Normal 12 2 3 2 5" xfId="18590" xr:uid="{F37ECB87-9DAE-4992-B181-36AA4B8E2D5F}"/>
    <cellStyle name="Normal 12 2 3 2 6" xfId="19419" xr:uid="{57BC64AD-9983-4565-A9D2-BDDC23118640}"/>
    <cellStyle name="Normal 12 2 3 2 7" xfId="9314" xr:uid="{2F354477-D759-424F-80F1-CA0E8EE036A7}"/>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3B5F5F42-A4DC-4BB1-9961-17E21C63F6BA}"/>
    <cellStyle name="Normal 12 2 3 3 2 3" xfId="11872" xr:uid="{0002BF57-65C3-4F7E-9B5F-BAE578EB2CBF}"/>
    <cellStyle name="Normal 12 2 3 3 3" xfId="5495" xr:uid="{00000000-0005-0000-0000-0000FE0D0000}"/>
    <cellStyle name="Normal 12 2 3 3 3 2" xfId="13945" xr:uid="{1532311E-FF78-4776-AF6B-1B82F7745D3B}"/>
    <cellStyle name="Normal 12 2 3 3 4" xfId="9727" xr:uid="{24226F0D-A13C-4DE8-AE61-67C7DF6E8D23}"/>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49BDCF87-A778-4113-BEA9-DB490B739CE7}"/>
    <cellStyle name="Normal 12 2 3 4 2 3" xfId="12285" xr:uid="{0A244BBF-F970-4F31-A60F-E62A379FD31F}"/>
    <cellStyle name="Normal 12 2 3 4 3" xfId="5908" xr:uid="{00000000-0005-0000-0000-0000020E0000}"/>
    <cellStyle name="Normal 12 2 3 4 3 2" xfId="14358" xr:uid="{808D9235-429F-4218-AEA3-CDEDF8E2E948}"/>
    <cellStyle name="Normal 12 2 3 4 4" xfId="10140" xr:uid="{B8D647ED-1C37-46DD-BAB2-AB3C2D5DE8B7}"/>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789A190C-C5D2-4F07-8F0F-D77CD3D5B20E}"/>
    <cellStyle name="Normal 12 2 3 5 2 3" xfId="12698" xr:uid="{8C6B3B25-7E20-4A85-8F30-5B67DE1CE45D}"/>
    <cellStyle name="Normal 12 2 3 5 3" xfId="6321" xr:uid="{00000000-0005-0000-0000-0000060E0000}"/>
    <cellStyle name="Normal 12 2 3 5 3 2" xfId="14771" xr:uid="{959EB7E7-4CA4-48B9-86B1-6976878E9D80}"/>
    <cellStyle name="Normal 12 2 3 5 4" xfId="10553" xr:uid="{338C2B2F-3B83-4A1A-9EF7-2BB9145E6937}"/>
    <cellStyle name="Normal 12 2 3 6" xfId="2451" xr:uid="{00000000-0005-0000-0000-0000070E0000}"/>
    <cellStyle name="Normal 12 2 3 6 2" xfId="6734" xr:uid="{00000000-0005-0000-0000-0000080E0000}"/>
    <cellStyle name="Normal 12 2 3 6 2 2" xfId="15184" xr:uid="{5AD2020B-3724-49C8-9A91-0E2B7257DCB4}"/>
    <cellStyle name="Normal 12 2 3 6 3" xfId="10966" xr:uid="{14D636FA-5D04-44D6-BDE5-17A5FEAC9D1B}"/>
    <cellStyle name="Normal 12 2 3 7" xfId="4668" xr:uid="{00000000-0005-0000-0000-0000090E0000}"/>
    <cellStyle name="Normal 12 2 3 7 2" xfId="13118" xr:uid="{CBDBC6B8-AFBC-48A1-8978-60DB7087A126}"/>
    <cellStyle name="Normal 12 2 3 8" xfId="17341" xr:uid="{0681E96B-11D7-4AEB-A69F-AEEA94DBD619}"/>
    <cellStyle name="Normal 12 2 3 9" xfId="18174" xr:uid="{A7AE4793-461E-42AA-B4C5-440F306DEA57}"/>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59576199-F713-492F-8BA5-D83A2DF4A3AC}"/>
    <cellStyle name="Normal 12 2 4 2 3" xfId="11456" xr:uid="{166B113F-A0BD-45CD-9C2C-52867FCBA580}"/>
    <cellStyle name="Normal 12 2 4 3" xfId="5079" xr:uid="{00000000-0005-0000-0000-00000D0E0000}"/>
    <cellStyle name="Normal 12 2 4 3 2" xfId="13529" xr:uid="{09ABC7D9-E787-4F28-8714-27C70E235913}"/>
    <cellStyle name="Normal 12 2 4 4" xfId="17756" xr:uid="{3456115B-DC93-4172-94B1-D5A3944D769C}"/>
    <cellStyle name="Normal 12 2 4 5" xfId="18587" xr:uid="{1579FEC1-8FC0-4CAA-91B7-2DCF06F0E191}"/>
    <cellStyle name="Normal 12 2 4 6" xfId="19416" xr:uid="{8A4C520D-E51C-43D2-8052-4195184C64EA}"/>
    <cellStyle name="Normal 12 2 4 7" xfId="9311" xr:uid="{904AD0DA-598B-4BC4-9B43-9119C65E33C2}"/>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AE462546-A526-49C7-9A7F-FB2D6D47E836}"/>
    <cellStyle name="Normal 12 2 5 2 3" xfId="11869" xr:uid="{AD7C4B7E-CD6C-4213-A843-7A000E57E86C}"/>
    <cellStyle name="Normal 12 2 5 3" xfId="5492" xr:uid="{00000000-0005-0000-0000-0000110E0000}"/>
    <cellStyle name="Normal 12 2 5 3 2" xfId="13942" xr:uid="{0E154358-AA42-4B5F-A5A6-D9B95F23DE05}"/>
    <cellStyle name="Normal 12 2 5 4" xfId="9724" xr:uid="{D46F73AA-A4BD-4FE5-B636-0FC497AF2D0D}"/>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5C6F8659-4E4B-41F8-B35F-3991AA2CC5EB}"/>
    <cellStyle name="Normal 12 2 6 2 3" xfId="12282" xr:uid="{B3BDA428-82E6-495B-B36E-095A3F13617D}"/>
    <cellStyle name="Normal 12 2 6 3" xfId="5905" xr:uid="{00000000-0005-0000-0000-0000150E0000}"/>
    <cellStyle name="Normal 12 2 6 3 2" xfId="14355" xr:uid="{455245A2-E475-465B-8E07-B0015122D79E}"/>
    <cellStyle name="Normal 12 2 6 4" xfId="10137" xr:uid="{5B6C9A3B-0265-4511-990C-2A1C1B357ED8}"/>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E142A68A-77A2-497C-8696-81B7DD40D353}"/>
    <cellStyle name="Normal 12 2 7 2 3" xfId="12695" xr:uid="{3774D713-68B7-4B15-A87A-D49FF359011D}"/>
    <cellStyle name="Normal 12 2 7 3" xfId="6318" xr:uid="{00000000-0005-0000-0000-0000190E0000}"/>
    <cellStyle name="Normal 12 2 7 3 2" xfId="14768" xr:uid="{3FAE9F2B-72C0-4C3E-99B4-1F9FB3F6C196}"/>
    <cellStyle name="Normal 12 2 7 4" xfId="10550" xr:uid="{A1B165B0-A24C-41A9-A846-427131F46BE3}"/>
    <cellStyle name="Normal 12 2 8" xfId="2448" xr:uid="{00000000-0005-0000-0000-00001A0E0000}"/>
    <cellStyle name="Normal 12 2 8 2" xfId="6731" xr:uid="{00000000-0005-0000-0000-00001B0E0000}"/>
    <cellStyle name="Normal 12 2 8 2 2" xfId="15181" xr:uid="{5F57E17C-2A39-4C82-A3D3-664471A2D350}"/>
    <cellStyle name="Normal 12 2 8 3" xfId="10963" xr:uid="{09DE4B4D-0EDB-45CB-A1CE-00D4A7F43B0F}"/>
    <cellStyle name="Normal 12 2 9" xfId="4665" xr:uid="{00000000-0005-0000-0000-00001C0E0000}"/>
    <cellStyle name="Normal 12 2 9 2" xfId="13115" xr:uid="{94FF7568-1858-40E0-A9E3-11A986B9F134}"/>
    <cellStyle name="Normal 12 3" xfId="264" xr:uid="{00000000-0005-0000-0000-00001D0E0000}"/>
    <cellStyle name="Normal 12 3 10" xfId="18175" xr:uid="{7C50D221-1FE9-4ED5-890B-57B028638DDC}"/>
    <cellStyle name="Normal 12 3 11" xfId="19004" xr:uid="{1108D57B-DBA8-4157-9900-DD73D0BF7553}"/>
    <cellStyle name="Normal 12 3 12" xfId="8901" xr:uid="{B74BF00D-2371-4FD0-80F8-028E12F1B849}"/>
    <cellStyle name="Normal 12 3 2" xfId="265" xr:uid="{00000000-0005-0000-0000-00001E0E0000}"/>
    <cellStyle name="Normal 12 3 2 10" xfId="19005" xr:uid="{AAC1A7D7-83D6-45D0-918B-EB37FB719B6A}"/>
    <cellStyle name="Normal 12 3 2 11" xfId="8902" xr:uid="{22BA6E25-5286-4555-B991-9888C7985C88}"/>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C128ACC3-9C02-4480-997A-027431E630E3}"/>
    <cellStyle name="Normal 12 3 2 2 2 3" xfId="11461" xr:uid="{67AF27AF-91B3-420C-848D-7C6A4B94CEA2}"/>
    <cellStyle name="Normal 12 3 2 2 3" xfId="5084" xr:uid="{00000000-0005-0000-0000-0000220E0000}"/>
    <cellStyle name="Normal 12 3 2 2 3 2" xfId="13534" xr:uid="{59754A72-1D0A-4875-83E5-B0E932CA25CA}"/>
    <cellStyle name="Normal 12 3 2 2 4" xfId="17761" xr:uid="{C6E322D7-C9A4-412C-A5A3-ED9A0800DB4F}"/>
    <cellStyle name="Normal 12 3 2 2 5" xfId="18592" xr:uid="{B14BB8C1-C000-4837-BDED-FE98E086B59D}"/>
    <cellStyle name="Normal 12 3 2 2 6" xfId="19421" xr:uid="{48F20BEC-DE3E-4E9A-ADD5-F8ABA251435C}"/>
    <cellStyle name="Normal 12 3 2 2 7" xfId="9316" xr:uid="{33B19CFA-A923-4F8F-B189-174F64ACCFE2}"/>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F481E5BB-624E-4756-847F-53DE12910207}"/>
    <cellStyle name="Normal 12 3 2 3 2 3" xfId="11874" xr:uid="{505E8227-996C-48D3-B986-A715B77CC948}"/>
    <cellStyle name="Normal 12 3 2 3 3" xfId="5497" xr:uid="{00000000-0005-0000-0000-0000260E0000}"/>
    <cellStyle name="Normal 12 3 2 3 3 2" xfId="13947" xr:uid="{7C6B5AA0-FA8B-47EB-A86B-7EC69125E378}"/>
    <cellStyle name="Normal 12 3 2 3 4" xfId="9729" xr:uid="{2A691FA5-4195-4B72-8EDE-9AF1935B0A3A}"/>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A34F7788-493D-4DAD-9291-1C1E71310FEB}"/>
    <cellStyle name="Normal 12 3 2 4 2 3" xfId="12287" xr:uid="{072801A9-6578-4750-AA1A-C51A61E4D89C}"/>
    <cellStyle name="Normal 12 3 2 4 3" xfId="5910" xr:uid="{00000000-0005-0000-0000-00002A0E0000}"/>
    <cellStyle name="Normal 12 3 2 4 3 2" xfId="14360" xr:uid="{E4FD8D67-CA02-41E1-B81A-3357851F1CD3}"/>
    <cellStyle name="Normal 12 3 2 4 4" xfId="10142" xr:uid="{B3B32220-419C-4260-B425-B05F8EA19790}"/>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0446FAF9-0B01-45C1-B22D-562461D6E8B5}"/>
    <cellStyle name="Normal 12 3 2 5 2 3" xfId="12700" xr:uid="{E8BA7663-6EE9-4D17-8D6C-4FAA0E119686}"/>
    <cellStyle name="Normal 12 3 2 5 3" xfId="6323" xr:uid="{00000000-0005-0000-0000-00002E0E0000}"/>
    <cellStyle name="Normal 12 3 2 5 3 2" xfId="14773" xr:uid="{A902A8B7-633D-43B2-B974-99F82C978ACE}"/>
    <cellStyle name="Normal 12 3 2 5 4" xfId="10555" xr:uid="{46B94F0A-DE06-444D-B158-7D29DD8D9ECE}"/>
    <cellStyle name="Normal 12 3 2 6" xfId="2453" xr:uid="{00000000-0005-0000-0000-00002F0E0000}"/>
    <cellStyle name="Normal 12 3 2 6 2" xfId="6736" xr:uid="{00000000-0005-0000-0000-0000300E0000}"/>
    <cellStyle name="Normal 12 3 2 6 2 2" xfId="15186" xr:uid="{30C2DC9B-5705-4B16-979C-3D320EC9F856}"/>
    <cellStyle name="Normal 12 3 2 6 3" xfId="10968" xr:uid="{C8621F6A-B130-42FD-8303-81FAF3A97DA8}"/>
    <cellStyle name="Normal 12 3 2 7" xfId="4670" xr:uid="{00000000-0005-0000-0000-0000310E0000}"/>
    <cellStyle name="Normal 12 3 2 7 2" xfId="13120" xr:uid="{BD6C6BD3-35E4-4D48-83C9-04EF842F8590}"/>
    <cellStyle name="Normal 12 3 2 8" xfId="17343" xr:uid="{9B92E2A3-8D46-46BE-98C2-125398471CAB}"/>
    <cellStyle name="Normal 12 3 2 9" xfId="18176" xr:uid="{DDC75395-FF19-48CB-B6C3-C620DC22EE64}"/>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E5AB357E-9BC9-48F5-89E5-291E564B1FC4}"/>
    <cellStyle name="Normal 12 3 3 2 3" xfId="11460" xr:uid="{DDF32CFE-2E43-44F3-A0EE-D1A45226DDA2}"/>
    <cellStyle name="Normal 12 3 3 3" xfId="5083" xr:uid="{00000000-0005-0000-0000-0000350E0000}"/>
    <cellStyle name="Normal 12 3 3 3 2" xfId="13533" xr:uid="{966114D0-B13D-47F3-BAAC-3109474049ED}"/>
    <cellStyle name="Normal 12 3 3 4" xfId="17760" xr:uid="{CB416284-3EEB-43E1-B9A1-987E1B2D5D3E}"/>
    <cellStyle name="Normal 12 3 3 5" xfId="18591" xr:uid="{E3719833-AB96-4666-9D80-58D4B14C36D4}"/>
    <cellStyle name="Normal 12 3 3 6" xfId="19420" xr:uid="{3E7F1749-811F-47E4-8AFC-B316872C05DE}"/>
    <cellStyle name="Normal 12 3 3 7" xfId="9315" xr:uid="{B9E48C65-B1CA-4D18-8320-C776BC98B169}"/>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3336E2D3-3352-42D8-963F-7508817F1130}"/>
    <cellStyle name="Normal 12 3 4 2 3" xfId="11873" xr:uid="{489A2077-14BC-428E-A303-C9359E11A47B}"/>
    <cellStyle name="Normal 12 3 4 3" xfId="5496" xr:uid="{00000000-0005-0000-0000-0000390E0000}"/>
    <cellStyle name="Normal 12 3 4 3 2" xfId="13946" xr:uid="{74C5F581-07BC-49A1-8946-6FB47EBBA05A}"/>
    <cellStyle name="Normal 12 3 4 4" xfId="9728" xr:uid="{0D7C7A13-79DB-45CC-B019-D6511B531681}"/>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EB589F9A-2D80-4EA6-857C-3E78A8294B7B}"/>
    <cellStyle name="Normal 12 3 5 2 3" xfId="12286" xr:uid="{CA2A7150-1AFA-4C81-89FB-07E61561FBBC}"/>
    <cellStyle name="Normal 12 3 5 3" xfId="5909" xr:uid="{00000000-0005-0000-0000-00003D0E0000}"/>
    <cellStyle name="Normal 12 3 5 3 2" xfId="14359" xr:uid="{EED787EE-984D-4F50-9997-763C2BE19F47}"/>
    <cellStyle name="Normal 12 3 5 4" xfId="10141" xr:uid="{FAEE007A-C36B-49AD-9DDC-A57F828C343F}"/>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BF2FBB56-0E02-4F9C-A2C4-FCF4A9058223}"/>
    <cellStyle name="Normal 12 3 6 2 3" xfId="12699" xr:uid="{CE6FACFE-5E4F-4E51-B18A-1002CC1DE041}"/>
    <cellStyle name="Normal 12 3 6 3" xfId="6322" xr:uid="{00000000-0005-0000-0000-0000410E0000}"/>
    <cellStyle name="Normal 12 3 6 3 2" xfId="14772" xr:uid="{C4714A50-620C-4D0B-8B8F-31A633D21CF5}"/>
    <cellStyle name="Normal 12 3 6 4" xfId="10554" xr:uid="{FFA6BB71-B70F-4F2D-8CBE-006A9DD8241E}"/>
    <cellStyle name="Normal 12 3 7" xfId="2452" xr:uid="{00000000-0005-0000-0000-0000420E0000}"/>
    <cellStyle name="Normal 12 3 7 2" xfId="6735" xr:uid="{00000000-0005-0000-0000-0000430E0000}"/>
    <cellStyle name="Normal 12 3 7 2 2" xfId="15185" xr:uid="{CD32F16A-40F3-4922-B323-C59CD445EC3C}"/>
    <cellStyle name="Normal 12 3 7 3" xfId="10967" xr:uid="{59D42AA9-C00B-4DFE-B380-2B2EB79E26D2}"/>
    <cellStyle name="Normal 12 3 8" xfId="4669" xr:uid="{00000000-0005-0000-0000-0000440E0000}"/>
    <cellStyle name="Normal 12 3 8 2" xfId="13119" xr:uid="{981FCF65-3087-4BA7-9A40-E14A73CAC093}"/>
    <cellStyle name="Normal 12 3 9" xfId="17342" xr:uid="{4DA27314-C102-4121-A5C2-8E503700693C}"/>
    <cellStyle name="Normal 12 4" xfId="266" xr:uid="{00000000-0005-0000-0000-0000450E0000}"/>
    <cellStyle name="Normal 12 4 10" xfId="19006" xr:uid="{5031B8CA-F2BC-4D76-8089-1A56CE9C462D}"/>
    <cellStyle name="Normal 12 4 11" xfId="8903" xr:uid="{8F3FCD6E-9EC6-4EBF-8ACA-4E08ECAA9469}"/>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0CEB58FE-3E2D-4D35-9FF8-84BBF7AE60E5}"/>
    <cellStyle name="Normal 12 4 2 2 3" xfId="11462" xr:uid="{71C2D2DA-A68F-48D9-B073-DA700E2A1EFE}"/>
    <cellStyle name="Normal 12 4 2 3" xfId="5085" xr:uid="{00000000-0005-0000-0000-0000490E0000}"/>
    <cellStyle name="Normal 12 4 2 3 2" xfId="13535" xr:uid="{E3179AA2-B203-498E-9874-FD4D86BD5858}"/>
    <cellStyle name="Normal 12 4 2 4" xfId="17762" xr:uid="{C95DA9E6-D36A-4101-A440-8931F922A564}"/>
    <cellStyle name="Normal 12 4 2 5" xfId="18593" xr:uid="{469C830B-80F5-4483-B307-9E72D44B0513}"/>
    <cellStyle name="Normal 12 4 2 6" xfId="19422" xr:uid="{0F139BF5-A25D-4237-8FC1-07F38417094A}"/>
    <cellStyle name="Normal 12 4 2 7" xfId="9317" xr:uid="{3AA2FEFE-1DFE-4E7A-9674-32DF177D36EF}"/>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608BEF42-4D4F-4EFA-A295-9DA61C933542}"/>
    <cellStyle name="Normal 12 4 3 2 3" xfId="11875" xr:uid="{912AE2C0-28AF-4ACD-9AC8-DBE38C31D8C7}"/>
    <cellStyle name="Normal 12 4 3 3" xfId="5498" xr:uid="{00000000-0005-0000-0000-00004D0E0000}"/>
    <cellStyle name="Normal 12 4 3 3 2" xfId="13948" xr:uid="{1AF9A341-FFF1-4AB9-A154-4A178B80F421}"/>
    <cellStyle name="Normal 12 4 3 4" xfId="9730" xr:uid="{9F4E78C4-1D4F-49D0-B31F-D1F63295B039}"/>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396CF9A9-BD65-421A-92DC-1A3B11E52BEE}"/>
    <cellStyle name="Normal 12 4 4 2 3" xfId="12288" xr:uid="{A021B8DE-4552-4150-B25F-1F7DBD5C7A59}"/>
    <cellStyle name="Normal 12 4 4 3" xfId="5911" xr:uid="{00000000-0005-0000-0000-0000510E0000}"/>
    <cellStyle name="Normal 12 4 4 3 2" xfId="14361" xr:uid="{A4A64EA1-A8AD-4454-BFD9-9E6BD803D9BD}"/>
    <cellStyle name="Normal 12 4 4 4" xfId="10143" xr:uid="{7701CE60-E216-459A-BF25-1360B46B8A2F}"/>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6DED161E-595C-41DE-BCF7-EFFA0A70C14E}"/>
    <cellStyle name="Normal 12 4 5 2 3" xfId="12701" xr:uid="{89465672-AD63-4EB9-AF4B-162105513AEC}"/>
    <cellStyle name="Normal 12 4 5 3" xfId="6324" xr:uid="{00000000-0005-0000-0000-0000550E0000}"/>
    <cellStyle name="Normal 12 4 5 3 2" xfId="14774" xr:uid="{3FA456E4-C04A-431E-BE09-AEB2BA872EC5}"/>
    <cellStyle name="Normal 12 4 5 4" xfId="10556" xr:uid="{2DBD064B-32BF-4618-832A-89B569F09968}"/>
    <cellStyle name="Normal 12 4 6" xfId="2454" xr:uid="{00000000-0005-0000-0000-0000560E0000}"/>
    <cellStyle name="Normal 12 4 6 2" xfId="6737" xr:uid="{00000000-0005-0000-0000-0000570E0000}"/>
    <cellStyle name="Normal 12 4 6 2 2" xfId="15187" xr:uid="{8ED3515F-2FEF-4716-8988-6D7CA0C99B9B}"/>
    <cellStyle name="Normal 12 4 6 3" xfId="10969" xr:uid="{E156471A-2882-492B-AB78-D84B7CD23524}"/>
    <cellStyle name="Normal 12 4 7" xfId="4671" xr:uid="{00000000-0005-0000-0000-0000580E0000}"/>
    <cellStyle name="Normal 12 4 7 2" xfId="13121" xr:uid="{2669E8B0-0E35-41EC-8EDB-BD431B9144C6}"/>
    <cellStyle name="Normal 12 4 8" xfId="17344" xr:uid="{48DB3980-AD44-4CA6-B300-069EA9749C35}"/>
    <cellStyle name="Normal 12 4 9" xfId="18177" xr:uid="{5CA67AFA-113A-462A-9452-0015932D9E2B}"/>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A5E32511-1E20-4619-8C71-AF088CCDF5AF}"/>
    <cellStyle name="Normal 12 6 2 3" xfId="11455" xr:uid="{5BB5AB97-6397-4492-87E2-59EF6A83AAFE}"/>
    <cellStyle name="Normal 12 6 3" xfId="5078" xr:uid="{00000000-0005-0000-0000-00005D0E0000}"/>
    <cellStyle name="Normal 12 6 3 2" xfId="13528" xr:uid="{0CB2E007-527A-4A53-B325-67BCF34DC68A}"/>
    <cellStyle name="Normal 12 6 4" xfId="17755" xr:uid="{067C8B4C-121B-4253-816D-E17D85A35FB9}"/>
    <cellStyle name="Normal 12 6 5" xfId="18586" xr:uid="{4E5549ED-0590-4380-90DF-B6F467115513}"/>
    <cellStyle name="Normal 12 6 6" xfId="19415" xr:uid="{18EDE368-1D9A-447F-933F-2B8C47452E7A}"/>
    <cellStyle name="Normal 12 6 7" xfId="9310" xr:uid="{021E4CEB-8203-46F9-BB7D-DC88955C8679}"/>
    <cellStyle name="Normal 12 7" xfId="1183" xr:uid="{00000000-0005-0000-0000-00005E0E0000}"/>
    <cellStyle name="Normal 12 7 2" xfId="3414" xr:uid="{00000000-0005-0000-0000-00005F0E0000}"/>
    <cellStyle name="Normal 12 7 2 2" xfId="7636" xr:uid="{00000000-0005-0000-0000-0000600E0000}"/>
    <cellStyle name="Normal 12 7 2 2 2" xfId="16086" xr:uid="{EF8C5B16-630E-41A7-8221-E8588BB13283}"/>
    <cellStyle name="Normal 12 7 2 3" xfId="11868" xr:uid="{66BF8235-640C-4E0F-9CE6-05C579E3D3B7}"/>
    <cellStyle name="Normal 12 7 3" xfId="5491" xr:uid="{00000000-0005-0000-0000-0000610E0000}"/>
    <cellStyle name="Normal 12 7 3 2" xfId="13941" xr:uid="{F52E7BEE-7671-4C52-AD04-F64914227C8E}"/>
    <cellStyle name="Normal 12 7 4" xfId="9723" xr:uid="{B44F0910-A9C4-4EB8-8355-4D06A80AF7B1}"/>
    <cellStyle name="Normal 12 8" xfId="1597" xr:uid="{00000000-0005-0000-0000-0000620E0000}"/>
    <cellStyle name="Normal 12 8 2" xfId="3827" xr:uid="{00000000-0005-0000-0000-0000630E0000}"/>
    <cellStyle name="Normal 12 8 2 2" xfId="8049" xr:uid="{00000000-0005-0000-0000-0000640E0000}"/>
    <cellStyle name="Normal 12 8 2 2 2" xfId="16499" xr:uid="{D60D1014-9E8D-4992-B074-BA338EB4B9C7}"/>
    <cellStyle name="Normal 12 8 2 3" xfId="12281" xr:uid="{EE8BB95A-AB18-417E-A89D-F9ACB378917C}"/>
    <cellStyle name="Normal 12 8 3" xfId="5904" xr:uid="{00000000-0005-0000-0000-0000650E0000}"/>
    <cellStyle name="Normal 12 8 3 2" xfId="14354" xr:uid="{E10CDED2-395B-4C24-BE43-86E8CD1A6161}"/>
    <cellStyle name="Normal 12 8 4" xfId="10136" xr:uid="{F4CD9B42-F903-4062-A919-1FD27C40977B}"/>
    <cellStyle name="Normal 12 9" xfId="2011" xr:uid="{00000000-0005-0000-0000-0000660E0000}"/>
    <cellStyle name="Normal 12 9 2" xfId="4240" xr:uid="{00000000-0005-0000-0000-0000670E0000}"/>
    <cellStyle name="Normal 12 9 2 2" xfId="8462" xr:uid="{00000000-0005-0000-0000-0000680E0000}"/>
    <cellStyle name="Normal 12 9 2 2 2" xfId="16912" xr:uid="{45144541-9B27-42A9-B617-5D17A3B5E999}"/>
    <cellStyle name="Normal 12 9 2 3" xfId="12694" xr:uid="{FB9BF67F-853D-4709-A235-0D73304B7679}"/>
    <cellStyle name="Normal 12 9 3" xfId="6317" xr:uid="{00000000-0005-0000-0000-0000690E0000}"/>
    <cellStyle name="Normal 12 9 3 2" xfId="14767" xr:uid="{97539CD2-9B9A-41A6-ABF2-BF45C93DE2AB}"/>
    <cellStyle name="Normal 12 9 4" xfId="10549" xr:uid="{B61F4C4D-2BB9-4238-9F38-87C991C0F323}"/>
    <cellStyle name="Normal 13" xfId="268" xr:uid="{00000000-0005-0000-0000-00006A0E0000}"/>
    <cellStyle name="Normal 13 2" xfId="269" xr:uid="{00000000-0005-0000-0000-00006B0E0000}"/>
    <cellStyle name="Normal 14" xfId="270" xr:uid="{00000000-0005-0000-0000-00006C0E0000}"/>
    <cellStyle name="Normal 14 10" xfId="19007" xr:uid="{2058B188-7EB5-4810-814F-0738C9AA9EA1}"/>
    <cellStyle name="Normal 14 11" xfId="8904" xr:uid="{49428869-502E-4E8E-A950-EEEBF5826CCD}"/>
    <cellStyle name="Normal 14 2" xfId="768" xr:uid="{00000000-0005-0000-0000-00006D0E0000}"/>
    <cellStyle name="Normal 14 2 2" xfId="3009" xr:uid="{00000000-0005-0000-0000-00006E0E0000}"/>
    <cellStyle name="Normal 14 2 2 2" xfId="7231" xr:uid="{00000000-0005-0000-0000-00006F0E0000}"/>
    <cellStyle name="Normal 14 2 2 2 2" xfId="15681" xr:uid="{6E4F4263-E1CD-4416-A956-6D64E175EC7E}"/>
    <cellStyle name="Normal 14 2 2 3" xfId="11463" xr:uid="{92653D86-31C8-4F01-BD46-0E5B3BB8FD9F}"/>
    <cellStyle name="Normal 14 2 3" xfId="5086" xr:uid="{00000000-0005-0000-0000-0000700E0000}"/>
    <cellStyle name="Normal 14 2 3 2" xfId="13536" xr:uid="{B02B4432-904D-4F41-9E66-12DEFDE215A1}"/>
    <cellStyle name="Normal 14 2 4" xfId="17763" xr:uid="{04840854-6A92-476D-B553-051DC686BE3E}"/>
    <cellStyle name="Normal 14 2 5" xfId="18594" xr:uid="{E09B3C89-C3E7-4A34-9B71-3B145F657639}"/>
    <cellStyle name="Normal 14 2 6" xfId="19423" xr:uid="{409E3326-F005-43A6-A9C3-B1843BAECB9A}"/>
    <cellStyle name="Normal 14 2 7" xfId="9318" xr:uid="{0118259E-3135-49E9-BD6B-A0C0C18C8576}"/>
    <cellStyle name="Normal 14 3" xfId="1191" xr:uid="{00000000-0005-0000-0000-0000710E0000}"/>
    <cellStyle name="Normal 14 3 2" xfId="3422" xr:uid="{00000000-0005-0000-0000-0000720E0000}"/>
    <cellStyle name="Normal 14 3 2 2" xfId="7644" xr:uid="{00000000-0005-0000-0000-0000730E0000}"/>
    <cellStyle name="Normal 14 3 2 2 2" xfId="16094" xr:uid="{76510F4F-458C-4637-A183-547E96BF7598}"/>
    <cellStyle name="Normal 14 3 2 3" xfId="11876" xr:uid="{85F2E071-292E-4347-AA82-4F2D69846968}"/>
    <cellStyle name="Normal 14 3 3" xfId="5499" xr:uid="{00000000-0005-0000-0000-0000740E0000}"/>
    <cellStyle name="Normal 14 3 3 2" xfId="13949" xr:uid="{C1F1209D-10BD-4F54-8A78-B849E444D707}"/>
    <cellStyle name="Normal 14 3 4" xfId="9731" xr:uid="{EB8939A3-C75B-4CBE-8B70-589FD59E8C4E}"/>
    <cellStyle name="Normal 14 4" xfId="1605" xr:uid="{00000000-0005-0000-0000-0000750E0000}"/>
    <cellStyle name="Normal 14 4 2" xfId="3835" xr:uid="{00000000-0005-0000-0000-0000760E0000}"/>
    <cellStyle name="Normal 14 4 2 2" xfId="8057" xr:uid="{00000000-0005-0000-0000-0000770E0000}"/>
    <cellStyle name="Normal 14 4 2 2 2" xfId="16507" xr:uid="{36CECB11-A9FC-4D14-9E49-CAFA6CBE7204}"/>
    <cellStyle name="Normal 14 4 2 3" xfId="12289" xr:uid="{98E5A80C-A73A-4BFF-B230-CFBFE22C4FEB}"/>
    <cellStyle name="Normal 14 4 3" xfId="5912" xr:uid="{00000000-0005-0000-0000-0000780E0000}"/>
    <cellStyle name="Normal 14 4 3 2" xfId="14362" xr:uid="{4398BF8C-9E25-4328-8EE8-03C389C66A3F}"/>
    <cellStyle name="Normal 14 4 4" xfId="10144" xr:uid="{D4BA501E-4FBC-464C-B4EC-24F34F8845F5}"/>
    <cellStyle name="Normal 14 5" xfId="2019" xr:uid="{00000000-0005-0000-0000-0000790E0000}"/>
    <cellStyle name="Normal 14 5 2" xfId="4248" xr:uid="{00000000-0005-0000-0000-00007A0E0000}"/>
    <cellStyle name="Normal 14 5 2 2" xfId="8470" xr:uid="{00000000-0005-0000-0000-00007B0E0000}"/>
    <cellStyle name="Normal 14 5 2 2 2" xfId="16920" xr:uid="{1F11190F-B440-4DF8-B09F-169BB00BEB81}"/>
    <cellStyle name="Normal 14 5 2 3" xfId="12702" xr:uid="{17AC09D4-8175-4332-88DE-ABF2749B34C2}"/>
    <cellStyle name="Normal 14 5 3" xfId="6325" xr:uid="{00000000-0005-0000-0000-00007C0E0000}"/>
    <cellStyle name="Normal 14 5 3 2" xfId="14775" xr:uid="{2B980AAA-C41B-4F7C-9376-E1DE5CD98B39}"/>
    <cellStyle name="Normal 14 5 4" xfId="10557" xr:uid="{64D5A972-1090-4E17-A803-A811620B2A8C}"/>
    <cellStyle name="Normal 14 6" xfId="2455" xr:uid="{00000000-0005-0000-0000-00007D0E0000}"/>
    <cellStyle name="Normal 14 6 2" xfId="6738" xr:uid="{00000000-0005-0000-0000-00007E0E0000}"/>
    <cellStyle name="Normal 14 6 2 2" xfId="15188" xr:uid="{5A5398E7-9781-41F9-9DBF-68F0CA2FD561}"/>
    <cellStyle name="Normal 14 6 3" xfId="10970" xr:uid="{69840EA1-74D2-434A-8B20-8E0D6795F9F6}"/>
    <cellStyle name="Normal 14 7" xfId="4672" xr:uid="{00000000-0005-0000-0000-00007F0E0000}"/>
    <cellStyle name="Normal 14 7 2" xfId="13122" xr:uid="{1E935C8F-D0B4-4431-BBEB-9714AF9429F8}"/>
    <cellStyle name="Normal 14 8" xfId="17345" xr:uid="{4A82B682-6391-4608-9F8F-943DDC19C95C}"/>
    <cellStyle name="Normal 14 9" xfId="18178" xr:uid="{1C553729-6C7D-4D79-96CA-1318BD96CD7B}"/>
    <cellStyle name="Normal 15" xfId="4496" xr:uid="{00000000-0005-0000-0000-0000800E0000}"/>
    <cellStyle name="Normal 15 2" xfId="17591" xr:uid="{BCAA6F15-BA68-40FE-BE22-D672B47DDE24}"/>
    <cellStyle name="Normal 15 3" xfId="18423" xr:uid="{46D930F6-3A68-4DDA-B270-201150A14706}"/>
    <cellStyle name="Normal 15 4" xfId="19252" xr:uid="{9457B2A8-CFEE-4AB0-B92B-603485AAA11E}"/>
    <cellStyle name="Normal 15 5" xfId="12948" xr:uid="{F87CECDC-A484-4598-9290-D91838A94D86}"/>
    <cellStyle name="Normal 16" xfId="4500" xr:uid="{00000000-0005-0000-0000-0000810E0000}"/>
    <cellStyle name="Normal 16 2" xfId="8715" xr:uid="{00000000-0005-0000-0000-0000820E0000}"/>
    <cellStyle name="Normal 16 2 2" xfId="17165" xr:uid="{F6F9DC22-973B-423E-86BA-270849F1FCC6}"/>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3" xfId="17174" xr:uid="{DF380C99-0EBA-44D5-B0C5-56BDB5D66D92}"/>
    <cellStyle name="Normal 16 3 2 3" xfId="17171" xr:uid="{F5D128AB-E3DF-47E8-AAE2-399E42ACEE77}"/>
    <cellStyle name="Normal 16 3 3" xfId="17168" xr:uid="{50C05D8C-87A1-4BD7-8757-9A43A3F15310}"/>
    <cellStyle name="Normal 16 4" xfId="18009" xr:uid="{F115BEDA-7FC9-4935-B390-09D469184701}"/>
    <cellStyle name="Normal 16 5" xfId="12951" xr:uid="{B224A3DA-B895-46F2-88C1-1A15C7928F46}"/>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2 4 2" xfId="17764" xr:uid="{A56A337B-C65F-474A-8E2E-46285A5248E3}"/>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967760CD-2786-44BD-97B4-DA485591EF13}"/>
    <cellStyle name="Normal 2 4 2 10 2 3" xfId="12703" xr:uid="{E1122C75-B873-444B-A8FA-E029D2F1D046}"/>
    <cellStyle name="Normal 2 4 2 10 3" xfId="6326" xr:uid="{00000000-0005-0000-0000-0000910E0000}"/>
    <cellStyle name="Normal 2 4 2 10 3 2" xfId="14776" xr:uid="{B77CEA6A-AF8D-40C2-A129-7D6D394FED00}"/>
    <cellStyle name="Normal 2 4 2 10 4" xfId="10558" xr:uid="{FFF28696-DF01-4D1F-87B3-2EA28068BE77}"/>
    <cellStyle name="Normal 2 4 2 11" xfId="2456" xr:uid="{00000000-0005-0000-0000-0000920E0000}"/>
    <cellStyle name="Normal 2 4 2 11 2" xfId="6739" xr:uid="{00000000-0005-0000-0000-0000930E0000}"/>
    <cellStyle name="Normal 2 4 2 11 2 2" xfId="15189" xr:uid="{034A1B61-47EA-45B8-8A2F-4943F223C8C1}"/>
    <cellStyle name="Normal 2 4 2 11 3" xfId="10971" xr:uid="{196DE1A2-879E-4E31-8A7C-82D3CF9B3D4A}"/>
    <cellStyle name="Normal 2 4 2 12" xfId="4673" xr:uid="{00000000-0005-0000-0000-0000940E0000}"/>
    <cellStyle name="Normal 2 4 2 12 2" xfId="13123" xr:uid="{B724460E-D291-46B0-8286-0120DAAB372B}"/>
    <cellStyle name="Normal 2 4 2 13" xfId="17346" xr:uid="{8C115236-8B8B-4CCE-9929-197141741579}"/>
    <cellStyle name="Normal 2 4 2 14" xfId="18179" xr:uid="{8B9836D3-85F3-4D32-8EA3-8FA4C84CA47B}"/>
    <cellStyle name="Normal 2 4 2 15" xfId="19008" xr:uid="{D8AB1C42-DFF1-4063-A316-8E5686D77C74}"/>
    <cellStyle name="Normal 2 4 2 16" xfId="8905" xr:uid="{DE3BEA20-4B51-4F05-BFBE-44D8F54F9D56}"/>
    <cellStyle name="Normal 2 4 2 2" xfId="280" xr:uid="{00000000-0005-0000-0000-0000950E0000}"/>
    <cellStyle name="Normal 2 4 2 3" xfId="281" xr:uid="{00000000-0005-0000-0000-0000960E0000}"/>
    <cellStyle name="Normal 2 4 2 3 10" xfId="4674" xr:uid="{00000000-0005-0000-0000-0000970E0000}"/>
    <cellStyle name="Normal 2 4 2 3 10 2" xfId="13124" xr:uid="{469A66EF-C2AB-4C15-AA63-4CD4D45766BA}"/>
    <cellStyle name="Normal 2 4 2 3 11" xfId="17347" xr:uid="{6E248B5A-C330-449E-B487-1934195D75D9}"/>
    <cellStyle name="Normal 2 4 2 3 12" xfId="18180" xr:uid="{F76210C2-3BC9-458B-9ACC-02281288A595}"/>
    <cellStyle name="Normal 2 4 2 3 13" xfId="19009" xr:uid="{8757525C-D48E-407B-A515-A0E806DAD00E}"/>
    <cellStyle name="Normal 2 4 2 3 14" xfId="8906" xr:uid="{3F63E0DD-68CE-41E1-A972-1BFCD692650A}"/>
    <cellStyle name="Normal 2 4 2 3 2" xfId="282" xr:uid="{00000000-0005-0000-0000-0000980E0000}"/>
    <cellStyle name="Normal 2 4 2 3 2 10" xfId="17348" xr:uid="{93C0ACB6-34DB-4085-9EF9-0AD42C0BF639}"/>
    <cellStyle name="Normal 2 4 2 3 2 11" xfId="18181" xr:uid="{7468F2CF-7E68-4503-9B10-26F2CDEADAFD}"/>
    <cellStyle name="Normal 2 4 2 3 2 12" xfId="19010" xr:uid="{0DEDA577-B389-4864-9171-EC12A5313D0B}"/>
    <cellStyle name="Normal 2 4 2 3 2 13" xfId="8907" xr:uid="{FA31B7DB-67CF-473B-AAEA-3E2708854A22}"/>
    <cellStyle name="Normal 2 4 2 3 2 2" xfId="283" xr:uid="{00000000-0005-0000-0000-0000990E0000}"/>
    <cellStyle name="Normal 2 4 2 3 2 2 10" xfId="18182" xr:uid="{3F1DFD12-7794-49C7-8CAA-73ECE7E5981E}"/>
    <cellStyle name="Normal 2 4 2 3 2 2 11" xfId="19011" xr:uid="{C9D80528-5DA9-4843-988B-133752EA729C}"/>
    <cellStyle name="Normal 2 4 2 3 2 2 12" xfId="8908" xr:uid="{CB93F6C5-9E2B-4E7A-B650-A7ED8B27EFE9}"/>
    <cellStyle name="Normal 2 4 2 3 2 2 2" xfId="284" xr:uid="{00000000-0005-0000-0000-00009A0E0000}"/>
    <cellStyle name="Normal 2 4 2 3 2 2 2 10" xfId="19012" xr:uid="{56D86349-C71A-42FF-984A-672AEF8645B1}"/>
    <cellStyle name="Normal 2 4 2 3 2 2 2 11" xfId="8909" xr:uid="{5FB900A4-747B-40EE-985C-7D7A46B131B6}"/>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C5B25CF1-CBE6-46E2-AC31-81EF233392E8}"/>
    <cellStyle name="Normal 2 4 2 3 2 2 2 2 2 3" xfId="11468" xr:uid="{9B45D57C-48B2-484F-A4F4-59F231C7BFF1}"/>
    <cellStyle name="Normal 2 4 2 3 2 2 2 2 3" xfId="5091" xr:uid="{00000000-0005-0000-0000-00009E0E0000}"/>
    <cellStyle name="Normal 2 4 2 3 2 2 2 2 3 2" xfId="13541" xr:uid="{EDD784F7-05E0-48B5-BB6C-2615CF325D9E}"/>
    <cellStyle name="Normal 2 4 2 3 2 2 2 2 4" xfId="17769" xr:uid="{9A1DA907-ACFE-40DB-B914-7D095B74233D}"/>
    <cellStyle name="Normal 2 4 2 3 2 2 2 2 5" xfId="18599" xr:uid="{4AB3BD6E-B437-40ED-A3C3-80A292CF3444}"/>
    <cellStyle name="Normal 2 4 2 3 2 2 2 2 6" xfId="19428" xr:uid="{6BDCABF4-E8F6-4226-8656-7C8ADA4ADECA}"/>
    <cellStyle name="Normal 2 4 2 3 2 2 2 2 7" xfId="9323" xr:uid="{B2D3F407-C19D-4885-9FC3-A95241886055}"/>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28AB2048-F126-44CF-90E9-BEF8B1EEB8A5}"/>
    <cellStyle name="Normal 2 4 2 3 2 2 2 3 2 3" xfId="11881" xr:uid="{A6B511C6-2E3B-4008-8EEF-E495BCEADB79}"/>
    <cellStyle name="Normal 2 4 2 3 2 2 2 3 3" xfId="5504" xr:uid="{00000000-0005-0000-0000-0000A20E0000}"/>
    <cellStyle name="Normal 2 4 2 3 2 2 2 3 3 2" xfId="13954" xr:uid="{11DA2FFA-21E1-4873-86D1-4F66268FB445}"/>
    <cellStyle name="Normal 2 4 2 3 2 2 2 3 4" xfId="9736" xr:uid="{185695AA-A224-4465-A930-7586856B9563}"/>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DD99EB8B-A8BA-4FCD-BB35-B079C39A2446}"/>
    <cellStyle name="Normal 2 4 2 3 2 2 2 4 2 3" xfId="12294" xr:uid="{4594971B-FCDE-42EC-979D-AC6949826032}"/>
    <cellStyle name="Normal 2 4 2 3 2 2 2 4 3" xfId="5917" xr:uid="{00000000-0005-0000-0000-0000A60E0000}"/>
    <cellStyle name="Normal 2 4 2 3 2 2 2 4 3 2" xfId="14367" xr:uid="{C0087435-C233-4BB9-86FE-9080A3BE55C5}"/>
    <cellStyle name="Normal 2 4 2 3 2 2 2 4 4" xfId="10149" xr:uid="{E9753A1C-C4B0-42DB-AF08-6EDF2944B001}"/>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4ACFC5F4-A037-4408-AA34-F5CC25E13C55}"/>
    <cellStyle name="Normal 2 4 2 3 2 2 2 5 2 3" xfId="12707" xr:uid="{300BAC11-B21F-4680-9031-6D9B3400FA22}"/>
    <cellStyle name="Normal 2 4 2 3 2 2 2 5 3" xfId="6330" xr:uid="{00000000-0005-0000-0000-0000AA0E0000}"/>
    <cellStyle name="Normal 2 4 2 3 2 2 2 5 3 2" xfId="14780" xr:uid="{E93BA997-0D0D-401B-95FB-137DF875E014}"/>
    <cellStyle name="Normal 2 4 2 3 2 2 2 5 4" xfId="10562" xr:uid="{CD9823A2-D5D0-43BE-BA46-A7D345AA74A8}"/>
    <cellStyle name="Normal 2 4 2 3 2 2 2 6" xfId="2460" xr:uid="{00000000-0005-0000-0000-0000AB0E0000}"/>
    <cellStyle name="Normal 2 4 2 3 2 2 2 6 2" xfId="6743" xr:uid="{00000000-0005-0000-0000-0000AC0E0000}"/>
    <cellStyle name="Normal 2 4 2 3 2 2 2 6 2 2" xfId="15193" xr:uid="{E93CD3CB-B62D-4BDA-BC0B-3BF016A2A2DE}"/>
    <cellStyle name="Normal 2 4 2 3 2 2 2 6 3" xfId="10975" xr:uid="{45E9CE5E-FB0A-4A3E-8092-4223B22E3271}"/>
    <cellStyle name="Normal 2 4 2 3 2 2 2 7" xfId="4677" xr:uid="{00000000-0005-0000-0000-0000AD0E0000}"/>
    <cellStyle name="Normal 2 4 2 3 2 2 2 7 2" xfId="13127" xr:uid="{CF26E893-23C5-4EE0-A4EE-8B637C34EF09}"/>
    <cellStyle name="Normal 2 4 2 3 2 2 2 8" xfId="17350" xr:uid="{B5315913-EDE0-40FC-8158-81CCD38AE544}"/>
    <cellStyle name="Normal 2 4 2 3 2 2 2 9" xfId="18183" xr:uid="{D174E3A3-F8CF-4005-893C-8E3C856B51A7}"/>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BA751246-D4B7-442A-A8C0-D3238DFF0C9A}"/>
    <cellStyle name="Normal 2 4 2 3 2 2 3 2 3" xfId="11467" xr:uid="{96ED0736-487B-4E74-A32A-35107381DA77}"/>
    <cellStyle name="Normal 2 4 2 3 2 2 3 3" xfId="5090" xr:uid="{00000000-0005-0000-0000-0000B10E0000}"/>
    <cellStyle name="Normal 2 4 2 3 2 2 3 3 2" xfId="13540" xr:uid="{3F0C466A-E150-4119-B8CE-F460328C4355}"/>
    <cellStyle name="Normal 2 4 2 3 2 2 3 4" xfId="17768" xr:uid="{2A3FED41-3F6F-4DE7-8346-6C48609F3B8A}"/>
    <cellStyle name="Normal 2 4 2 3 2 2 3 5" xfId="18598" xr:uid="{362C077D-4D16-4F3A-9929-80BD02376EDD}"/>
    <cellStyle name="Normal 2 4 2 3 2 2 3 6" xfId="19427" xr:uid="{0A14BA81-162A-4375-AE37-E27A213D1275}"/>
    <cellStyle name="Normal 2 4 2 3 2 2 3 7" xfId="9322" xr:uid="{2B54A3AE-A9AF-4B03-B63E-62021458FD7C}"/>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2F51AC91-11B8-4156-8831-D73466923006}"/>
    <cellStyle name="Normal 2 4 2 3 2 2 4 2 3" xfId="11880" xr:uid="{C477C5CC-19F6-4066-B4F5-ECEA8083BBAB}"/>
    <cellStyle name="Normal 2 4 2 3 2 2 4 3" xfId="5503" xr:uid="{00000000-0005-0000-0000-0000B50E0000}"/>
    <cellStyle name="Normal 2 4 2 3 2 2 4 3 2" xfId="13953" xr:uid="{A6D5C479-91EA-4B9F-AD94-D4C2E1CAAD81}"/>
    <cellStyle name="Normal 2 4 2 3 2 2 4 4" xfId="9735" xr:uid="{FDB80113-997F-4F16-B6B7-6628FED3836B}"/>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02FDF2BE-12D1-4426-96E4-D7F73EF436E4}"/>
    <cellStyle name="Normal 2 4 2 3 2 2 5 2 3" xfId="12293" xr:uid="{B2CDD392-1706-4BC8-A1FE-327BC0C84E96}"/>
    <cellStyle name="Normal 2 4 2 3 2 2 5 3" xfId="5916" xr:uid="{00000000-0005-0000-0000-0000B90E0000}"/>
    <cellStyle name="Normal 2 4 2 3 2 2 5 3 2" xfId="14366" xr:uid="{390F79FE-2FED-4EFC-BD34-F90A0610EB1E}"/>
    <cellStyle name="Normal 2 4 2 3 2 2 5 4" xfId="10148" xr:uid="{5D2D3014-9DA4-4392-9CA8-AFEDAECCE38D}"/>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46F6601A-4FFD-42B2-B1CF-714DE45B088A}"/>
    <cellStyle name="Normal 2 4 2 3 2 2 6 2 3" xfId="12706" xr:uid="{7DD14301-1488-4C08-947E-249A7331846E}"/>
    <cellStyle name="Normal 2 4 2 3 2 2 6 3" xfId="6329" xr:uid="{00000000-0005-0000-0000-0000BD0E0000}"/>
    <cellStyle name="Normal 2 4 2 3 2 2 6 3 2" xfId="14779" xr:uid="{062D37FC-F060-4AEC-81EF-AD12C48DE308}"/>
    <cellStyle name="Normal 2 4 2 3 2 2 6 4" xfId="10561" xr:uid="{CBE516C4-3AC3-4334-BC26-6E8CE90D7082}"/>
    <cellStyle name="Normal 2 4 2 3 2 2 7" xfId="2459" xr:uid="{00000000-0005-0000-0000-0000BE0E0000}"/>
    <cellStyle name="Normal 2 4 2 3 2 2 7 2" xfId="6742" xr:uid="{00000000-0005-0000-0000-0000BF0E0000}"/>
    <cellStyle name="Normal 2 4 2 3 2 2 7 2 2" xfId="15192" xr:uid="{E2443200-940C-4289-9C17-16B4AF69738D}"/>
    <cellStyle name="Normal 2 4 2 3 2 2 7 3" xfId="10974" xr:uid="{2E36C04E-2864-4B53-B266-4E7D7B52F38F}"/>
    <cellStyle name="Normal 2 4 2 3 2 2 8" xfId="4676" xr:uid="{00000000-0005-0000-0000-0000C00E0000}"/>
    <cellStyle name="Normal 2 4 2 3 2 2 8 2" xfId="13126" xr:uid="{F6D27761-3253-445B-8901-EF97031AF355}"/>
    <cellStyle name="Normal 2 4 2 3 2 2 9" xfId="17349" xr:uid="{1010976E-14C8-43B4-9B46-AD2A8802693D}"/>
    <cellStyle name="Normal 2 4 2 3 2 3" xfId="285" xr:uid="{00000000-0005-0000-0000-0000C10E0000}"/>
    <cellStyle name="Normal 2 4 2 3 2 3 10" xfId="19013" xr:uid="{05388B5A-C4C5-49B6-8565-0567DDBFFDD5}"/>
    <cellStyle name="Normal 2 4 2 3 2 3 11" xfId="8910" xr:uid="{618F788C-A60F-47C7-804E-E3B3953E2CF7}"/>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3A8CA4BC-170B-456E-BDF3-4C6E8C828AB2}"/>
    <cellStyle name="Normal 2 4 2 3 2 3 2 2 3" xfId="11469" xr:uid="{8D3DCA36-86AA-478F-A228-D866F6F3535A}"/>
    <cellStyle name="Normal 2 4 2 3 2 3 2 3" xfId="5092" xr:uid="{00000000-0005-0000-0000-0000C50E0000}"/>
    <cellStyle name="Normal 2 4 2 3 2 3 2 3 2" xfId="13542" xr:uid="{F76764A4-5744-4930-A205-24AF9D511453}"/>
    <cellStyle name="Normal 2 4 2 3 2 3 2 4" xfId="17770" xr:uid="{0173821B-7F0F-46C9-B22E-0E8B49D644EC}"/>
    <cellStyle name="Normal 2 4 2 3 2 3 2 5" xfId="18600" xr:uid="{F01BDA38-95A8-45F9-9DDF-1BB441AA732B}"/>
    <cellStyle name="Normal 2 4 2 3 2 3 2 6" xfId="19429" xr:uid="{7FAC6D1B-BE72-435B-A68B-5C08ED569B97}"/>
    <cellStyle name="Normal 2 4 2 3 2 3 2 7" xfId="9324" xr:uid="{55C4C9BD-A525-46B6-9140-1C70FBAD818D}"/>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DAD90F64-0C28-4F89-AF84-63B699D2BB71}"/>
    <cellStyle name="Normal 2 4 2 3 2 3 3 2 3" xfId="11882" xr:uid="{145126EE-C3FA-42FD-B0A5-8355773942B2}"/>
    <cellStyle name="Normal 2 4 2 3 2 3 3 3" xfId="5505" xr:uid="{00000000-0005-0000-0000-0000C90E0000}"/>
    <cellStyle name="Normal 2 4 2 3 2 3 3 3 2" xfId="13955" xr:uid="{97145E37-430B-40A1-B556-170D2B678D0A}"/>
    <cellStyle name="Normal 2 4 2 3 2 3 3 4" xfId="9737" xr:uid="{75EC30A9-BAC3-42AF-9774-E6A9F4D6A12A}"/>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69B4669B-CFA2-4AE8-8249-372A51AE5AE0}"/>
    <cellStyle name="Normal 2 4 2 3 2 3 4 2 3" xfId="12295" xr:uid="{37463A8A-F197-472F-9A33-719E01CC1D40}"/>
    <cellStyle name="Normal 2 4 2 3 2 3 4 3" xfId="5918" xr:uid="{00000000-0005-0000-0000-0000CD0E0000}"/>
    <cellStyle name="Normal 2 4 2 3 2 3 4 3 2" xfId="14368" xr:uid="{F7413CB0-C8F1-41EC-AEFA-6C9ED7DF05CC}"/>
    <cellStyle name="Normal 2 4 2 3 2 3 4 4" xfId="10150" xr:uid="{5BB50434-4B93-4022-A481-041830E1C8DF}"/>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E41F1B2F-AD70-461C-9C99-2D3E10E78AB0}"/>
    <cellStyle name="Normal 2 4 2 3 2 3 5 2 3" xfId="12708" xr:uid="{A0529A8A-BA55-4894-ADEA-90A5A97E5D3D}"/>
    <cellStyle name="Normal 2 4 2 3 2 3 5 3" xfId="6331" xr:uid="{00000000-0005-0000-0000-0000D10E0000}"/>
    <cellStyle name="Normal 2 4 2 3 2 3 5 3 2" xfId="14781" xr:uid="{56BE6506-14F2-4504-88EE-F7E8602C054F}"/>
    <cellStyle name="Normal 2 4 2 3 2 3 5 4" xfId="10563" xr:uid="{D253E1F6-D3D8-4CB3-9986-0B87D8954ED8}"/>
    <cellStyle name="Normal 2 4 2 3 2 3 6" xfId="2461" xr:uid="{00000000-0005-0000-0000-0000D20E0000}"/>
    <cellStyle name="Normal 2 4 2 3 2 3 6 2" xfId="6744" xr:uid="{00000000-0005-0000-0000-0000D30E0000}"/>
    <cellStyle name="Normal 2 4 2 3 2 3 6 2 2" xfId="15194" xr:uid="{9672AD90-D25B-4FCC-A3AE-B84578BE03CC}"/>
    <cellStyle name="Normal 2 4 2 3 2 3 6 3" xfId="10976" xr:uid="{F6F040D4-F605-4619-8B12-7DA30E437B8E}"/>
    <cellStyle name="Normal 2 4 2 3 2 3 7" xfId="4678" xr:uid="{00000000-0005-0000-0000-0000D40E0000}"/>
    <cellStyle name="Normal 2 4 2 3 2 3 7 2" xfId="13128" xr:uid="{A8613B8F-95EC-44D3-918B-765FFA29F0E1}"/>
    <cellStyle name="Normal 2 4 2 3 2 3 8" xfId="17351" xr:uid="{C55B7DAD-CA23-4C05-8A90-581E2CC76E78}"/>
    <cellStyle name="Normal 2 4 2 3 2 3 9" xfId="18184" xr:uid="{47A4BE0E-3997-4461-AF98-8DF7AF43E537}"/>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6316A787-7352-424F-A081-7CEC1BB32980}"/>
    <cellStyle name="Normal 2 4 2 3 2 4 2 3" xfId="11466" xr:uid="{C6A92638-9C6B-4A4C-8704-BA9124E0E880}"/>
    <cellStyle name="Normal 2 4 2 3 2 4 3" xfId="5089" xr:uid="{00000000-0005-0000-0000-0000D80E0000}"/>
    <cellStyle name="Normal 2 4 2 3 2 4 3 2" xfId="13539" xr:uid="{BDFA1A9C-7016-4A4C-ABDA-218DFF69D081}"/>
    <cellStyle name="Normal 2 4 2 3 2 4 4" xfId="17767" xr:uid="{79207966-0423-4E18-88E9-8394D16A8074}"/>
    <cellStyle name="Normal 2 4 2 3 2 4 5" xfId="18597" xr:uid="{2AA7842D-3DA2-403C-902D-564F407661D6}"/>
    <cellStyle name="Normal 2 4 2 3 2 4 6" xfId="19426" xr:uid="{77B3406D-4585-4011-9B2F-8B6ADBEC204B}"/>
    <cellStyle name="Normal 2 4 2 3 2 4 7" xfId="9321" xr:uid="{DDC9F89E-1D5A-4C02-99C7-2D029F5EDB11}"/>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DCFFDC34-4177-4122-BB9B-FB0DA85890A2}"/>
    <cellStyle name="Normal 2 4 2 3 2 5 2 3" xfId="11879" xr:uid="{FA064AD7-2085-4350-9A57-DDBA3BDBCDDB}"/>
    <cellStyle name="Normal 2 4 2 3 2 5 3" xfId="5502" xr:uid="{00000000-0005-0000-0000-0000DC0E0000}"/>
    <cellStyle name="Normal 2 4 2 3 2 5 3 2" xfId="13952" xr:uid="{41B6E56C-1F47-4D16-9796-68AA38DA3741}"/>
    <cellStyle name="Normal 2 4 2 3 2 5 4" xfId="9734" xr:uid="{62125F07-EB64-4443-AE6C-D6383BF8D8FA}"/>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7D66D71B-4C44-4EFD-B432-7425959E628B}"/>
    <cellStyle name="Normal 2 4 2 3 2 6 2 3" xfId="12292" xr:uid="{475A3EA2-FCC2-45A5-B98E-231D2CBC41A5}"/>
    <cellStyle name="Normal 2 4 2 3 2 6 3" xfId="5915" xr:uid="{00000000-0005-0000-0000-0000E00E0000}"/>
    <cellStyle name="Normal 2 4 2 3 2 6 3 2" xfId="14365" xr:uid="{390844FA-5326-4EA0-80A5-3EE561E2D2B4}"/>
    <cellStyle name="Normal 2 4 2 3 2 6 4" xfId="10147" xr:uid="{E30B6FFB-BC16-470B-A3E7-8B9E1C707FA9}"/>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51B95EFA-4390-4B02-86CC-BE74F04F21D4}"/>
    <cellStyle name="Normal 2 4 2 3 2 7 2 3" xfId="12705" xr:uid="{E1BC819F-119F-4D91-8C2C-D341E80049BA}"/>
    <cellStyle name="Normal 2 4 2 3 2 7 3" xfId="6328" xr:uid="{00000000-0005-0000-0000-0000E40E0000}"/>
    <cellStyle name="Normal 2 4 2 3 2 7 3 2" xfId="14778" xr:uid="{EEB8768A-38D1-44F5-951F-BDA5B9DB02FD}"/>
    <cellStyle name="Normal 2 4 2 3 2 7 4" xfId="10560" xr:uid="{D556860A-D6B1-4785-9914-535E423B3988}"/>
    <cellStyle name="Normal 2 4 2 3 2 8" xfId="2458" xr:uid="{00000000-0005-0000-0000-0000E50E0000}"/>
    <cellStyle name="Normal 2 4 2 3 2 8 2" xfId="6741" xr:uid="{00000000-0005-0000-0000-0000E60E0000}"/>
    <cellStyle name="Normal 2 4 2 3 2 8 2 2" xfId="15191" xr:uid="{DFCD6458-C415-4CE8-9933-01F9A25ADFD8}"/>
    <cellStyle name="Normal 2 4 2 3 2 8 3" xfId="10973" xr:uid="{AAAA1F90-DBB3-48DE-AF13-0D81756A77AD}"/>
    <cellStyle name="Normal 2 4 2 3 2 9" xfId="4675" xr:uid="{00000000-0005-0000-0000-0000E70E0000}"/>
    <cellStyle name="Normal 2 4 2 3 2 9 2" xfId="13125" xr:uid="{D5E75AEC-99E1-40F0-99B4-767AABED0D60}"/>
    <cellStyle name="Normal 2 4 2 3 3" xfId="286" xr:uid="{00000000-0005-0000-0000-0000E80E0000}"/>
    <cellStyle name="Normal 2 4 2 3 3 10" xfId="18185" xr:uid="{86C12F78-B976-4B55-ADB9-86216CAD3063}"/>
    <cellStyle name="Normal 2 4 2 3 3 11" xfId="19014" xr:uid="{1844D097-1057-4EE2-B569-4156DFDD8BA1}"/>
    <cellStyle name="Normal 2 4 2 3 3 12" xfId="8911" xr:uid="{1D6F1585-2E9E-4D52-A2A9-27A48C40973F}"/>
    <cellStyle name="Normal 2 4 2 3 3 2" xfId="287" xr:uid="{00000000-0005-0000-0000-0000E90E0000}"/>
    <cellStyle name="Normal 2 4 2 3 3 2 10" xfId="19015" xr:uid="{7330FFE8-CCE1-489C-8C0F-979CAEC0CAD7}"/>
    <cellStyle name="Normal 2 4 2 3 3 2 11" xfId="8912" xr:uid="{FE4015A6-E177-42F4-B0A7-C6BB3FBE8A4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E0975F52-85C2-413E-889A-850F8EC9E25C}"/>
    <cellStyle name="Normal 2 4 2 3 3 2 2 2 3" xfId="11471" xr:uid="{C8FE6CFB-7257-4FF2-9FF1-EC47B676FEDF}"/>
    <cellStyle name="Normal 2 4 2 3 3 2 2 3" xfId="5094" xr:uid="{00000000-0005-0000-0000-0000ED0E0000}"/>
    <cellStyle name="Normal 2 4 2 3 3 2 2 3 2" xfId="13544" xr:uid="{2D22AEEA-3B01-4F9F-9778-837B39BE4530}"/>
    <cellStyle name="Normal 2 4 2 3 3 2 2 4" xfId="17772" xr:uid="{4E6B8FD1-DA7B-4D18-A855-E3A6E315BFD8}"/>
    <cellStyle name="Normal 2 4 2 3 3 2 2 5" xfId="18602" xr:uid="{8BB56061-F260-4620-A818-F46114DE7E15}"/>
    <cellStyle name="Normal 2 4 2 3 3 2 2 6" xfId="19431" xr:uid="{3714CC1B-EAD8-418E-8AFD-41EE97EC6E94}"/>
    <cellStyle name="Normal 2 4 2 3 3 2 2 7" xfId="9326" xr:uid="{3785F0F4-983D-4A6D-ABD1-EF5331CF6233}"/>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BDE0EC84-9AFD-46F2-A22B-6813A1CAA6E9}"/>
    <cellStyle name="Normal 2 4 2 3 3 2 3 2 3" xfId="11884" xr:uid="{D91D3B57-7544-4E2C-96B7-C88116C632BA}"/>
    <cellStyle name="Normal 2 4 2 3 3 2 3 3" xfId="5507" xr:uid="{00000000-0005-0000-0000-0000F10E0000}"/>
    <cellStyle name="Normal 2 4 2 3 3 2 3 3 2" xfId="13957" xr:uid="{08FFDFBF-24AB-45A8-8C34-DB38874BE8EF}"/>
    <cellStyle name="Normal 2 4 2 3 3 2 3 4" xfId="9739" xr:uid="{E88E959F-CDFA-4220-AB6C-7102930EC6E5}"/>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6E69895B-30C3-4E43-AF34-0156F02889F4}"/>
    <cellStyle name="Normal 2 4 2 3 3 2 4 2 3" xfId="12297" xr:uid="{7CE7DCEF-53C7-490B-95B4-DA50B132FD46}"/>
    <cellStyle name="Normal 2 4 2 3 3 2 4 3" xfId="5920" xr:uid="{00000000-0005-0000-0000-0000F50E0000}"/>
    <cellStyle name="Normal 2 4 2 3 3 2 4 3 2" xfId="14370" xr:uid="{AEC34641-448D-4868-BFE9-DE1ED6950A0C}"/>
    <cellStyle name="Normal 2 4 2 3 3 2 4 4" xfId="10152" xr:uid="{D0763F1B-FF2F-4E6A-AE2D-B89FB69CAC19}"/>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3BDB0827-9889-495A-B94E-13024F6C0255}"/>
    <cellStyle name="Normal 2 4 2 3 3 2 5 2 3" xfId="12710" xr:uid="{5F86CD7D-A6D2-4A27-B87B-C43AD9AF2FA3}"/>
    <cellStyle name="Normal 2 4 2 3 3 2 5 3" xfId="6333" xr:uid="{00000000-0005-0000-0000-0000F90E0000}"/>
    <cellStyle name="Normal 2 4 2 3 3 2 5 3 2" xfId="14783" xr:uid="{96E50DF4-BD46-4737-AC8F-DE79E0C3DB2F}"/>
    <cellStyle name="Normal 2 4 2 3 3 2 5 4" xfId="10565" xr:uid="{19FE012D-E674-4249-8821-05BE587E4D54}"/>
    <cellStyle name="Normal 2 4 2 3 3 2 6" xfId="2463" xr:uid="{00000000-0005-0000-0000-0000FA0E0000}"/>
    <cellStyle name="Normal 2 4 2 3 3 2 6 2" xfId="6746" xr:uid="{00000000-0005-0000-0000-0000FB0E0000}"/>
    <cellStyle name="Normal 2 4 2 3 3 2 6 2 2" xfId="15196" xr:uid="{97630333-C503-4948-9C2A-A73D1536BB4C}"/>
    <cellStyle name="Normal 2 4 2 3 3 2 6 3" xfId="10978" xr:uid="{75D90D8A-3E25-4EFB-97A6-A27BB1227D7D}"/>
    <cellStyle name="Normal 2 4 2 3 3 2 7" xfId="4680" xr:uid="{00000000-0005-0000-0000-0000FC0E0000}"/>
    <cellStyle name="Normal 2 4 2 3 3 2 7 2" xfId="13130" xr:uid="{82AC60B8-7FBF-4E95-A82D-5AF748162029}"/>
    <cellStyle name="Normal 2 4 2 3 3 2 8" xfId="17353" xr:uid="{09542D5C-B7FD-48D1-A7CE-44507BF02ACB}"/>
    <cellStyle name="Normal 2 4 2 3 3 2 9" xfId="18186" xr:uid="{6EF1B24A-0459-4739-84CF-531408FAC98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46716815-69EF-444F-9114-451B51D441F4}"/>
    <cellStyle name="Normal 2 4 2 3 3 3 2 3" xfId="11470" xr:uid="{704CD2C2-2C53-4224-94A4-B605E677CFE4}"/>
    <cellStyle name="Normal 2 4 2 3 3 3 3" xfId="5093" xr:uid="{00000000-0005-0000-0000-0000000F0000}"/>
    <cellStyle name="Normal 2 4 2 3 3 3 3 2" xfId="13543" xr:uid="{BECD49B5-AEF1-45AC-B1EE-44C1FAF43FD7}"/>
    <cellStyle name="Normal 2 4 2 3 3 3 4" xfId="17771" xr:uid="{169118C9-D04E-406C-9EE0-3C90A63A5199}"/>
    <cellStyle name="Normal 2 4 2 3 3 3 5" xfId="18601" xr:uid="{6A995BD8-137C-4656-BA33-78785D6CF373}"/>
    <cellStyle name="Normal 2 4 2 3 3 3 6" xfId="19430" xr:uid="{3AEF633B-91E4-422F-BA12-427968B013A1}"/>
    <cellStyle name="Normal 2 4 2 3 3 3 7" xfId="9325" xr:uid="{708CD460-F867-4149-837B-5CAA5DEF2D2A}"/>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DFAC1832-6222-46DB-B0E4-53F30EF7327E}"/>
    <cellStyle name="Normal 2 4 2 3 3 4 2 3" xfId="11883" xr:uid="{9A86BCAD-876C-4010-B26A-72D798BE56FA}"/>
    <cellStyle name="Normal 2 4 2 3 3 4 3" xfId="5506" xr:uid="{00000000-0005-0000-0000-0000040F0000}"/>
    <cellStyle name="Normal 2 4 2 3 3 4 3 2" xfId="13956" xr:uid="{FEBC333D-1A95-42AF-A470-5E532C157CA7}"/>
    <cellStyle name="Normal 2 4 2 3 3 4 4" xfId="9738" xr:uid="{A47A6DE9-A2D5-4C73-9B9F-D8AB6679E20B}"/>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6640CD92-0708-4D6D-9A0E-A347DB53C04D}"/>
    <cellStyle name="Normal 2 4 2 3 3 5 2 3" xfId="12296" xr:uid="{E26C60A3-B1EA-49DF-AF8A-B720A0C2E29D}"/>
    <cellStyle name="Normal 2 4 2 3 3 5 3" xfId="5919" xr:uid="{00000000-0005-0000-0000-0000080F0000}"/>
    <cellStyle name="Normal 2 4 2 3 3 5 3 2" xfId="14369" xr:uid="{EAC9E9AB-D456-468D-B91E-8B4951391AF1}"/>
    <cellStyle name="Normal 2 4 2 3 3 5 4" xfId="10151" xr:uid="{A56C7895-9595-4BF0-AB4E-2D3A3C75EAAC}"/>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1139E835-AD8E-49B3-8E42-2355199A1411}"/>
    <cellStyle name="Normal 2 4 2 3 3 6 2 3" xfId="12709" xr:uid="{E3338C03-3DF9-474B-91D5-66AE1AB76288}"/>
    <cellStyle name="Normal 2 4 2 3 3 6 3" xfId="6332" xr:uid="{00000000-0005-0000-0000-00000C0F0000}"/>
    <cellStyle name="Normal 2 4 2 3 3 6 3 2" xfId="14782" xr:uid="{C35B2DA7-81FA-4BF2-88BE-3CFD417573A2}"/>
    <cellStyle name="Normal 2 4 2 3 3 6 4" xfId="10564" xr:uid="{4B9C114A-DF77-4D76-81D0-B0FF8EB73E26}"/>
    <cellStyle name="Normal 2 4 2 3 3 7" xfId="2462" xr:uid="{00000000-0005-0000-0000-00000D0F0000}"/>
    <cellStyle name="Normal 2 4 2 3 3 7 2" xfId="6745" xr:uid="{00000000-0005-0000-0000-00000E0F0000}"/>
    <cellStyle name="Normal 2 4 2 3 3 7 2 2" xfId="15195" xr:uid="{421A2A19-B480-4617-828C-E882E8DE8CFE}"/>
    <cellStyle name="Normal 2 4 2 3 3 7 3" xfId="10977" xr:uid="{F17661AD-79C2-4E81-AA2A-5171431F8A2A}"/>
    <cellStyle name="Normal 2 4 2 3 3 8" xfId="4679" xr:uid="{00000000-0005-0000-0000-00000F0F0000}"/>
    <cellStyle name="Normal 2 4 2 3 3 8 2" xfId="13129" xr:uid="{1E22C098-85ED-47B2-9B75-4B70D3C5655A}"/>
    <cellStyle name="Normal 2 4 2 3 3 9" xfId="17352" xr:uid="{88D2E0B9-164B-4C85-B679-D182EC1602FF}"/>
    <cellStyle name="Normal 2 4 2 3 4" xfId="288" xr:uid="{00000000-0005-0000-0000-0000100F0000}"/>
    <cellStyle name="Normal 2 4 2 3 4 10" xfId="19016" xr:uid="{0F169ABF-D788-46AA-B493-F0B35C82E6C6}"/>
    <cellStyle name="Normal 2 4 2 3 4 11" xfId="8913" xr:uid="{69915C5F-A7E9-4BB8-A9A0-908A8047272E}"/>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6972556F-DB94-49CE-9A42-CB2CB133C53F}"/>
    <cellStyle name="Normal 2 4 2 3 4 2 2 3" xfId="11472" xr:uid="{9D2D1831-67AF-4F65-9E30-9B275298C5C0}"/>
    <cellStyle name="Normal 2 4 2 3 4 2 3" xfId="5095" xr:uid="{00000000-0005-0000-0000-0000140F0000}"/>
    <cellStyle name="Normal 2 4 2 3 4 2 3 2" xfId="13545" xr:uid="{469B8F41-2882-4B9F-B79F-69027FD47F7C}"/>
    <cellStyle name="Normal 2 4 2 3 4 2 4" xfId="17773" xr:uid="{9B99367D-DCC7-457E-A033-94CAF8E575E8}"/>
    <cellStyle name="Normal 2 4 2 3 4 2 5" xfId="18603" xr:uid="{312378C7-7AF0-41E5-9BE9-E0AA244FEF92}"/>
    <cellStyle name="Normal 2 4 2 3 4 2 6" xfId="19432" xr:uid="{538BED90-5F93-4D3B-A8F5-C46CDDC6858E}"/>
    <cellStyle name="Normal 2 4 2 3 4 2 7" xfId="9327" xr:uid="{86B319C0-DC1B-4299-9289-51D58434460D}"/>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BEA4A650-DBD8-4657-AD03-578B758513B2}"/>
    <cellStyle name="Normal 2 4 2 3 4 3 2 3" xfId="11885" xr:uid="{8DE6CC0A-3EE8-4761-BC1A-EEC84344344B}"/>
    <cellStyle name="Normal 2 4 2 3 4 3 3" xfId="5508" xr:uid="{00000000-0005-0000-0000-0000180F0000}"/>
    <cellStyle name="Normal 2 4 2 3 4 3 3 2" xfId="13958" xr:uid="{AAAA117A-F3E2-45C3-8147-8E52E76DD5B4}"/>
    <cellStyle name="Normal 2 4 2 3 4 3 4" xfId="9740" xr:uid="{EEC42D4B-6139-436E-9641-4AFA1B0164E5}"/>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0D520B89-473F-4D93-903D-B251D698E00D}"/>
    <cellStyle name="Normal 2 4 2 3 4 4 2 3" xfId="12298" xr:uid="{DC7FF95B-B02F-4910-AE38-5022806F8BD2}"/>
    <cellStyle name="Normal 2 4 2 3 4 4 3" xfId="5921" xr:uid="{00000000-0005-0000-0000-00001C0F0000}"/>
    <cellStyle name="Normal 2 4 2 3 4 4 3 2" xfId="14371" xr:uid="{280CA18F-DC9D-49E0-B0A9-394285DCC162}"/>
    <cellStyle name="Normal 2 4 2 3 4 4 4" xfId="10153" xr:uid="{F8308D81-D1B0-4CF6-A245-B8CB66C15E83}"/>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CB0909D9-13BF-466B-BE75-478D2AFEA253}"/>
    <cellStyle name="Normal 2 4 2 3 4 5 2 3" xfId="12711" xr:uid="{FAB33A08-8BBE-44BC-B085-1EB62E8935F6}"/>
    <cellStyle name="Normal 2 4 2 3 4 5 3" xfId="6334" xr:uid="{00000000-0005-0000-0000-0000200F0000}"/>
    <cellStyle name="Normal 2 4 2 3 4 5 3 2" xfId="14784" xr:uid="{2A143685-D543-4711-B821-E788360428C8}"/>
    <cellStyle name="Normal 2 4 2 3 4 5 4" xfId="10566" xr:uid="{7A0CA0CD-9E30-44F4-9D33-09099F0013A9}"/>
    <cellStyle name="Normal 2 4 2 3 4 6" xfId="2464" xr:uid="{00000000-0005-0000-0000-0000210F0000}"/>
    <cellStyle name="Normal 2 4 2 3 4 6 2" xfId="6747" xr:uid="{00000000-0005-0000-0000-0000220F0000}"/>
    <cellStyle name="Normal 2 4 2 3 4 6 2 2" xfId="15197" xr:uid="{C1ED36AC-F61F-468E-A33F-3E21BD195EC6}"/>
    <cellStyle name="Normal 2 4 2 3 4 6 3" xfId="10979" xr:uid="{4860390F-9CEB-426D-98B8-AB4C74EA1BBA}"/>
    <cellStyle name="Normal 2 4 2 3 4 7" xfId="4681" xr:uid="{00000000-0005-0000-0000-0000230F0000}"/>
    <cellStyle name="Normal 2 4 2 3 4 7 2" xfId="13131" xr:uid="{76F686B2-05AB-4876-BB20-9F4FA2BE3ACC}"/>
    <cellStyle name="Normal 2 4 2 3 4 8" xfId="17354" xr:uid="{34C4D108-68AF-4173-A65C-2177575EEDB2}"/>
    <cellStyle name="Normal 2 4 2 3 4 9" xfId="18187" xr:uid="{07E72E92-8FD4-4BBC-AECB-8056EBCC9597}"/>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1682DCE2-D661-46EF-847C-D9F0D1FEE0EF}"/>
    <cellStyle name="Normal 2 4 2 3 5 2 3" xfId="11465" xr:uid="{64E2E74D-2233-466D-B1D5-3D432DBA119E}"/>
    <cellStyle name="Normal 2 4 2 3 5 3" xfId="5088" xr:uid="{00000000-0005-0000-0000-0000270F0000}"/>
    <cellStyle name="Normal 2 4 2 3 5 3 2" xfId="13538" xr:uid="{37D09569-928A-4DBB-B56B-FC36B04B83DE}"/>
    <cellStyle name="Normal 2 4 2 3 5 4" xfId="17766" xr:uid="{7782F5CD-EE90-4305-9419-0C330B6D0933}"/>
    <cellStyle name="Normal 2 4 2 3 5 5" xfId="18596" xr:uid="{354BB6AA-5B97-402F-88EF-C0440B828C27}"/>
    <cellStyle name="Normal 2 4 2 3 5 6" xfId="19425" xr:uid="{89534A8C-C8A8-4F89-8C4A-41F5D43EFFE2}"/>
    <cellStyle name="Normal 2 4 2 3 5 7" xfId="9320" xr:uid="{6EE7C1E7-13DE-4207-9FCB-B68D3C4A6B0B}"/>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FF55B338-793A-4F9C-9771-F8A009B23913}"/>
    <cellStyle name="Normal 2 4 2 3 6 2 3" xfId="11878" xr:uid="{38385309-2697-4C6A-9DF8-FD6B4CFE832A}"/>
    <cellStyle name="Normal 2 4 2 3 6 3" xfId="5501" xr:uid="{00000000-0005-0000-0000-00002B0F0000}"/>
    <cellStyle name="Normal 2 4 2 3 6 3 2" xfId="13951" xr:uid="{30E09D2F-5471-4B0F-BE39-7E4EE0C85FFE}"/>
    <cellStyle name="Normal 2 4 2 3 6 4" xfId="9733" xr:uid="{903E7A82-D481-4A2F-97BD-3C9DA720DBD8}"/>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42B03BE1-EB34-412C-8FB3-4710E46D796F}"/>
    <cellStyle name="Normal 2 4 2 3 7 2 3" xfId="12291" xr:uid="{8C09ACC9-D6D0-4B58-BECB-5ED44C763B92}"/>
    <cellStyle name="Normal 2 4 2 3 7 3" xfId="5914" xr:uid="{00000000-0005-0000-0000-00002F0F0000}"/>
    <cellStyle name="Normal 2 4 2 3 7 3 2" xfId="14364" xr:uid="{19966A5E-249E-4A27-AED3-14A52652CB56}"/>
    <cellStyle name="Normal 2 4 2 3 7 4" xfId="10146" xr:uid="{CAC18B19-BDA0-45C6-B9C9-ED47DD4A1C54}"/>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F6B90D85-63B6-45CC-9099-ED072D416204}"/>
    <cellStyle name="Normal 2 4 2 3 8 2 3" xfId="12704" xr:uid="{941F6878-3F1A-4DB0-B3BD-5229AC626F6A}"/>
    <cellStyle name="Normal 2 4 2 3 8 3" xfId="6327" xr:uid="{00000000-0005-0000-0000-0000330F0000}"/>
    <cellStyle name="Normal 2 4 2 3 8 3 2" xfId="14777" xr:uid="{B6CAFB78-DD37-4867-9C62-2C9D1A81C110}"/>
    <cellStyle name="Normal 2 4 2 3 8 4" xfId="10559" xr:uid="{F9202121-1427-45FB-A167-FC5611C6FA6D}"/>
    <cellStyle name="Normal 2 4 2 3 9" xfId="2457" xr:uid="{00000000-0005-0000-0000-0000340F0000}"/>
    <cellStyle name="Normal 2 4 2 3 9 2" xfId="6740" xr:uid="{00000000-0005-0000-0000-0000350F0000}"/>
    <cellStyle name="Normal 2 4 2 3 9 2 2" xfId="15190" xr:uid="{76BC0AF0-F27D-41DD-AC3F-9B33338A369A}"/>
    <cellStyle name="Normal 2 4 2 3 9 3" xfId="10972" xr:uid="{345DADD1-FA11-4D29-9896-973BEFF95E14}"/>
    <cellStyle name="Normal 2 4 2 4" xfId="289" xr:uid="{00000000-0005-0000-0000-0000360F0000}"/>
    <cellStyle name="Normal 2 4 2 4 10" xfId="17355" xr:uid="{76725B9F-2798-4046-9C90-1AA6D09EFF16}"/>
    <cellStyle name="Normal 2 4 2 4 11" xfId="18188" xr:uid="{A9D3A356-62CB-4287-953C-19198B319B4D}"/>
    <cellStyle name="Normal 2 4 2 4 12" xfId="19017" xr:uid="{DB6C4B48-B569-4BB9-B466-51E5B168A0D7}"/>
    <cellStyle name="Normal 2 4 2 4 13" xfId="8914" xr:uid="{C7525B88-0FCA-426D-B4E0-0735FE0DAA63}"/>
    <cellStyle name="Normal 2 4 2 4 2" xfId="290" xr:uid="{00000000-0005-0000-0000-0000370F0000}"/>
    <cellStyle name="Normal 2 4 2 4 2 10" xfId="18189" xr:uid="{C4498F0F-9C37-4CB8-942D-807270497018}"/>
    <cellStyle name="Normal 2 4 2 4 2 11" xfId="19018" xr:uid="{3E714C70-1E1F-489E-B15A-BD0177DB01BE}"/>
    <cellStyle name="Normal 2 4 2 4 2 12" xfId="8915" xr:uid="{CF5F67C8-9E63-41E3-9C99-454E9D0E2A59}"/>
    <cellStyle name="Normal 2 4 2 4 2 2" xfId="291" xr:uid="{00000000-0005-0000-0000-0000380F0000}"/>
    <cellStyle name="Normal 2 4 2 4 2 2 10" xfId="19019" xr:uid="{1F1EE4FC-5A5D-4822-95DB-55989DA5F308}"/>
    <cellStyle name="Normal 2 4 2 4 2 2 11" xfId="8916" xr:uid="{0BF42CED-C748-4E8D-9D0B-CE702288BEBE}"/>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AD9BF67D-A741-41F2-99F6-32A62F56A842}"/>
    <cellStyle name="Normal 2 4 2 4 2 2 2 2 3" xfId="11475" xr:uid="{F2A388E1-4356-48FF-A1FD-19BAF37F9EB2}"/>
    <cellStyle name="Normal 2 4 2 4 2 2 2 3" xfId="5098" xr:uid="{00000000-0005-0000-0000-00003C0F0000}"/>
    <cellStyle name="Normal 2 4 2 4 2 2 2 3 2" xfId="13548" xr:uid="{B8172B55-6844-4302-9038-090888F26607}"/>
    <cellStyle name="Normal 2 4 2 4 2 2 2 4" xfId="17776" xr:uid="{9D5EB536-89CA-401A-A1FD-E3578F0A49F4}"/>
    <cellStyle name="Normal 2 4 2 4 2 2 2 5" xfId="18606" xr:uid="{13B27E36-900B-4127-9CAE-4D529D8A2223}"/>
    <cellStyle name="Normal 2 4 2 4 2 2 2 6" xfId="19435" xr:uid="{9ECC5457-1296-4058-8AA6-9A695D4424A6}"/>
    <cellStyle name="Normal 2 4 2 4 2 2 2 7" xfId="9330" xr:uid="{AB990EB4-1FCA-41E7-AF4C-E1F89EC22993}"/>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F3BE8D9F-4D55-4AF3-8760-C3B7026BFF7F}"/>
    <cellStyle name="Normal 2 4 2 4 2 2 3 2 3" xfId="11888" xr:uid="{85708622-9779-4AE2-97EC-DDA02D7C5387}"/>
    <cellStyle name="Normal 2 4 2 4 2 2 3 3" xfId="5511" xr:uid="{00000000-0005-0000-0000-0000400F0000}"/>
    <cellStyle name="Normal 2 4 2 4 2 2 3 3 2" xfId="13961" xr:uid="{DF6B1436-3637-40DD-9101-ED1D8D5DC5C2}"/>
    <cellStyle name="Normal 2 4 2 4 2 2 3 4" xfId="9743" xr:uid="{2281A652-7487-4709-B25C-4E48B32FC15E}"/>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7316BF06-3BCE-4F29-8492-4DE7CB1C435B}"/>
    <cellStyle name="Normal 2 4 2 4 2 2 4 2 3" xfId="12301" xr:uid="{583A2862-6118-49BC-BB78-B3E2EE8A1736}"/>
    <cellStyle name="Normal 2 4 2 4 2 2 4 3" xfId="5924" xr:uid="{00000000-0005-0000-0000-0000440F0000}"/>
    <cellStyle name="Normal 2 4 2 4 2 2 4 3 2" xfId="14374" xr:uid="{2EE7CB01-9C34-4385-BD57-B892C37ABFD4}"/>
    <cellStyle name="Normal 2 4 2 4 2 2 4 4" xfId="10156" xr:uid="{FCA3828F-7F44-4FE2-AC9E-A16B176CFDFE}"/>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57AF8D1B-FA88-4E34-8EBA-27CA910487CF}"/>
    <cellStyle name="Normal 2 4 2 4 2 2 5 2 3" xfId="12714" xr:uid="{64E0A783-6B81-4457-ABB3-FECD4E03DFAA}"/>
    <cellStyle name="Normal 2 4 2 4 2 2 5 3" xfId="6337" xr:uid="{00000000-0005-0000-0000-0000480F0000}"/>
    <cellStyle name="Normal 2 4 2 4 2 2 5 3 2" xfId="14787" xr:uid="{AA23FF57-49F6-454F-85AA-D4DC3C71DAA1}"/>
    <cellStyle name="Normal 2 4 2 4 2 2 5 4" xfId="10569" xr:uid="{1439FCAC-5741-4723-8D1E-2320EDD5B191}"/>
    <cellStyle name="Normal 2 4 2 4 2 2 6" xfId="2467" xr:uid="{00000000-0005-0000-0000-0000490F0000}"/>
    <cellStyle name="Normal 2 4 2 4 2 2 6 2" xfId="6750" xr:uid="{00000000-0005-0000-0000-00004A0F0000}"/>
    <cellStyle name="Normal 2 4 2 4 2 2 6 2 2" xfId="15200" xr:uid="{8FFE555A-9A7C-4626-9E88-6A2D2F0972FA}"/>
    <cellStyle name="Normal 2 4 2 4 2 2 6 3" xfId="10982" xr:uid="{1E6281DB-D0A2-48CE-9A2A-892A7CF0C65F}"/>
    <cellStyle name="Normal 2 4 2 4 2 2 7" xfId="4684" xr:uid="{00000000-0005-0000-0000-00004B0F0000}"/>
    <cellStyle name="Normal 2 4 2 4 2 2 7 2" xfId="13134" xr:uid="{ACF254BF-654F-4F17-839E-851EA06B09D9}"/>
    <cellStyle name="Normal 2 4 2 4 2 2 8" xfId="17357" xr:uid="{12C8955A-C2FA-4B0F-A83B-7CBB6C57EFFF}"/>
    <cellStyle name="Normal 2 4 2 4 2 2 9" xfId="18190" xr:uid="{B27FF4B1-224A-4FAC-9302-3A1E85E1D41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DEA8BD12-B420-4E0D-85AA-90642C101930}"/>
    <cellStyle name="Normal 2 4 2 4 2 3 2 3" xfId="11474" xr:uid="{88D60925-C53D-4D6A-8256-B2108D3AA813}"/>
    <cellStyle name="Normal 2 4 2 4 2 3 3" xfId="5097" xr:uid="{00000000-0005-0000-0000-00004F0F0000}"/>
    <cellStyle name="Normal 2 4 2 4 2 3 3 2" xfId="13547" xr:uid="{27380862-B33C-4E13-B3ED-BF06C02FA876}"/>
    <cellStyle name="Normal 2 4 2 4 2 3 4" xfId="17775" xr:uid="{91094500-F360-4324-BD06-58F7DF2F0CF6}"/>
    <cellStyle name="Normal 2 4 2 4 2 3 5" xfId="18605" xr:uid="{75ABC55F-FADD-4493-A063-6F623F6630B3}"/>
    <cellStyle name="Normal 2 4 2 4 2 3 6" xfId="19434" xr:uid="{CC198BB4-44ED-4600-A17D-76A9739D2E96}"/>
    <cellStyle name="Normal 2 4 2 4 2 3 7" xfId="9329" xr:uid="{7A75E25E-E8D7-43F4-85FC-62AB6F3575CB}"/>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E3FA6084-DF4E-4EDC-9003-0AEE1FB3C743}"/>
    <cellStyle name="Normal 2 4 2 4 2 4 2 3" xfId="11887" xr:uid="{2E2EA2F7-A89D-4B37-A36E-3660BDDE19FD}"/>
    <cellStyle name="Normal 2 4 2 4 2 4 3" xfId="5510" xr:uid="{00000000-0005-0000-0000-0000530F0000}"/>
    <cellStyle name="Normal 2 4 2 4 2 4 3 2" xfId="13960" xr:uid="{D7412ABA-0C93-4554-8B71-9215FD9F4ACF}"/>
    <cellStyle name="Normal 2 4 2 4 2 4 4" xfId="9742" xr:uid="{85E1CD10-B504-4252-A0CF-3715FFAEB8F3}"/>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B80216A0-5FC8-42F3-9E25-07C86BE7DB3E}"/>
    <cellStyle name="Normal 2 4 2 4 2 5 2 3" xfId="12300" xr:uid="{B6B491D3-1188-4E34-A6B5-1FB4AC34FE0B}"/>
    <cellStyle name="Normal 2 4 2 4 2 5 3" xfId="5923" xr:uid="{00000000-0005-0000-0000-0000570F0000}"/>
    <cellStyle name="Normal 2 4 2 4 2 5 3 2" xfId="14373" xr:uid="{E307145C-77C0-42F4-A152-EDE1A341A8C5}"/>
    <cellStyle name="Normal 2 4 2 4 2 5 4" xfId="10155" xr:uid="{AB4A0D7D-D732-48FE-81E3-4393E9E47DD6}"/>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04897156-A9BE-4624-A6FD-385A681DC78B}"/>
    <cellStyle name="Normal 2 4 2 4 2 6 2 3" xfId="12713" xr:uid="{2966976B-B31B-4266-94AE-26FE6EBF8927}"/>
    <cellStyle name="Normal 2 4 2 4 2 6 3" xfId="6336" xr:uid="{00000000-0005-0000-0000-00005B0F0000}"/>
    <cellStyle name="Normal 2 4 2 4 2 6 3 2" xfId="14786" xr:uid="{F538F83B-0FE6-49BA-A904-5E42C3947C15}"/>
    <cellStyle name="Normal 2 4 2 4 2 6 4" xfId="10568" xr:uid="{2EA0712A-A6CC-43AE-BA3C-6DE35F74F84C}"/>
    <cellStyle name="Normal 2 4 2 4 2 7" xfId="2466" xr:uid="{00000000-0005-0000-0000-00005C0F0000}"/>
    <cellStyle name="Normal 2 4 2 4 2 7 2" xfId="6749" xr:uid="{00000000-0005-0000-0000-00005D0F0000}"/>
    <cellStyle name="Normal 2 4 2 4 2 7 2 2" xfId="15199" xr:uid="{6720089E-FF2B-43FB-BE83-E65B33376866}"/>
    <cellStyle name="Normal 2 4 2 4 2 7 3" xfId="10981" xr:uid="{481069D0-9456-4985-9EE7-50FBFE4509D6}"/>
    <cellStyle name="Normal 2 4 2 4 2 8" xfId="4683" xr:uid="{00000000-0005-0000-0000-00005E0F0000}"/>
    <cellStyle name="Normal 2 4 2 4 2 8 2" xfId="13133" xr:uid="{0FA43BC9-22D1-4E89-A7E6-FBA097E2BD11}"/>
    <cellStyle name="Normal 2 4 2 4 2 9" xfId="17356" xr:uid="{3F14009F-D889-4023-AB46-D198737E1488}"/>
    <cellStyle name="Normal 2 4 2 4 3" xfId="292" xr:uid="{00000000-0005-0000-0000-00005F0F0000}"/>
    <cellStyle name="Normal 2 4 2 4 3 10" xfId="19020" xr:uid="{A67C22BC-89A7-421A-BCCB-4EE2E61B1447}"/>
    <cellStyle name="Normal 2 4 2 4 3 11" xfId="8917" xr:uid="{8038FCC9-FC7F-40DE-8691-0A4281F0E1AE}"/>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79858329-7248-4286-B73C-01EBB29EA04F}"/>
    <cellStyle name="Normal 2 4 2 4 3 2 2 3" xfId="11476" xr:uid="{12A209C6-CE54-4196-8C60-B9D07625DB12}"/>
    <cellStyle name="Normal 2 4 2 4 3 2 3" xfId="5099" xr:uid="{00000000-0005-0000-0000-0000630F0000}"/>
    <cellStyle name="Normal 2 4 2 4 3 2 3 2" xfId="13549" xr:uid="{7A1CF1CB-4D82-4FE7-8D6E-52FAEB38070A}"/>
    <cellStyle name="Normal 2 4 2 4 3 2 4" xfId="17777" xr:uid="{F670583F-B0DB-40D2-A44C-10EC245C436D}"/>
    <cellStyle name="Normal 2 4 2 4 3 2 5" xfId="18607" xr:uid="{C9F86F8C-D348-420A-9C8C-D589C9C115FE}"/>
    <cellStyle name="Normal 2 4 2 4 3 2 6" xfId="19436" xr:uid="{20784B39-2E7B-4B47-82E3-4ABBD45D81E0}"/>
    <cellStyle name="Normal 2 4 2 4 3 2 7" xfId="9331" xr:uid="{ADCD1A8B-3806-4665-A794-294B91BF8DFD}"/>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049E373A-5F86-4257-A6BC-F80E1EF586D7}"/>
    <cellStyle name="Normal 2 4 2 4 3 3 2 3" xfId="11889" xr:uid="{3D2B2CED-6544-4A3E-ACDA-C401906BC584}"/>
    <cellStyle name="Normal 2 4 2 4 3 3 3" xfId="5512" xr:uid="{00000000-0005-0000-0000-0000670F0000}"/>
    <cellStyle name="Normal 2 4 2 4 3 3 3 2" xfId="13962" xr:uid="{5943B19E-BF8A-4187-A9CA-0A9456420BBC}"/>
    <cellStyle name="Normal 2 4 2 4 3 3 4" xfId="9744" xr:uid="{7685F611-04C8-4899-9379-81D68B382517}"/>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9D5D84F8-8573-4863-AC80-E80DC6D77E87}"/>
    <cellStyle name="Normal 2 4 2 4 3 4 2 3" xfId="12302" xr:uid="{42827E1E-9477-4401-B9EA-6AB125FDFDF2}"/>
    <cellStyle name="Normal 2 4 2 4 3 4 3" xfId="5925" xr:uid="{00000000-0005-0000-0000-00006B0F0000}"/>
    <cellStyle name="Normal 2 4 2 4 3 4 3 2" xfId="14375" xr:uid="{7EEEF558-07DE-4A65-BE58-674D01070036}"/>
    <cellStyle name="Normal 2 4 2 4 3 4 4" xfId="10157" xr:uid="{D36A23E6-0B5C-4D02-A4A2-A47CCBEF1F8E}"/>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78227720-F928-42C9-83ED-F731616A6958}"/>
    <cellStyle name="Normal 2 4 2 4 3 5 2 3" xfId="12715" xr:uid="{CF6E9A4D-BD3D-41C0-B0DC-847CD427B029}"/>
    <cellStyle name="Normal 2 4 2 4 3 5 3" xfId="6338" xr:uid="{00000000-0005-0000-0000-00006F0F0000}"/>
    <cellStyle name="Normal 2 4 2 4 3 5 3 2" xfId="14788" xr:uid="{66817F65-E429-414C-A09F-05B3209EA4D9}"/>
    <cellStyle name="Normal 2 4 2 4 3 5 4" xfId="10570" xr:uid="{886CDBBB-AD05-4339-9775-F9020F51832A}"/>
    <cellStyle name="Normal 2 4 2 4 3 6" xfId="2468" xr:uid="{00000000-0005-0000-0000-0000700F0000}"/>
    <cellStyle name="Normal 2 4 2 4 3 6 2" xfId="6751" xr:uid="{00000000-0005-0000-0000-0000710F0000}"/>
    <cellStyle name="Normal 2 4 2 4 3 6 2 2" xfId="15201" xr:uid="{072C98B0-1F45-4419-A07E-279878258C7F}"/>
    <cellStyle name="Normal 2 4 2 4 3 6 3" xfId="10983" xr:uid="{E00DD2DC-2D2C-4B87-8281-173AB03F7863}"/>
    <cellStyle name="Normal 2 4 2 4 3 7" xfId="4685" xr:uid="{00000000-0005-0000-0000-0000720F0000}"/>
    <cellStyle name="Normal 2 4 2 4 3 7 2" xfId="13135" xr:uid="{CD8691AE-1ADE-4E64-903A-6FC58DD9D55D}"/>
    <cellStyle name="Normal 2 4 2 4 3 8" xfId="17358" xr:uid="{67C28BAD-62ED-42FE-9EA0-E111AA2B6287}"/>
    <cellStyle name="Normal 2 4 2 4 3 9" xfId="18191" xr:uid="{97A559FE-C69B-427C-8E3B-C057F6144F14}"/>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539EEE23-20D6-4969-B9D3-DBAE14D568F2}"/>
    <cellStyle name="Normal 2 4 2 4 4 2 3" xfId="11473" xr:uid="{37B96C26-FA7D-4D40-87D4-153534C38B07}"/>
    <cellStyle name="Normal 2 4 2 4 4 3" xfId="5096" xr:uid="{00000000-0005-0000-0000-0000760F0000}"/>
    <cellStyle name="Normal 2 4 2 4 4 3 2" xfId="13546" xr:uid="{ABA30208-DA27-4FD0-A67E-ADED560308F6}"/>
    <cellStyle name="Normal 2 4 2 4 4 4" xfId="17774" xr:uid="{8D5DC809-04FD-4D24-8156-57BC7E5B9CDA}"/>
    <cellStyle name="Normal 2 4 2 4 4 5" xfId="18604" xr:uid="{AEB4E417-8D64-40CC-8A06-11D0F8DBC075}"/>
    <cellStyle name="Normal 2 4 2 4 4 6" xfId="19433" xr:uid="{8C5BD278-4D09-4B86-A734-C14CACE989BC}"/>
    <cellStyle name="Normal 2 4 2 4 4 7" xfId="9328" xr:uid="{6085FC52-6B55-45FF-9DA2-E169A7E5D976}"/>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97D1D386-7EC1-41F8-93F6-29249431CF60}"/>
    <cellStyle name="Normal 2 4 2 4 5 2 3" xfId="11886" xr:uid="{25F42920-DDC4-4978-B24F-2531331FBFC2}"/>
    <cellStyle name="Normal 2 4 2 4 5 3" xfId="5509" xr:uid="{00000000-0005-0000-0000-00007A0F0000}"/>
    <cellStyle name="Normal 2 4 2 4 5 3 2" xfId="13959" xr:uid="{2AD2B34E-0A0B-4037-8C72-386BB84AA31A}"/>
    <cellStyle name="Normal 2 4 2 4 5 4" xfId="9741" xr:uid="{51D4049E-E286-485C-B539-1A5575A2B5F2}"/>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71E4C780-EA02-4B2C-9D94-49B00716E888}"/>
    <cellStyle name="Normal 2 4 2 4 6 2 3" xfId="12299" xr:uid="{4B9952D9-1EA9-41F9-B85F-D0C79317DCF5}"/>
    <cellStyle name="Normal 2 4 2 4 6 3" xfId="5922" xr:uid="{00000000-0005-0000-0000-00007E0F0000}"/>
    <cellStyle name="Normal 2 4 2 4 6 3 2" xfId="14372" xr:uid="{B50CA604-17C4-4979-AE83-6D0880FB3933}"/>
    <cellStyle name="Normal 2 4 2 4 6 4" xfId="10154" xr:uid="{24C344D1-A8B7-4FB4-A498-180CFA50C1FD}"/>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B1E9E3CB-7A4C-4ED8-8395-25F6A7BD5100}"/>
    <cellStyle name="Normal 2 4 2 4 7 2 3" xfId="12712" xr:uid="{99F5E2F3-3533-4F8F-8B42-E43C3C61C1AF}"/>
    <cellStyle name="Normal 2 4 2 4 7 3" xfId="6335" xr:uid="{00000000-0005-0000-0000-0000820F0000}"/>
    <cellStyle name="Normal 2 4 2 4 7 3 2" xfId="14785" xr:uid="{7513D46A-0025-40EC-8580-A62201C81821}"/>
    <cellStyle name="Normal 2 4 2 4 7 4" xfId="10567" xr:uid="{C74A942A-648A-4128-8D82-0F222F799ECE}"/>
    <cellStyle name="Normal 2 4 2 4 8" xfId="2465" xr:uid="{00000000-0005-0000-0000-0000830F0000}"/>
    <cellStyle name="Normal 2 4 2 4 8 2" xfId="6748" xr:uid="{00000000-0005-0000-0000-0000840F0000}"/>
    <cellStyle name="Normal 2 4 2 4 8 2 2" xfId="15198" xr:uid="{30E59965-E9D9-4C2F-ABED-835B742B194B}"/>
    <cellStyle name="Normal 2 4 2 4 8 3" xfId="10980" xr:uid="{344140A3-B3F9-4D16-B006-C93FC007EC3F}"/>
    <cellStyle name="Normal 2 4 2 4 9" xfId="4682" xr:uid="{00000000-0005-0000-0000-0000850F0000}"/>
    <cellStyle name="Normal 2 4 2 4 9 2" xfId="13132" xr:uid="{70C82691-4E34-4A67-AA06-B8342C7693B9}"/>
    <cellStyle name="Normal 2 4 2 5" xfId="293" xr:uid="{00000000-0005-0000-0000-0000860F0000}"/>
    <cellStyle name="Normal 2 4 2 5 10" xfId="18192" xr:uid="{FC9F6D78-48F1-4EE5-8696-A58FA16E5A54}"/>
    <cellStyle name="Normal 2 4 2 5 11" xfId="19021" xr:uid="{263278C8-1702-45EF-AF6E-970889396745}"/>
    <cellStyle name="Normal 2 4 2 5 12" xfId="8918" xr:uid="{EFCAE197-1DAE-4F46-8BA6-839108EB8B4C}"/>
    <cellStyle name="Normal 2 4 2 5 2" xfId="294" xr:uid="{00000000-0005-0000-0000-0000870F0000}"/>
    <cellStyle name="Normal 2 4 2 5 2 10" xfId="19022" xr:uid="{0C03F822-D0B9-4B2B-9A0A-F4700C5A2512}"/>
    <cellStyle name="Normal 2 4 2 5 2 11" xfId="8919" xr:uid="{58601D12-828D-4B89-825D-9718864BDDE1}"/>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F4382E15-286B-480B-A919-AECB8DF7A8A3}"/>
    <cellStyle name="Normal 2 4 2 5 2 2 2 3" xfId="11478" xr:uid="{CFF9BADD-7E7F-4686-9B14-4CF320D33C47}"/>
    <cellStyle name="Normal 2 4 2 5 2 2 3" xfId="5101" xr:uid="{00000000-0005-0000-0000-00008B0F0000}"/>
    <cellStyle name="Normal 2 4 2 5 2 2 3 2" xfId="13551" xr:uid="{B1D658AC-B395-459E-805E-B6339313E7E2}"/>
    <cellStyle name="Normal 2 4 2 5 2 2 4" xfId="17779" xr:uid="{C60B1889-FD0E-4F15-B9AB-83DBCD00A574}"/>
    <cellStyle name="Normal 2 4 2 5 2 2 5" xfId="18609" xr:uid="{EDCBB5B3-AD00-4469-8CC1-7BB7BBC8C7C4}"/>
    <cellStyle name="Normal 2 4 2 5 2 2 6" xfId="19438" xr:uid="{961620EB-5DCB-414C-B838-CF1B0341151E}"/>
    <cellStyle name="Normal 2 4 2 5 2 2 7" xfId="9333" xr:uid="{F9D6678F-413F-4ACB-B958-17A21E4F5E72}"/>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FB8C169D-8434-402C-A23C-B8956F8DB335}"/>
    <cellStyle name="Normal 2 4 2 5 2 3 2 3" xfId="11891" xr:uid="{1CC059F2-0C28-4AD2-81A7-06A306A2F04B}"/>
    <cellStyle name="Normal 2 4 2 5 2 3 3" xfId="5514" xr:uid="{00000000-0005-0000-0000-00008F0F0000}"/>
    <cellStyle name="Normal 2 4 2 5 2 3 3 2" xfId="13964" xr:uid="{954129A1-FEDE-472E-A724-E2BCDC861556}"/>
    <cellStyle name="Normal 2 4 2 5 2 3 4" xfId="9746" xr:uid="{A586338C-D36D-4F3B-BDFF-FED49F844FC8}"/>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D76850E6-25E0-4A7D-9701-3A9BC5D69ADA}"/>
    <cellStyle name="Normal 2 4 2 5 2 4 2 3" xfId="12304" xr:uid="{9A7AE641-9784-47E4-9825-CCA8BA74E735}"/>
    <cellStyle name="Normal 2 4 2 5 2 4 3" xfId="5927" xr:uid="{00000000-0005-0000-0000-0000930F0000}"/>
    <cellStyle name="Normal 2 4 2 5 2 4 3 2" xfId="14377" xr:uid="{A35D31FB-9FCC-43E1-9BF6-2AF9973C11B5}"/>
    <cellStyle name="Normal 2 4 2 5 2 4 4" xfId="10159" xr:uid="{2E69B98F-F997-4EA5-A338-9DD8BDAEFB01}"/>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6A7A5CE7-0420-4963-A94B-829AE0529661}"/>
    <cellStyle name="Normal 2 4 2 5 2 5 2 3" xfId="12717" xr:uid="{9B560D6E-FFAB-4785-956F-4051489AE54B}"/>
    <cellStyle name="Normal 2 4 2 5 2 5 3" xfId="6340" xr:uid="{00000000-0005-0000-0000-0000970F0000}"/>
    <cellStyle name="Normal 2 4 2 5 2 5 3 2" xfId="14790" xr:uid="{AF03A122-3BA3-44C2-86D9-2036973ADBB3}"/>
    <cellStyle name="Normal 2 4 2 5 2 5 4" xfId="10572" xr:uid="{64035B8F-F4F0-4F5B-839E-FB73ED497719}"/>
    <cellStyle name="Normal 2 4 2 5 2 6" xfId="2470" xr:uid="{00000000-0005-0000-0000-0000980F0000}"/>
    <cellStyle name="Normal 2 4 2 5 2 6 2" xfId="6753" xr:uid="{00000000-0005-0000-0000-0000990F0000}"/>
    <cellStyle name="Normal 2 4 2 5 2 6 2 2" xfId="15203" xr:uid="{586B236F-A293-4994-8C7A-906956130F9D}"/>
    <cellStyle name="Normal 2 4 2 5 2 6 3" xfId="10985" xr:uid="{E1C8DE30-A209-41A2-A232-A0074201927B}"/>
    <cellStyle name="Normal 2 4 2 5 2 7" xfId="4687" xr:uid="{00000000-0005-0000-0000-00009A0F0000}"/>
    <cellStyle name="Normal 2 4 2 5 2 7 2" xfId="13137" xr:uid="{BE6A5062-6A10-44A8-A946-D32C217FBBD2}"/>
    <cellStyle name="Normal 2 4 2 5 2 8" xfId="17360" xr:uid="{FA0D0918-BDAB-4D89-AC76-EEB1B671477A}"/>
    <cellStyle name="Normal 2 4 2 5 2 9" xfId="18193" xr:uid="{201E7A1B-58BD-4CE2-9482-5301AD968507}"/>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EAB532D1-E0A7-4698-AEF2-B8F9814538EF}"/>
    <cellStyle name="Normal 2 4 2 5 3 2 3" xfId="11477" xr:uid="{DFC5764D-6FC9-459F-BBE5-865B9A5C33CF}"/>
    <cellStyle name="Normal 2 4 2 5 3 3" xfId="5100" xr:uid="{00000000-0005-0000-0000-00009E0F0000}"/>
    <cellStyle name="Normal 2 4 2 5 3 3 2" xfId="13550" xr:uid="{E95CCC3A-1245-4D4A-8C22-A221BC773C6B}"/>
    <cellStyle name="Normal 2 4 2 5 3 4" xfId="17778" xr:uid="{EFFD85CA-5AF0-4443-B2D9-DA66FE1AF535}"/>
    <cellStyle name="Normal 2 4 2 5 3 5" xfId="18608" xr:uid="{53834FA2-69FD-42EE-9C62-11AD6AF0367E}"/>
    <cellStyle name="Normal 2 4 2 5 3 6" xfId="19437" xr:uid="{EC0B6984-BD8D-457F-8F21-8FBAAA623A04}"/>
    <cellStyle name="Normal 2 4 2 5 3 7" xfId="9332" xr:uid="{000241A2-14D6-4E17-A76D-27EF1B79E053}"/>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B62B3EC1-ECA8-40B5-BCD4-AF326522DEBF}"/>
    <cellStyle name="Normal 2 4 2 5 4 2 3" xfId="11890" xr:uid="{866A425F-C4D8-48C8-AF62-22A0C3320805}"/>
    <cellStyle name="Normal 2 4 2 5 4 3" xfId="5513" xr:uid="{00000000-0005-0000-0000-0000A20F0000}"/>
    <cellStyle name="Normal 2 4 2 5 4 3 2" xfId="13963" xr:uid="{700D8465-2ACC-4569-8D5B-4B91AF8A17D8}"/>
    <cellStyle name="Normal 2 4 2 5 4 4" xfId="9745" xr:uid="{E3835F1B-2C4A-4B15-9919-689DB2569B6D}"/>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15DEB573-EFCD-4DFB-B45B-305CCB652FF3}"/>
    <cellStyle name="Normal 2 4 2 5 5 2 3" xfId="12303" xr:uid="{E284B0C2-3B5D-4EFA-B635-C05096AA61DF}"/>
    <cellStyle name="Normal 2 4 2 5 5 3" xfId="5926" xr:uid="{00000000-0005-0000-0000-0000A60F0000}"/>
    <cellStyle name="Normal 2 4 2 5 5 3 2" xfId="14376" xr:uid="{27FB471B-1C1B-40E0-89DB-A69664472CF5}"/>
    <cellStyle name="Normal 2 4 2 5 5 4" xfId="10158" xr:uid="{0595A222-506D-4DC7-A138-35AAF6C0225E}"/>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6D25D20F-9381-4B87-BF71-A32703AECFCA}"/>
    <cellStyle name="Normal 2 4 2 5 6 2 3" xfId="12716" xr:uid="{3221584A-2138-4BA0-B6D0-E81532921983}"/>
    <cellStyle name="Normal 2 4 2 5 6 3" xfId="6339" xr:uid="{00000000-0005-0000-0000-0000AA0F0000}"/>
    <cellStyle name="Normal 2 4 2 5 6 3 2" xfId="14789" xr:uid="{BBC05DB7-1366-42E3-ADF2-6B85D91C7AD7}"/>
    <cellStyle name="Normal 2 4 2 5 6 4" xfId="10571" xr:uid="{DA352075-5BAE-4EB8-B8EA-6E876823A228}"/>
    <cellStyle name="Normal 2 4 2 5 7" xfId="2469" xr:uid="{00000000-0005-0000-0000-0000AB0F0000}"/>
    <cellStyle name="Normal 2 4 2 5 7 2" xfId="6752" xr:uid="{00000000-0005-0000-0000-0000AC0F0000}"/>
    <cellStyle name="Normal 2 4 2 5 7 2 2" xfId="15202" xr:uid="{1174CEF8-FEFD-46BA-A27E-2725F5867BBF}"/>
    <cellStyle name="Normal 2 4 2 5 7 3" xfId="10984" xr:uid="{03056D77-1D89-476C-BB1A-5703ECAEA983}"/>
    <cellStyle name="Normal 2 4 2 5 8" xfId="4686" xr:uid="{00000000-0005-0000-0000-0000AD0F0000}"/>
    <cellStyle name="Normal 2 4 2 5 8 2" xfId="13136" xr:uid="{BB762230-57D3-4091-8718-1FAD9E157C58}"/>
    <cellStyle name="Normal 2 4 2 5 9" xfId="17359" xr:uid="{673289AE-4EB2-45E1-9D56-FFCA4A0DEF5A}"/>
    <cellStyle name="Normal 2 4 2 6" xfId="295" xr:uid="{00000000-0005-0000-0000-0000AE0F0000}"/>
    <cellStyle name="Normal 2 4 2 6 10" xfId="19023" xr:uid="{23A7A3A5-C0D9-4C85-8E54-81AA4B836A46}"/>
    <cellStyle name="Normal 2 4 2 6 11" xfId="8920" xr:uid="{5FB001DF-CED0-45F6-AA63-24933CEBCF22}"/>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0F58471F-7CD9-4EF7-9148-AF01FD173F1E}"/>
    <cellStyle name="Normal 2 4 2 6 2 2 3" xfId="11479" xr:uid="{E12FE883-0AFD-4EE7-AE14-C14FB1F766FD}"/>
    <cellStyle name="Normal 2 4 2 6 2 3" xfId="5102" xr:uid="{00000000-0005-0000-0000-0000B20F0000}"/>
    <cellStyle name="Normal 2 4 2 6 2 3 2" xfId="13552" xr:uid="{D18A1488-63F9-44F9-8194-DBEE2BBB4FB0}"/>
    <cellStyle name="Normal 2 4 2 6 2 4" xfId="17780" xr:uid="{BFE81518-5A2C-432D-904B-128A57E3B3C1}"/>
    <cellStyle name="Normal 2 4 2 6 2 5" xfId="18610" xr:uid="{9AFBCE81-D445-4E21-AC76-EC2876128DC7}"/>
    <cellStyle name="Normal 2 4 2 6 2 6" xfId="19439" xr:uid="{11A8DE1E-D0A5-447A-884E-394471D8450F}"/>
    <cellStyle name="Normal 2 4 2 6 2 7" xfId="9334" xr:uid="{DF838B1A-689C-47E8-9AE6-58768201DF0F}"/>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18ACABCB-E94F-46BC-8700-BED2C1656B02}"/>
    <cellStyle name="Normal 2 4 2 6 3 2 3" xfId="11892" xr:uid="{BCDCF8E8-0324-4086-B847-59A1F5A0C979}"/>
    <cellStyle name="Normal 2 4 2 6 3 3" xfId="5515" xr:uid="{00000000-0005-0000-0000-0000B60F0000}"/>
    <cellStyle name="Normal 2 4 2 6 3 3 2" xfId="13965" xr:uid="{8E6BD6CD-2C67-4DBF-BC9C-CD6847D4E78B}"/>
    <cellStyle name="Normal 2 4 2 6 3 4" xfId="9747" xr:uid="{9D703E2D-914C-4CF6-A7E5-D5D037790445}"/>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E9699D8E-90AB-4F2E-86C6-45A5EBEF4DEE}"/>
    <cellStyle name="Normal 2 4 2 6 4 2 3" xfId="12305" xr:uid="{ECBF7529-FC7E-4F9E-A72B-23CF4EF50F33}"/>
    <cellStyle name="Normal 2 4 2 6 4 3" xfId="5928" xr:uid="{00000000-0005-0000-0000-0000BA0F0000}"/>
    <cellStyle name="Normal 2 4 2 6 4 3 2" xfId="14378" xr:uid="{FE1F22B6-1F9E-466E-89DE-4B191D9CF8A1}"/>
    <cellStyle name="Normal 2 4 2 6 4 4" xfId="10160" xr:uid="{6B749761-726D-4856-8543-7F8792E0BF33}"/>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39FED563-528C-40B1-A582-A5CBA436F53E}"/>
    <cellStyle name="Normal 2 4 2 6 5 2 3" xfId="12718" xr:uid="{6020FCB2-0219-475C-921B-44B6D2CC68F9}"/>
    <cellStyle name="Normal 2 4 2 6 5 3" xfId="6341" xr:uid="{00000000-0005-0000-0000-0000BE0F0000}"/>
    <cellStyle name="Normal 2 4 2 6 5 3 2" xfId="14791" xr:uid="{A444113C-5450-4713-9702-F803CD110A30}"/>
    <cellStyle name="Normal 2 4 2 6 5 4" xfId="10573" xr:uid="{D3139777-F900-48D4-9CD2-A2E7EED155AB}"/>
    <cellStyle name="Normal 2 4 2 6 6" xfId="2471" xr:uid="{00000000-0005-0000-0000-0000BF0F0000}"/>
    <cellStyle name="Normal 2 4 2 6 6 2" xfId="6754" xr:uid="{00000000-0005-0000-0000-0000C00F0000}"/>
    <cellStyle name="Normal 2 4 2 6 6 2 2" xfId="15204" xr:uid="{6140A3B6-366E-4B4A-8253-30FFAF2157F0}"/>
    <cellStyle name="Normal 2 4 2 6 6 3" xfId="10986" xr:uid="{190C54D9-A9F1-4321-9995-22D42DA27702}"/>
    <cellStyle name="Normal 2 4 2 6 7" xfId="4688" xr:uid="{00000000-0005-0000-0000-0000C10F0000}"/>
    <cellStyle name="Normal 2 4 2 6 7 2" xfId="13138" xr:uid="{EA23347F-81C7-4D8C-B365-0E0DC4CCA53D}"/>
    <cellStyle name="Normal 2 4 2 6 8" xfId="17361" xr:uid="{A96FB4B3-9F47-401A-8822-BE21E6846220}"/>
    <cellStyle name="Normal 2 4 2 6 9" xfId="18194" xr:uid="{4D04271E-9086-429C-BC00-04255CBEE5D2}"/>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7066892D-F948-4D8D-954B-0DFEF6434F62}"/>
    <cellStyle name="Normal 2 4 2 7 2 3" xfId="11464" xr:uid="{F6954952-F195-463A-AD33-05313A02BFC9}"/>
    <cellStyle name="Normal 2 4 2 7 3" xfId="5087" xr:uid="{00000000-0005-0000-0000-0000C50F0000}"/>
    <cellStyle name="Normal 2 4 2 7 3 2" xfId="13537" xr:uid="{B45F5F39-DB93-461D-8E88-00E328F3E13F}"/>
    <cellStyle name="Normal 2 4 2 7 4" xfId="17765" xr:uid="{5A79EC96-A594-4683-A282-FD566A0B7494}"/>
    <cellStyle name="Normal 2 4 2 7 5" xfId="18595" xr:uid="{72A75BFB-BBF9-4CDF-9EEF-8C2E60547A8F}"/>
    <cellStyle name="Normal 2 4 2 7 6" xfId="19424" xr:uid="{8248D14B-B2DE-4F97-AA86-D5240FF8A2D5}"/>
    <cellStyle name="Normal 2 4 2 7 7" xfId="9319" xr:uid="{96F95C8A-B434-47BC-A5EA-7A8E1B72EE64}"/>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FCBB59E9-4CA7-4DF0-9D2E-2650A7C47D03}"/>
    <cellStyle name="Normal 2 4 2 8 2 3" xfId="11877" xr:uid="{02820A7E-F507-4F22-BCF7-116C50AD9AED}"/>
    <cellStyle name="Normal 2 4 2 8 3" xfId="5500" xr:uid="{00000000-0005-0000-0000-0000C90F0000}"/>
    <cellStyle name="Normal 2 4 2 8 3 2" xfId="13950" xr:uid="{27387E58-5ECE-4627-95FD-E21359B69EAD}"/>
    <cellStyle name="Normal 2 4 2 8 4" xfId="9732" xr:uid="{EB5EBA5B-C792-4293-B29D-D72C1D87A446}"/>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105337A0-5723-42A1-946D-49520FFD0AD5}"/>
    <cellStyle name="Normal 2 4 2 9 2 3" xfId="12290" xr:uid="{E574B049-8E47-4BD6-91E4-1583737A0A59}"/>
    <cellStyle name="Normal 2 4 2 9 3" xfId="5913" xr:uid="{00000000-0005-0000-0000-0000CD0F0000}"/>
    <cellStyle name="Normal 2 4 2 9 3 2" xfId="14363" xr:uid="{072B452D-D671-44FD-9758-4BE2A4408E25}"/>
    <cellStyle name="Normal 2 4 2 9 4" xfId="10145" xr:uid="{69F4A096-F42B-4540-9CA2-7B1064820AA5}"/>
    <cellStyle name="Normal 2 4 3" xfId="296" xr:uid="{00000000-0005-0000-0000-0000CE0F0000}"/>
    <cellStyle name="Normal 2 4 3 10" xfId="17362" xr:uid="{556937C8-40AA-444D-93E9-A319F8DFD4C0}"/>
    <cellStyle name="Normal 2 4 3 11" xfId="18195" xr:uid="{8D85F3CD-30E6-4726-B7B4-D18A41C9C8D4}"/>
    <cellStyle name="Normal 2 4 3 12" xfId="19024" xr:uid="{A14E6F8A-018C-4C8B-BD6F-9C59F5F5F47F}"/>
    <cellStyle name="Normal 2 4 3 13" xfId="8921" xr:uid="{2D7E28D5-4D56-4075-9A36-21B8E694F1F5}"/>
    <cellStyle name="Normal 2 4 3 2" xfId="297" xr:uid="{00000000-0005-0000-0000-0000CF0F0000}"/>
    <cellStyle name="Normal 2 4 3 3" xfId="298" xr:uid="{00000000-0005-0000-0000-0000D00F0000}"/>
    <cellStyle name="Normal 2 4 3 3 10" xfId="17363" xr:uid="{B9880DF7-100B-4ABF-8B04-EF19F9F60D7F}"/>
    <cellStyle name="Normal 2 4 3 3 11" xfId="18196" xr:uid="{3CD8FB3D-FC02-40E6-BD1B-3E5C5325EDD5}"/>
    <cellStyle name="Normal 2 4 3 3 12" xfId="19025" xr:uid="{386CB18C-002C-4926-8E81-222015E207B5}"/>
    <cellStyle name="Normal 2 4 3 3 13" xfId="8922" xr:uid="{45E04150-D584-49DC-8F3F-914523D4F5FB}"/>
    <cellStyle name="Normal 2 4 3 3 2" xfId="299" xr:uid="{00000000-0005-0000-0000-0000D10F0000}"/>
    <cellStyle name="Normal 2 4 3 3 2 10" xfId="18197" xr:uid="{46B7E464-6163-4451-837A-DF84B171C7C1}"/>
    <cellStyle name="Normal 2 4 3 3 2 11" xfId="19026" xr:uid="{57FF5EA9-B81D-4CCE-A78D-2A10F17EF109}"/>
    <cellStyle name="Normal 2 4 3 3 2 12" xfId="8923" xr:uid="{3453544C-9233-49EA-B4A1-5F94BB730F40}"/>
    <cellStyle name="Normal 2 4 3 3 2 2" xfId="300" xr:uid="{00000000-0005-0000-0000-0000D20F0000}"/>
    <cellStyle name="Normal 2 4 3 3 2 2 10" xfId="19027" xr:uid="{02779C02-D9E6-4BF7-8432-B14F3803CF75}"/>
    <cellStyle name="Normal 2 4 3 3 2 2 11" xfId="8924" xr:uid="{57EF2C79-0802-4CCB-B2F9-C37E6665567A}"/>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218ACC37-35BE-43B5-ABEE-5D582EC5BBD2}"/>
    <cellStyle name="Normal 2 4 3 3 2 2 2 2 3" xfId="11483" xr:uid="{EE154D9E-45B6-410E-9E20-D61677AB98A7}"/>
    <cellStyle name="Normal 2 4 3 3 2 2 2 3" xfId="5106" xr:uid="{00000000-0005-0000-0000-0000D60F0000}"/>
    <cellStyle name="Normal 2 4 3 3 2 2 2 3 2" xfId="13556" xr:uid="{8086EAB8-7BCD-46E1-9BF8-A46734AEB861}"/>
    <cellStyle name="Normal 2 4 3 3 2 2 2 4" xfId="17784" xr:uid="{09937B28-9119-448D-BC29-BDF77BA35AAD}"/>
    <cellStyle name="Normal 2 4 3 3 2 2 2 5" xfId="18614" xr:uid="{84B2956A-FF60-4499-8C28-F6216BA6E8CB}"/>
    <cellStyle name="Normal 2 4 3 3 2 2 2 6" xfId="19443" xr:uid="{9FBA8A55-6160-4559-A3C9-0B114009A70A}"/>
    <cellStyle name="Normal 2 4 3 3 2 2 2 7" xfId="9338" xr:uid="{A90656A8-355E-4AAB-B4DA-0C830FCB2011}"/>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2C1B5C1C-FECC-4E6F-83CE-1BC193EC2E13}"/>
    <cellStyle name="Normal 2 4 3 3 2 2 3 2 3" xfId="11896" xr:uid="{F4343D68-7FBE-450A-A6CE-4D6AD82EA48A}"/>
    <cellStyle name="Normal 2 4 3 3 2 2 3 3" xfId="5519" xr:uid="{00000000-0005-0000-0000-0000DA0F0000}"/>
    <cellStyle name="Normal 2 4 3 3 2 2 3 3 2" xfId="13969" xr:uid="{82C6BC7F-C488-49A9-A727-BB4FE75FE2EC}"/>
    <cellStyle name="Normal 2 4 3 3 2 2 3 4" xfId="9751" xr:uid="{A9998879-1393-41AB-9D57-69A9E7C86638}"/>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AA75EB1D-7013-431E-BAD6-10544529FCB9}"/>
    <cellStyle name="Normal 2 4 3 3 2 2 4 2 3" xfId="12309" xr:uid="{55BCAE65-8726-4C08-9CEF-832CDF2B56AE}"/>
    <cellStyle name="Normal 2 4 3 3 2 2 4 3" xfId="5932" xr:uid="{00000000-0005-0000-0000-0000DE0F0000}"/>
    <cellStyle name="Normal 2 4 3 3 2 2 4 3 2" xfId="14382" xr:uid="{F4377893-75F6-465C-8C39-8901C9E1D015}"/>
    <cellStyle name="Normal 2 4 3 3 2 2 4 4" xfId="10164" xr:uid="{1888D756-A7CA-4726-9BF7-8DDD3631944A}"/>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18F4AC5E-4810-4E2E-B034-BF5246F8C6FB}"/>
    <cellStyle name="Normal 2 4 3 3 2 2 5 2 3" xfId="12722" xr:uid="{5BDD55B4-BC06-452A-A3CD-F01C9143684A}"/>
    <cellStyle name="Normal 2 4 3 3 2 2 5 3" xfId="6345" xr:uid="{00000000-0005-0000-0000-0000E20F0000}"/>
    <cellStyle name="Normal 2 4 3 3 2 2 5 3 2" xfId="14795" xr:uid="{490BD15E-98EC-44BA-B207-283AD594BF4F}"/>
    <cellStyle name="Normal 2 4 3 3 2 2 5 4" xfId="10577" xr:uid="{01E05CE8-2838-496C-849C-951AF89DF80B}"/>
    <cellStyle name="Normal 2 4 3 3 2 2 6" xfId="2475" xr:uid="{00000000-0005-0000-0000-0000E30F0000}"/>
    <cellStyle name="Normal 2 4 3 3 2 2 6 2" xfId="6758" xr:uid="{00000000-0005-0000-0000-0000E40F0000}"/>
    <cellStyle name="Normal 2 4 3 3 2 2 6 2 2" xfId="15208" xr:uid="{D466D977-43BD-4934-890B-B23BE34C6F3C}"/>
    <cellStyle name="Normal 2 4 3 3 2 2 6 3" xfId="10990" xr:uid="{B87E3319-59FB-4976-8155-E4C34024EA10}"/>
    <cellStyle name="Normal 2 4 3 3 2 2 7" xfId="4692" xr:uid="{00000000-0005-0000-0000-0000E50F0000}"/>
    <cellStyle name="Normal 2 4 3 3 2 2 7 2" xfId="13142" xr:uid="{4683266E-6958-4DBA-83A1-A2270E771C04}"/>
    <cellStyle name="Normal 2 4 3 3 2 2 8" xfId="17365" xr:uid="{BB2878BC-62BF-4F53-901B-B37D1ADE4E3C}"/>
    <cellStyle name="Normal 2 4 3 3 2 2 9" xfId="18198" xr:uid="{56C29E38-B4FD-4984-86D4-C408564BDCDF}"/>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574E8917-3513-4096-B527-70C1A074371D}"/>
    <cellStyle name="Normal 2 4 3 3 2 3 2 3" xfId="11482" xr:uid="{247C14D9-4BD6-4607-9A02-8814E5DD0FA9}"/>
    <cellStyle name="Normal 2 4 3 3 2 3 3" xfId="5105" xr:uid="{00000000-0005-0000-0000-0000E90F0000}"/>
    <cellStyle name="Normal 2 4 3 3 2 3 3 2" xfId="13555" xr:uid="{6265B0FE-E04C-497E-B7D1-B57E7523715E}"/>
    <cellStyle name="Normal 2 4 3 3 2 3 4" xfId="17783" xr:uid="{60DAE156-6527-4F22-90C0-27AC13EBE550}"/>
    <cellStyle name="Normal 2 4 3 3 2 3 5" xfId="18613" xr:uid="{3D2FCE97-6005-475D-8F0E-0E89C8623DB9}"/>
    <cellStyle name="Normal 2 4 3 3 2 3 6" xfId="19442" xr:uid="{FDA2F9C3-3946-4BE9-A0C4-EB33A9158B13}"/>
    <cellStyle name="Normal 2 4 3 3 2 3 7" xfId="9337" xr:uid="{D04A4238-6A25-4E27-97CB-79A8459A1719}"/>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E024DC2E-C222-48DE-BAA5-BCA0CD37F288}"/>
    <cellStyle name="Normal 2 4 3 3 2 4 2 3" xfId="11895" xr:uid="{AE1B36DE-1E9C-40A9-B978-13B08EF5FA4F}"/>
    <cellStyle name="Normal 2 4 3 3 2 4 3" xfId="5518" xr:uid="{00000000-0005-0000-0000-0000ED0F0000}"/>
    <cellStyle name="Normal 2 4 3 3 2 4 3 2" xfId="13968" xr:uid="{85E45E59-0ED9-4023-8B27-CE00E364B0D2}"/>
    <cellStyle name="Normal 2 4 3 3 2 4 4" xfId="9750" xr:uid="{8B0DEBCA-F4A6-4CEF-907D-70F420D8ED1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726CD69C-E54D-4C34-A7F7-2714224DFEF3}"/>
    <cellStyle name="Normal 2 4 3 3 2 5 2 3" xfId="12308" xr:uid="{B6D5E490-CD59-4D86-AE88-F4CFA024B470}"/>
    <cellStyle name="Normal 2 4 3 3 2 5 3" xfId="5931" xr:uid="{00000000-0005-0000-0000-0000F10F0000}"/>
    <cellStyle name="Normal 2 4 3 3 2 5 3 2" xfId="14381" xr:uid="{DA29A4A0-A33F-415E-A722-9C734867544C}"/>
    <cellStyle name="Normal 2 4 3 3 2 5 4" xfId="10163" xr:uid="{E852189C-2146-4D2B-900C-54DF1D62E49D}"/>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FABF4A56-E5D6-48CC-AEB0-52ECCB42EE18}"/>
    <cellStyle name="Normal 2 4 3 3 2 6 2 3" xfId="12721" xr:uid="{EA55BFF5-5AAD-4AE8-BB09-DAD2333D8CB0}"/>
    <cellStyle name="Normal 2 4 3 3 2 6 3" xfId="6344" xr:uid="{00000000-0005-0000-0000-0000F50F0000}"/>
    <cellStyle name="Normal 2 4 3 3 2 6 3 2" xfId="14794" xr:uid="{079EE139-7157-4250-AA0B-135150B55708}"/>
    <cellStyle name="Normal 2 4 3 3 2 6 4" xfId="10576" xr:uid="{227BF8EE-DDB9-4DC4-A4DA-AE23800BEC76}"/>
    <cellStyle name="Normal 2 4 3 3 2 7" xfId="2474" xr:uid="{00000000-0005-0000-0000-0000F60F0000}"/>
    <cellStyle name="Normal 2 4 3 3 2 7 2" xfId="6757" xr:uid="{00000000-0005-0000-0000-0000F70F0000}"/>
    <cellStyle name="Normal 2 4 3 3 2 7 2 2" xfId="15207" xr:uid="{AF69A14E-5C54-4E53-B799-746A81916B8C}"/>
    <cellStyle name="Normal 2 4 3 3 2 7 3" xfId="10989" xr:uid="{160CC16B-B0C8-463B-8D9B-EEC3A4013B4D}"/>
    <cellStyle name="Normal 2 4 3 3 2 8" xfId="4691" xr:uid="{00000000-0005-0000-0000-0000F80F0000}"/>
    <cellStyle name="Normal 2 4 3 3 2 8 2" xfId="13141" xr:uid="{E19D7EFF-81A8-4BF0-BA57-223738221833}"/>
    <cellStyle name="Normal 2 4 3 3 2 9" xfId="17364" xr:uid="{0AE91438-37BA-41AE-B17E-A5554C65F52E}"/>
    <cellStyle name="Normal 2 4 3 3 3" xfId="301" xr:uid="{00000000-0005-0000-0000-0000F90F0000}"/>
    <cellStyle name="Normal 2 4 3 3 3 10" xfId="19028" xr:uid="{496A6FCC-B0B9-4DF7-A0CF-70EE604A12E6}"/>
    <cellStyle name="Normal 2 4 3 3 3 11" xfId="8925" xr:uid="{9C2F442D-07AF-466C-A63D-2CFBFADD0182}"/>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8FB8DC5D-15F5-47EA-970C-CE0EE57DDED3}"/>
    <cellStyle name="Normal 2 4 3 3 3 2 2 3" xfId="11484" xr:uid="{3E89F6F0-FBC6-4439-AB6C-B35DFCAD6F11}"/>
    <cellStyle name="Normal 2 4 3 3 3 2 3" xfId="5107" xr:uid="{00000000-0005-0000-0000-0000FD0F0000}"/>
    <cellStyle name="Normal 2 4 3 3 3 2 3 2" xfId="13557" xr:uid="{AB3DE201-F669-4852-A867-C0E2EE33F7D1}"/>
    <cellStyle name="Normal 2 4 3 3 3 2 4" xfId="17785" xr:uid="{0B999968-1B23-4BC1-90F3-C90BFFF69A72}"/>
    <cellStyle name="Normal 2 4 3 3 3 2 5" xfId="18615" xr:uid="{DDC278C9-9FDA-4B4F-8BEC-2F2A2D2AFEC8}"/>
    <cellStyle name="Normal 2 4 3 3 3 2 6" xfId="19444" xr:uid="{4A5261DD-0D97-4332-8597-95CCB13FBFE5}"/>
    <cellStyle name="Normal 2 4 3 3 3 2 7" xfId="9339" xr:uid="{25A3D94A-D2F0-432B-A158-BDCD970FA57E}"/>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6C46F45A-1135-48F1-AB6B-AF566E638C19}"/>
    <cellStyle name="Normal 2 4 3 3 3 3 2 3" xfId="11897" xr:uid="{69E2CF40-9D66-4C3A-9309-1B1C7023735F}"/>
    <cellStyle name="Normal 2 4 3 3 3 3 3" xfId="5520" xr:uid="{00000000-0005-0000-0000-000001100000}"/>
    <cellStyle name="Normal 2 4 3 3 3 3 3 2" xfId="13970" xr:uid="{6479EBE5-6D9E-4682-8335-5F72E10CE5FD}"/>
    <cellStyle name="Normal 2 4 3 3 3 3 4" xfId="9752" xr:uid="{049B83AD-5A69-415C-9E63-F2969BA3E808}"/>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F0CC575E-9035-40EA-9498-12E04299C2C2}"/>
    <cellStyle name="Normal 2 4 3 3 3 4 2 3" xfId="12310" xr:uid="{14F8F28F-2912-4FD9-9A38-3B4470A91709}"/>
    <cellStyle name="Normal 2 4 3 3 3 4 3" xfId="5933" xr:uid="{00000000-0005-0000-0000-000005100000}"/>
    <cellStyle name="Normal 2 4 3 3 3 4 3 2" xfId="14383" xr:uid="{14E63532-6AAB-4C48-8B3D-8CF306338D54}"/>
    <cellStyle name="Normal 2 4 3 3 3 4 4" xfId="10165" xr:uid="{367005DD-23C6-484B-AD20-D3DF1DD63216}"/>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9C658A89-7E0F-4FA6-9E18-EBC5A996879F}"/>
    <cellStyle name="Normal 2 4 3 3 3 5 2 3" xfId="12723" xr:uid="{76EADC2A-488F-4929-9B43-1CFABD153702}"/>
    <cellStyle name="Normal 2 4 3 3 3 5 3" xfId="6346" xr:uid="{00000000-0005-0000-0000-000009100000}"/>
    <cellStyle name="Normal 2 4 3 3 3 5 3 2" xfId="14796" xr:uid="{0E8A5ABF-9668-454A-8B88-AB8886002C3C}"/>
    <cellStyle name="Normal 2 4 3 3 3 5 4" xfId="10578" xr:uid="{D99D0F1D-B7F8-4B4D-BB50-7FCF82768891}"/>
    <cellStyle name="Normal 2 4 3 3 3 6" xfId="2476" xr:uid="{00000000-0005-0000-0000-00000A100000}"/>
    <cellStyle name="Normal 2 4 3 3 3 6 2" xfId="6759" xr:uid="{00000000-0005-0000-0000-00000B100000}"/>
    <cellStyle name="Normal 2 4 3 3 3 6 2 2" xfId="15209" xr:uid="{E07F0D40-0E2B-455A-8E1A-102DC1C69902}"/>
    <cellStyle name="Normal 2 4 3 3 3 6 3" xfId="10991" xr:uid="{749DE8C6-7654-4658-B0D2-CD44D5DCD090}"/>
    <cellStyle name="Normal 2 4 3 3 3 7" xfId="4693" xr:uid="{00000000-0005-0000-0000-00000C100000}"/>
    <cellStyle name="Normal 2 4 3 3 3 7 2" xfId="13143" xr:uid="{B355940E-605F-479E-8E5D-92D32B8076E1}"/>
    <cellStyle name="Normal 2 4 3 3 3 8" xfId="17366" xr:uid="{C4614189-93A0-4B0A-AD45-154BF033CE94}"/>
    <cellStyle name="Normal 2 4 3 3 3 9" xfId="18199" xr:uid="{D0208811-6A2A-4383-83DB-6DB4B331680E}"/>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E8EB3374-BC7A-4B3F-91FE-7979AEC29DDB}"/>
    <cellStyle name="Normal 2 4 3 3 4 2 3" xfId="11481" xr:uid="{717D8E72-76EC-4040-8F53-9B4A08424809}"/>
    <cellStyle name="Normal 2 4 3 3 4 3" xfId="5104" xr:uid="{00000000-0005-0000-0000-000010100000}"/>
    <cellStyle name="Normal 2 4 3 3 4 3 2" xfId="13554" xr:uid="{68D62036-336E-4825-8510-41D98F8BCA8D}"/>
    <cellStyle name="Normal 2 4 3 3 4 4" xfId="17782" xr:uid="{BA191324-7E71-4D43-AD99-98220607FBC4}"/>
    <cellStyle name="Normal 2 4 3 3 4 5" xfId="18612" xr:uid="{3AFB177F-5B62-4A3B-9CB2-FDA917145DCC}"/>
    <cellStyle name="Normal 2 4 3 3 4 6" xfId="19441" xr:uid="{03A3D98C-6F45-4FED-9668-11BA18BFC2BE}"/>
    <cellStyle name="Normal 2 4 3 3 4 7" xfId="9336" xr:uid="{927F46F8-ADC8-4A00-A683-88A099762187}"/>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062B4B74-EA0D-45E7-B488-674313A3DD9F}"/>
    <cellStyle name="Normal 2 4 3 3 5 2 3" xfId="11894" xr:uid="{A7F7C9AF-B4DD-48A8-A5FB-5A652782C72D}"/>
    <cellStyle name="Normal 2 4 3 3 5 3" xfId="5517" xr:uid="{00000000-0005-0000-0000-000014100000}"/>
    <cellStyle name="Normal 2 4 3 3 5 3 2" xfId="13967" xr:uid="{47106DA7-8D48-4307-9A5E-4EDDAA817E58}"/>
    <cellStyle name="Normal 2 4 3 3 5 4" xfId="9749" xr:uid="{50889440-F6FB-4187-85D5-5C0BEC07FC22}"/>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11715911-C6DE-4CA4-933C-4C28ADE5A4C1}"/>
    <cellStyle name="Normal 2 4 3 3 6 2 3" xfId="12307" xr:uid="{9A281F9C-2165-4BA8-A79B-FEAF72083A80}"/>
    <cellStyle name="Normal 2 4 3 3 6 3" xfId="5930" xr:uid="{00000000-0005-0000-0000-000018100000}"/>
    <cellStyle name="Normal 2 4 3 3 6 3 2" xfId="14380" xr:uid="{4DD82637-66C1-4FC8-AF3D-4917397CA15D}"/>
    <cellStyle name="Normal 2 4 3 3 6 4" xfId="10162" xr:uid="{B4CF72D6-8C57-4DF6-B774-1A303D7BF13C}"/>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8DC5CA56-7F6B-4A28-B6F2-255B7C990A44}"/>
    <cellStyle name="Normal 2 4 3 3 7 2 3" xfId="12720" xr:uid="{6AC241DA-BC8A-4DE8-843A-488EC85AF939}"/>
    <cellStyle name="Normal 2 4 3 3 7 3" xfId="6343" xr:uid="{00000000-0005-0000-0000-00001C100000}"/>
    <cellStyle name="Normal 2 4 3 3 7 3 2" xfId="14793" xr:uid="{A92AFCBC-F7FB-4112-98DB-172BDD2DE3A5}"/>
    <cellStyle name="Normal 2 4 3 3 7 4" xfId="10575" xr:uid="{4D9CDF20-D968-4A0F-8907-70443C492E72}"/>
    <cellStyle name="Normal 2 4 3 3 8" xfId="2473" xr:uid="{00000000-0005-0000-0000-00001D100000}"/>
    <cellStyle name="Normal 2 4 3 3 8 2" xfId="6756" xr:uid="{00000000-0005-0000-0000-00001E100000}"/>
    <cellStyle name="Normal 2 4 3 3 8 2 2" xfId="15206" xr:uid="{8E5B413D-8AD9-48FA-AB67-AE82E9229611}"/>
    <cellStyle name="Normal 2 4 3 3 8 3" xfId="10988" xr:uid="{66C853EB-E7C2-4AA9-AC59-88D6377B7D07}"/>
    <cellStyle name="Normal 2 4 3 3 9" xfId="4690" xr:uid="{00000000-0005-0000-0000-00001F100000}"/>
    <cellStyle name="Normal 2 4 3 3 9 2" xfId="13140" xr:uid="{23FCD648-5C54-468A-BD06-A5F56A9647EE}"/>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6012A2F6-8DC9-4BA3-A5AA-1400789F566B}"/>
    <cellStyle name="Normal 2 4 3 4 2 3" xfId="11480" xr:uid="{E2A0701A-7CD9-4A9A-A079-EAF60ED9EBD6}"/>
    <cellStyle name="Normal 2 4 3 4 3" xfId="5103" xr:uid="{00000000-0005-0000-0000-000023100000}"/>
    <cellStyle name="Normal 2 4 3 4 3 2" xfId="13553" xr:uid="{D930529A-C1E3-4CFF-9578-83A90C79EB91}"/>
    <cellStyle name="Normal 2 4 3 4 4" xfId="17781" xr:uid="{F582A2A5-420D-4FCA-9496-D976ED3E1DEB}"/>
    <cellStyle name="Normal 2 4 3 4 5" xfId="18611" xr:uid="{FDA7FC71-DCEF-437D-AEEE-C6739E44D604}"/>
    <cellStyle name="Normal 2 4 3 4 6" xfId="19440" xr:uid="{C8240B6E-D313-4669-B711-41D09CF7316F}"/>
    <cellStyle name="Normal 2 4 3 4 7" xfId="9335" xr:uid="{32897FE6-3960-4DDD-980C-E52B930DD4C9}"/>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45BAA677-E43E-41E9-B29E-25827683756D}"/>
    <cellStyle name="Normal 2 4 3 5 2 3" xfId="11893" xr:uid="{7C8728D8-2A05-429C-9783-302097679D6D}"/>
    <cellStyle name="Normal 2 4 3 5 3" xfId="5516" xr:uid="{00000000-0005-0000-0000-000027100000}"/>
    <cellStyle name="Normal 2 4 3 5 3 2" xfId="13966" xr:uid="{4D634C1B-1CA2-4CDD-A5C9-4847444D8227}"/>
    <cellStyle name="Normal 2 4 3 5 4" xfId="9748" xr:uid="{3E492073-76E5-43C1-969C-90E53C914256}"/>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30E50B78-3CBF-480F-BB73-FFED1DCF3515}"/>
    <cellStyle name="Normal 2 4 3 6 2 3" xfId="12306" xr:uid="{CA4B3C55-2341-4B93-A824-AD145EE60A54}"/>
    <cellStyle name="Normal 2 4 3 6 3" xfId="5929" xr:uid="{00000000-0005-0000-0000-00002B100000}"/>
    <cellStyle name="Normal 2 4 3 6 3 2" xfId="14379" xr:uid="{74033ADB-912E-4398-B9BA-42CAE3C6F3CC}"/>
    <cellStyle name="Normal 2 4 3 6 4" xfId="10161" xr:uid="{64B0A923-4844-4C43-927E-A1F389AC5157}"/>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6215475C-1E5D-4E87-BE6F-048E3FA42FA7}"/>
    <cellStyle name="Normal 2 4 3 7 2 3" xfId="12719" xr:uid="{B5D18B01-CDBF-48D0-82E8-C38EFDDB0FB2}"/>
    <cellStyle name="Normal 2 4 3 7 3" xfId="6342" xr:uid="{00000000-0005-0000-0000-00002F100000}"/>
    <cellStyle name="Normal 2 4 3 7 3 2" xfId="14792" xr:uid="{B3C1B1A2-D144-4DC9-A749-53EF05E07333}"/>
    <cellStyle name="Normal 2 4 3 7 4" xfId="10574" xr:uid="{CC0A6438-6F06-40F4-9BB9-0942E9EE166D}"/>
    <cellStyle name="Normal 2 4 3 8" xfId="2472" xr:uid="{00000000-0005-0000-0000-000030100000}"/>
    <cellStyle name="Normal 2 4 3 8 2" xfId="6755" xr:uid="{00000000-0005-0000-0000-000031100000}"/>
    <cellStyle name="Normal 2 4 3 8 2 2" xfId="15205" xr:uid="{F126E147-9EA9-4729-84E5-A0A013261BEC}"/>
    <cellStyle name="Normal 2 4 3 8 3" xfId="10987" xr:uid="{813CC886-ECD1-4B6B-86DC-7DF7C37BC254}"/>
    <cellStyle name="Normal 2 4 3 9" xfId="4689" xr:uid="{00000000-0005-0000-0000-000032100000}"/>
    <cellStyle name="Normal 2 4 3 9 2" xfId="13139" xr:uid="{68A830EE-3BF5-43A9-9E33-058E5B7994D4}"/>
    <cellStyle name="Normal 2 4 4" xfId="302" xr:uid="{00000000-0005-0000-0000-000033100000}"/>
    <cellStyle name="Normal 2 4 5" xfId="303" xr:uid="{00000000-0005-0000-0000-000034100000}"/>
    <cellStyle name="Normal 2 4 5 10" xfId="4694" xr:uid="{00000000-0005-0000-0000-000035100000}"/>
    <cellStyle name="Normal 2 4 5 10 2" xfId="13144" xr:uid="{EF2F56F7-F356-43CE-83B6-F67784B482E0}"/>
    <cellStyle name="Normal 2 4 5 11" xfId="17367" xr:uid="{BC93CEFE-C111-4720-A583-7B107BD7104D}"/>
    <cellStyle name="Normal 2 4 5 12" xfId="18200" xr:uid="{C66AE45B-829B-4C4C-A499-05D3298D2FBA}"/>
    <cellStyle name="Normal 2 4 5 13" xfId="19029" xr:uid="{991941AA-B5F6-4A6B-BE5C-B9E3FBD47DFD}"/>
    <cellStyle name="Normal 2 4 5 14" xfId="8926" xr:uid="{8531C8A0-E266-4E9B-9FC3-F39E89639EF2}"/>
    <cellStyle name="Normal 2 4 5 2" xfId="304" xr:uid="{00000000-0005-0000-0000-000036100000}"/>
    <cellStyle name="Normal 2 4 5 2 10" xfId="17368" xr:uid="{4D6E698B-EAAA-4DDC-898A-12F8568FE04C}"/>
    <cellStyle name="Normal 2 4 5 2 11" xfId="18201" xr:uid="{AE92732F-17E8-4AE8-A41F-F4045E6BAA6D}"/>
    <cellStyle name="Normal 2 4 5 2 12" xfId="19030" xr:uid="{17D1925F-070C-4B14-BB62-18F0BA523FE3}"/>
    <cellStyle name="Normal 2 4 5 2 13" xfId="8927" xr:uid="{D0BA2FA3-2E09-48E0-8697-8F5BAE45F3C9}"/>
    <cellStyle name="Normal 2 4 5 2 2" xfId="305" xr:uid="{00000000-0005-0000-0000-000037100000}"/>
    <cellStyle name="Normal 2 4 5 2 2 10" xfId="18202" xr:uid="{954B4F94-D579-4D44-9C98-ADB08F1C72DF}"/>
    <cellStyle name="Normal 2 4 5 2 2 11" xfId="19031" xr:uid="{73C076A2-96E8-42EF-BFEF-5E37E0D71519}"/>
    <cellStyle name="Normal 2 4 5 2 2 12" xfId="8928" xr:uid="{FDEC03D3-FA8A-45A7-B06A-8E686B38018C}"/>
    <cellStyle name="Normal 2 4 5 2 2 2" xfId="306" xr:uid="{00000000-0005-0000-0000-000038100000}"/>
    <cellStyle name="Normal 2 4 5 2 2 2 10" xfId="19032" xr:uid="{56899083-13AB-4CF0-A30D-9487E6F86C2A}"/>
    <cellStyle name="Normal 2 4 5 2 2 2 11" xfId="8929" xr:uid="{19177CE3-E4E5-49F5-BE53-119089665F0A}"/>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A94F8BF5-798D-4147-9870-E0F2B69F2887}"/>
    <cellStyle name="Normal 2 4 5 2 2 2 2 2 3" xfId="11488" xr:uid="{B9A29718-53BB-4BEC-80F6-EB2F8CC4CBE5}"/>
    <cellStyle name="Normal 2 4 5 2 2 2 2 3" xfId="5111" xr:uid="{00000000-0005-0000-0000-00003C100000}"/>
    <cellStyle name="Normal 2 4 5 2 2 2 2 3 2" xfId="13561" xr:uid="{376A5E3D-07C1-4979-99BB-8C5AF63254C4}"/>
    <cellStyle name="Normal 2 4 5 2 2 2 2 4" xfId="17789" xr:uid="{E3A2F867-7B5E-4155-9BE9-1F6D13EB041C}"/>
    <cellStyle name="Normal 2 4 5 2 2 2 2 5" xfId="18619" xr:uid="{5338246B-40EC-454A-A768-EEE7DF76BCA2}"/>
    <cellStyle name="Normal 2 4 5 2 2 2 2 6" xfId="19448" xr:uid="{D6797728-5252-434B-8BA8-47B34E9128EC}"/>
    <cellStyle name="Normal 2 4 5 2 2 2 2 7" xfId="9343" xr:uid="{ECF387C9-583B-4108-B971-72A8179EF9FC}"/>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C4FAC090-2EED-4427-8679-97676D7CFC81}"/>
    <cellStyle name="Normal 2 4 5 2 2 2 3 2 3" xfId="11901" xr:uid="{AD362426-F469-4503-B694-6C02AB16F20B}"/>
    <cellStyle name="Normal 2 4 5 2 2 2 3 3" xfId="5524" xr:uid="{00000000-0005-0000-0000-000040100000}"/>
    <cellStyle name="Normal 2 4 5 2 2 2 3 3 2" xfId="13974" xr:uid="{BEFE3F99-2620-4F10-B7E7-D4418A458E80}"/>
    <cellStyle name="Normal 2 4 5 2 2 2 3 4" xfId="9756" xr:uid="{F3212788-0B45-44DC-AC6F-AE4B8623FEF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92398285-FDE8-46E4-9CC3-DBAD0046CBD1}"/>
    <cellStyle name="Normal 2 4 5 2 2 2 4 2 3" xfId="12314" xr:uid="{516DFF37-26B4-4DFA-9369-3FFD4890599D}"/>
    <cellStyle name="Normal 2 4 5 2 2 2 4 3" xfId="5937" xr:uid="{00000000-0005-0000-0000-000044100000}"/>
    <cellStyle name="Normal 2 4 5 2 2 2 4 3 2" xfId="14387" xr:uid="{21E30C36-C84C-476C-82C2-4AC118EC0D75}"/>
    <cellStyle name="Normal 2 4 5 2 2 2 4 4" xfId="10169" xr:uid="{FB13DC10-7D53-43DB-8EEB-BED07887B468}"/>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0FC65354-FB32-4A13-9730-2E1DFB5D1075}"/>
    <cellStyle name="Normal 2 4 5 2 2 2 5 2 3" xfId="12727" xr:uid="{07C1394B-080F-4797-8569-A23D06C71A05}"/>
    <cellStyle name="Normal 2 4 5 2 2 2 5 3" xfId="6350" xr:uid="{00000000-0005-0000-0000-000048100000}"/>
    <cellStyle name="Normal 2 4 5 2 2 2 5 3 2" xfId="14800" xr:uid="{AEDE5563-BFC2-4F45-A310-00DF026A722A}"/>
    <cellStyle name="Normal 2 4 5 2 2 2 5 4" xfId="10582" xr:uid="{B636FBA4-E8BC-4387-97C2-ED0A0D127E4B}"/>
    <cellStyle name="Normal 2 4 5 2 2 2 6" xfId="2480" xr:uid="{00000000-0005-0000-0000-000049100000}"/>
    <cellStyle name="Normal 2 4 5 2 2 2 6 2" xfId="6763" xr:uid="{00000000-0005-0000-0000-00004A100000}"/>
    <cellStyle name="Normal 2 4 5 2 2 2 6 2 2" xfId="15213" xr:uid="{B107783F-01DD-49D0-A604-5388D760D592}"/>
    <cellStyle name="Normal 2 4 5 2 2 2 6 3" xfId="10995" xr:uid="{529CBBA9-E1D3-4E2E-9ADD-3AE59320117A}"/>
    <cellStyle name="Normal 2 4 5 2 2 2 7" xfId="4697" xr:uid="{00000000-0005-0000-0000-00004B100000}"/>
    <cellStyle name="Normal 2 4 5 2 2 2 7 2" xfId="13147" xr:uid="{211C9B2D-6C89-4159-A460-ABE8E636A6D4}"/>
    <cellStyle name="Normal 2 4 5 2 2 2 8" xfId="17370" xr:uid="{8F1FABA0-AC0E-4D8B-AA25-7D6032EFE1B4}"/>
    <cellStyle name="Normal 2 4 5 2 2 2 9" xfId="18203" xr:uid="{28026540-0D80-4A2B-A449-27DC252499B2}"/>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75479D1C-9823-4366-A19C-D8E43B76F917}"/>
    <cellStyle name="Normal 2 4 5 2 2 3 2 3" xfId="11487" xr:uid="{527F451A-3C42-45BA-ACFF-DA717D4356A3}"/>
    <cellStyle name="Normal 2 4 5 2 2 3 3" xfId="5110" xr:uid="{00000000-0005-0000-0000-00004F100000}"/>
    <cellStyle name="Normal 2 4 5 2 2 3 3 2" xfId="13560" xr:uid="{F089800B-2120-4A86-ADEE-3C0ED3E15B11}"/>
    <cellStyle name="Normal 2 4 5 2 2 3 4" xfId="17788" xr:uid="{BB48CB89-CA5A-4DD3-AF00-8DF6E60E14B7}"/>
    <cellStyle name="Normal 2 4 5 2 2 3 5" xfId="18618" xr:uid="{8D935E43-FDF7-44F6-A2DE-FB8FD9C8A255}"/>
    <cellStyle name="Normal 2 4 5 2 2 3 6" xfId="19447" xr:uid="{570C1292-068A-4594-85D4-DC3F8C082335}"/>
    <cellStyle name="Normal 2 4 5 2 2 3 7" xfId="9342" xr:uid="{C4AAC63A-47CB-4E31-AEDB-013FA397518B}"/>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27769F4A-7F0D-457B-AB4B-37859F9E30F9}"/>
    <cellStyle name="Normal 2 4 5 2 2 4 2 3" xfId="11900" xr:uid="{EC17E843-8E52-451E-AC12-957880A050E8}"/>
    <cellStyle name="Normal 2 4 5 2 2 4 3" xfId="5523" xr:uid="{00000000-0005-0000-0000-000053100000}"/>
    <cellStyle name="Normal 2 4 5 2 2 4 3 2" xfId="13973" xr:uid="{94263DA1-9159-4126-858D-65529AC99F0E}"/>
    <cellStyle name="Normal 2 4 5 2 2 4 4" xfId="9755" xr:uid="{AF22AADB-B125-4C49-A7C2-67E43F3C9408}"/>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15C58B4D-7577-4893-A011-F49A20507BF5}"/>
    <cellStyle name="Normal 2 4 5 2 2 5 2 3" xfId="12313" xr:uid="{9BCBE5CE-588E-4977-9A53-797EB1CF21D5}"/>
    <cellStyle name="Normal 2 4 5 2 2 5 3" xfId="5936" xr:uid="{00000000-0005-0000-0000-000057100000}"/>
    <cellStyle name="Normal 2 4 5 2 2 5 3 2" xfId="14386" xr:uid="{2A4BC121-858E-446D-A371-1A1A2386151D}"/>
    <cellStyle name="Normal 2 4 5 2 2 5 4" xfId="10168" xr:uid="{95875650-476E-4157-9ED6-16FD470B2606}"/>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A17903C6-6F7B-441A-AE0D-5DEF851A7749}"/>
    <cellStyle name="Normal 2 4 5 2 2 6 2 3" xfId="12726" xr:uid="{8260BF69-544B-41DD-96B5-8DF709D56937}"/>
    <cellStyle name="Normal 2 4 5 2 2 6 3" xfId="6349" xr:uid="{00000000-0005-0000-0000-00005B100000}"/>
    <cellStyle name="Normal 2 4 5 2 2 6 3 2" xfId="14799" xr:uid="{F288B620-CD8C-4FB3-8563-DBB9BDD428FB}"/>
    <cellStyle name="Normal 2 4 5 2 2 6 4" xfId="10581" xr:uid="{0913E058-91F3-44D9-AFB5-BDB69F754A7D}"/>
    <cellStyle name="Normal 2 4 5 2 2 7" xfId="2479" xr:uid="{00000000-0005-0000-0000-00005C100000}"/>
    <cellStyle name="Normal 2 4 5 2 2 7 2" xfId="6762" xr:uid="{00000000-0005-0000-0000-00005D100000}"/>
    <cellStyle name="Normal 2 4 5 2 2 7 2 2" xfId="15212" xr:uid="{8E169F6E-30D5-4EC6-98EF-30F70A2AA94F}"/>
    <cellStyle name="Normal 2 4 5 2 2 7 3" xfId="10994" xr:uid="{DD4CF379-25C1-47B8-BDE8-A31DBFC6BE30}"/>
    <cellStyle name="Normal 2 4 5 2 2 8" xfId="4696" xr:uid="{00000000-0005-0000-0000-00005E100000}"/>
    <cellStyle name="Normal 2 4 5 2 2 8 2" xfId="13146" xr:uid="{89CCD0F6-25D5-4DE5-A9C4-90597E32BE27}"/>
    <cellStyle name="Normal 2 4 5 2 2 9" xfId="17369" xr:uid="{EF0414DF-5B4E-4E5C-9EF8-77EA8D7975D7}"/>
    <cellStyle name="Normal 2 4 5 2 3" xfId="307" xr:uid="{00000000-0005-0000-0000-00005F100000}"/>
    <cellStyle name="Normal 2 4 5 2 3 10" xfId="19033" xr:uid="{E0BB5475-FE0F-427C-8E67-3BCEADDEF99D}"/>
    <cellStyle name="Normal 2 4 5 2 3 11" xfId="8930" xr:uid="{2C4DEB4F-4CCD-4D7C-A370-B1474DE7AFD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02E28DCD-5795-41A9-91DD-BF30FA539463}"/>
    <cellStyle name="Normal 2 4 5 2 3 2 2 3" xfId="11489" xr:uid="{80AE4304-5E5A-4353-B2CD-12367F9F6F7C}"/>
    <cellStyle name="Normal 2 4 5 2 3 2 3" xfId="5112" xr:uid="{00000000-0005-0000-0000-000063100000}"/>
    <cellStyle name="Normal 2 4 5 2 3 2 3 2" xfId="13562" xr:uid="{DBD8A63D-C169-40B5-9B98-E7CCAC7F9CC3}"/>
    <cellStyle name="Normal 2 4 5 2 3 2 4" xfId="17790" xr:uid="{ADA6864B-1397-4B91-B154-5B6C4BEBD991}"/>
    <cellStyle name="Normal 2 4 5 2 3 2 5" xfId="18620" xr:uid="{F2A31280-3999-461D-BE72-76DEBDCDB68E}"/>
    <cellStyle name="Normal 2 4 5 2 3 2 6" xfId="19449" xr:uid="{60CAED7C-79B3-427E-A7D3-CBE93E041971}"/>
    <cellStyle name="Normal 2 4 5 2 3 2 7" xfId="9344" xr:uid="{0600418D-A056-4A1E-B008-611EC9C05DE3}"/>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E4112D10-29D4-4624-BF88-15D3193C56E8}"/>
    <cellStyle name="Normal 2 4 5 2 3 3 2 3" xfId="11902" xr:uid="{CEB4E802-6B4A-4A6E-B10C-474D9B127C53}"/>
    <cellStyle name="Normal 2 4 5 2 3 3 3" xfId="5525" xr:uid="{00000000-0005-0000-0000-000067100000}"/>
    <cellStyle name="Normal 2 4 5 2 3 3 3 2" xfId="13975" xr:uid="{91B79408-4D54-4828-A880-40FCD529CACA}"/>
    <cellStyle name="Normal 2 4 5 2 3 3 4" xfId="9757" xr:uid="{703EC177-B11A-4514-90DD-B29294B41903}"/>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66718DF1-AA2F-4B39-8344-68D08BE99417}"/>
    <cellStyle name="Normal 2 4 5 2 3 4 2 3" xfId="12315" xr:uid="{E9537A22-51CF-4F89-BA81-3F18E5DB8BDD}"/>
    <cellStyle name="Normal 2 4 5 2 3 4 3" xfId="5938" xr:uid="{00000000-0005-0000-0000-00006B100000}"/>
    <cellStyle name="Normal 2 4 5 2 3 4 3 2" xfId="14388" xr:uid="{A82F351E-C519-4E89-B874-C4C476B3FE88}"/>
    <cellStyle name="Normal 2 4 5 2 3 4 4" xfId="10170" xr:uid="{11C6D2DD-14D9-48AF-B758-E1BB8BAF2F86}"/>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4A7CFB6B-C81D-4A08-A666-BDF27304DDE9}"/>
    <cellStyle name="Normal 2 4 5 2 3 5 2 3" xfId="12728" xr:uid="{0EBEFC26-76FF-459F-9A54-CDBD897CF3B6}"/>
    <cellStyle name="Normal 2 4 5 2 3 5 3" xfId="6351" xr:uid="{00000000-0005-0000-0000-00006F100000}"/>
    <cellStyle name="Normal 2 4 5 2 3 5 3 2" xfId="14801" xr:uid="{1E60BEEE-36F2-4420-8535-626ABDE2CD2C}"/>
    <cellStyle name="Normal 2 4 5 2 3 5 4" xfId="10583" xr:uid="{6A41FD88-C55A-410D-A3EC-2ED7D3AAF0C1}"/>
    <cellStyle name="Normal 2 4 5 2 3 6" xfId="2481" xr:uid="{00000000-0005-0000-0000-000070100000}"/>
    <cellStyle name="Normal 2 4 5 2 3 6 2" xfId="6764" xr:uid="{00000000-0005-0000-0000-000071100000}"/>
    <cellStyle name="Normal 2 4 5 2 3 6 2 2" xfId="15214" xr:uid="{2EE131F0-327B-441A-BC99-3775D04A0673}"/>
    <cellStyle name="Normal 2 4 5 2 3 6 3" xfId="10996" xr:uid="{1715E026-2C3C-4756-A72E-AEE0F70953FB}"/>
    <cellStyle name="Normal 2 4 5 2 3 7" xfId="4698" xr:uid="{00000000-0005-0000-0000-000072100000}"/>
    <cellStyle name="Normal 2 4 5 2 3 7 2" xfId="13148" xr:uid="{59B1B962-AEB2-4455-B4AA-E73E24E75C7D}"/>
    <cellStyle name="Normal 2 4 5 2 3 8" xfId="17371" xr:uid="{E703DEDA-B0FB-480F-9EA1-44F42C1CE633}"/>
    <cellStyle name="Normal 2 4 5 2 3 9" xfId="18204" xr:uid="{21804A36-E2B9-4EBA-AB6C-D8E7AE3A0908}"/>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4ADC0C9D-A87E-4810-841A-EEFBD9E246E3}"/>
    <cellStyle name="Normal 2 4 5 2 4 2 3" xfId="11486" xr:uid="{C907E419-099E-495B-998D-C2C799215956}"/>
    <cellStyle name="Normal 2 4 5 2 4 3" xfId="5109" xr:uid="{00000000-0005-0000-0000-000076100000}"/>
    <cellStyle name="Normal 2 4 5 2 4 3 2" xfId="13559" xr:uid="{AEF22BC9-C87E-4B42-BB30-5F827EF75769}"/>
    <cellStyle name="Normal 2 4 5 2 4 4" xfId="17787" xr:uid="{885B47E7-2A6B-42A7-B066-C8D6240AD345}"/>
    <cellStyle name="Normal 2 4 5 2 4 5" xfId="18617" xr:uid="{4D4E9DB1-3EE5-4811-95FF-FF56E2DCF775}"/>
    <cellStyle name="Normal 2 4 5 2 4 6" xfId="19446" xr:uid="{A2EC175E-FFAA-4748-9F69-96829DD3DEE7}"/>
    <cellStyle name="Normal 2 4 5 2 4 7" xfId="9341" xr:uid="{4762A267-F6BD-4169-8665-EF210EE08BD5}"/>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515C3908-C193-492A-8AD7-00B9058161F4}"/>
    <cellStyle name="Normal 2 4 5 2 5 2 3" xfId="11899" xr:uid="{8ADD3026-39D3-4419-809D-B3305ABBDE12}"/>
    <cellStyle name="Normal 2 4 5 2 5 3" xfId="5522" xr:uid="{00000000-0005-0000-0000-00007A100000}"/>
    <cellStyle name="Normal 2 4 5 2 5 3 2" xfId="13972" xr:uid="{1E176B24-1DCF-459E-90D8-622054D9187D}"/>
    <cellStyle name="Normal 2 4 5 2 5 4" xfId="9754" xr:uid="{E97250E6-C185-47C4-861D-6E1F647B4C4D}"/>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B80612D7-37DA-4D5B-9ADE-14819E44BF99}"/>
    <cellStyle name="Normal 2 4 5 2 6 2 3" xfId="12312" xr:uid="{80190366-76C5-46FB-B4B9-2141000B96BE}"/>
    <cellStyle name="Normal 2 4 5 2 6 3" xfId="5935" xr:uid="{00000000-0005-0000-0000-00007E100000}"/>
    <cellStyle name="Normal 2 4 5 2 6 3 2" xfId="14385" xr:uid="{7C25A97B-3A5B-4D5A-B658-C0AA9543D2D3}"/>
    <cellStyle name="Normal 2 4 5 2 6 4" xfId="10167" xr:uid="{E93CF922-D173-46D6-AFE4-991318FD8A7E}"/>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B88E778E-B627-4755-850D-9802965C0E03}"/>
    <cellStyle name="Normal 2 4 5 2 7 2 3" xfId="12725" xr:uid="{2FA86E83-3D71-413A-B17E-8E341839AB87}"/>
    <cellStyle name="Normal 2 4 5 2 7 3" xfId="6348" xr:uid="{00000000-0005-0000-0000-000082100000}"/>
    <cellStyle name="Normal 2 4 5 2 7 3 2" xfId="14798" xr:uid="{1E08B4AA-0018-41CC-A52D-98F7AF749257}"/>
    <cellStyle name="Normal 2 4 5 2 7 4" xfId="10580" xr:uid="{44F30D63-F4EE-47BC-B319-46EF324636A2}"/>
    <cellStyle name="Normal 2 4 5 2 8" xfId="2478" xr:uid="{00000000-0005-0000-0000-000083100000}"/>
    <cellStyle name="Normal 2 4 5 2 8 2" xfId="6761" xr:uid="{00000000-0005-0000-0000-000084100000}"/>
    <cellStyle name="Normal 2 4 5 2 8 2 2" xfId="15211" xr:uid="{772AD04A-14E8-4928-9169-E37104386F62}"/>
    <cellStyle name="Normal 2 4 5 2 8 3" xfId="10993" xr:uid="{9C986B79-6A1E-4AE9-AD59-4D260C223DDC}"/>
    <cellStyle name="Normal 2 4 5 2 9" xfId="4695" xr:uid="{00000000-0005-0000-0000-000085100000}"/>
    <cellStyle name="Normal 2 4 5 2 9 2" xfId="13145" xr:uid="{CB47527A-6B69-4F5D-B5C3-58B47D5C0EEE}"/>
    <cellStyle name="Normal 2 4 5 3" xfId="308" xr:uid="{00000000-0005-0000-0000-000086100000}"/>
    <cellStyle name="Normal 2 4 5 3 10" xfId="18205" xr:uid="{26AAC692-88A6-4E19-B938-F1461B4F2EA9}"/>
    <cellStyle name="Normal 2 4 5 3 11" xfId="19034" xr:uid="{9B507FEC-FAB1-44A1-BF7E-CD59DBF3B2A5}"/>
    <cellStyle name="Normal 2 4 5 3 12" xfId="8931" xr:uid="{FABCA15F-7F1D-4E3E-9663-C65A17A121C8}"/>
    <cellStyle name="Normal 2 4 5 3 2" xfId="309" xr:uid="{00000000-0005-0000-0000-000087100000}"/>
    <cellStyle name="Normal 2 4 5 3 2 10" xfId="19035" xr:uid="{694B2871-3466-41E0-BAAD-77175433BE86}"/>
    <cellStyle name="Normal 2 4 5 3 2 11" xfId="8932" xr:uid="{3E208105-A4DA-4907-9BB3-2FD9BEAD875E}"/>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1FA87E37-7F70-4A3B-9F9A-2E27728E030E}"/>
    <cellStyle name="Normal 2 4 5 3 2 2 2 3" xfId="11491" xr:uid="{911A830F-CB8E-4F63-8F0A-A369A7B7C819}"/>
    <cellStyle name="Normal 2 4 5 3 2 2 3" xfId="5114" xr:uid="{00000000-0005-0000-0000-00008B100000}"/>
    <cellStyle name="Normal 2 4 5 3 2 2 3 2" xfId="13564" xr:uid="{40C205A7-8B1E-4E5D-A67E-F3760F7DFE32}"/>
    <cellStyle name="Normal 2 4 5 3 2 2 4" xfId="17792" xr:uid="{185B641A-442F-4CF4-8728-36F4845D5822}"/>
    <cellStyle name="Normal 2 4 5 3 2 2 5" xfId="18622" xr:uid="{97B5031E-4276-4796-B5DE-B0540B4BC03A}"/>
    <cellStyle name="Normal 2 4 5 3 2 2 6" xfId="19451" xr:uid="{1FCEAE27-5142-4A30-BA0C-BF2CE93FC583}"/>
    <cellStyle name="Normal 2 4 5 3 2 2 7" xfId="9346" xr:uid="{C4B59E4C-8D3E-46B9-AE2D-F02F7008F9CB}"/>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40C8F137-D944-45EE-8936-72D773B5EB32}"/>
    <cellStyle name="Normal 2 4 5 3 2 3 2 3" xfId="11904" xr:uid="{C4EF703C-9F04-431C-B128-90C4AC14B09C}"/>
    <cellStyle name="Normal 2 4 5 3 2 3 3" xfId="5527" xr:uid="{00000000-0005-0000-0000-00008F100000}"/>
    <cellStyle name="Normal 2 4 5 3 2 3 3 2" xfId="13977" xr:uid="{B6D1FDB2-7101-4228-8E29-E661D56F6006}"/>
    <cellStyle name="Normal 2 4 5 3 2 3 4" xfId="9759" xr:uid="{5254FCCD-778D-46DC-8897-C7B44661A40D}"/>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4FB60A04-143F-4705-90D3-513867D46A72}"/>
    <cellStyle name="Normal 2 4 5 3 2 4 2 3" xfId="12317" xr:uid="{8B8178AE-0E50-4744-8B1E-1F0179371F6C}"/>
    <cellStyle name="Normal 2 4 5 3 2 4 3" xfId="5940" xr:uid="{00000000-0005-0000-0000-000093100000}"/>
    <cellStyle name="Normal 2 4 5 3 2 4 3 2" xfId="14390" xr:uid="{44B55131-F0CF-4612-944A-1308FC56C6DC}"/>
    <cellStyle name="Normal 2 4 5 3 2 4 4" xfId="10172" xr:uid="{70435E70-B9B2-4CB3-A540-E2991D9505F7}"/>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CA917E6E-260B-4DCB-A9DE-E45D17D3ACFF}"/>
    <cellStyle name="Normal 2 4 5 3 2 5 2 3" xfId="12730" xr:uid="{FF8AC249-3165-4997-9A81-286045BD98AA}"/>
    <cellStyle name="Normal 2 4 5 3 2 5 3" xfId="6353" xr:uid="{00000000-0005-0000-0000-000097100000}"/>
    <cellStyle name="Normal 2 4 5 3 2 5 3 2" xfId="14803" xr:uid="{30C55B59-FE2A-4624-91F5-1B4C8B6658E1}"/>
    <cellStyle name="Normal 2 4 5 3 2 5 4" xfId="10585" xr:uid="{16C61056-D5BA-47ED-B8C2-3DC5E433B5F8}"/>
    <cellStyle name="Normal 2 4 5 3 2 6" xfId="2483" xr:uid="{00000000-0005-0000-0000-000098100000}"/>
    <cellStyle name="Normal 2 4 5 3 2 6 2" xfId="6766" xr:uid="{00000000-0005-0000-0000-000099100000}"/>
    <cellStyle name="Normal 2 4 5 3 2 6 2 2" xfId="15216" xr:uid="{121DB8B9-B02F-45AE-B4AD-ABA20D7D51EE}"/>
    <cellStyle name="Normal 2 4 5 3 2 6 3" xfId="10998" xr:uid="{716D7140-2D1B-48D0-9625-D8A93165D9CC}"/>
    <cellStyle name="Normal 2 4 5 3 2 7" xfId="4700" xr:uid="{00000000-0005-0000-0000-00009A100000}"/>
    <cellStyle name="Normal 2 4 5 3 2 7 2" xfId="13150" xr:uid="{9C774C90-5B5A-47D6-BF37-143075C9592C}"/>
    <cellStyle name="Normal 2 4 5 3 2 8" xfId="17373" xr:uid="{512C2216-EFC1-41D5-ACE7-D198BE220A28}"/>
    <cellStyle name="Normal 2 4 5 3 2 9" xfId="18206" xr:uid="{491867E4-94B9-4A5C-ADD1-77E5204E301C}"/>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0BDFDC6A-6265-440F-8E6C-8CEE6DC3A70D}"/>
    <cellStyle name="Normal 2 4 5 3 3 2 3" xfId="11490" xr:uid="{1E319281-8508-4068-9867-C4B1D74615DD}"/>
    <cellStyle name="Normal 2 4 5 3 3 3" xfId="5113" xr:uid="{00000000-0005-0000-0000-00009E100000}"/>
    <cellStyle name="Normal 2 4 5 3 3 3 2" xfId="13563" xr:uid="{362987BA-3D0A-4B7A-AC06-0B46D6E71D2C}"/>
    <cellStyle name="Normal 2 4 5 3 3 4" xfId="17791" xr:uid="{8BF7D9AC-923E-49FF-94B9-A36ED0FCE4C3}"/>
    <cellStyle name="Normal 2 4 5 3 3 5" xfId="18621" xr:uid="{05309A9C-6D54-4E95-A4C9-587C9BBEAED3}"/>
    <cellStyle name="Normal 2 4 5 3 3 6" xfId="19450" xr:uid="{830697AF-4402-40A0-8ECF-614AE1E8CE4A}"/>
    <cellStyle name="Normal 2 4 5 3 3 7" xfId="9345" xr:uid="{80E78871-C5F0-4FE5-AFDF-D592D66C956D}"/>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5A0C9346-33F3-448B-B29F-4BB10912B657}"/>
    <cellStyle name="Normal 2 4 5 3 4 2 3" xfId="11903" xr:uid="{A06330B2-7BA7-4AC0-88DB-1B2A63DF6B33}"/>
    <cellStyle name="Normal 2 4 5 3 4 3" xfId="5526" xr:uid="{00000000-0005-0000-0000-0000A2100000}"/>
    <cellStyle name="Normal 2 4 5 3 4 3 2" xfId="13976" xr:uid="{EFB37316-776E-42A8-B2B9-7DE99D014184}"/>
    <cellStyle name="Normal 2 4 5 3 4 4" xfId="9758" xr:uid="{A3F272B0-E84A-40B7-A657-43C8D5330CAE}"/>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95020E1C-84FB-47F5-AB10-05D2DF8221F5}"/>
    <cellStyle name="Normal 2 4 5 3 5 2 3" xfId="12316" xr:uid="{089E9547-A5F6-49D9-8FA1-6CA5BBFDA506}"/>
    <cellStyle name="Normal 2 4 5 3 5 3" xfId="5939" xr:uid="{00000000-0005-0000-0000-0000A6100000}"/>
    <cellStyle name="Normal 2 4 5 3 5 3 2" xfId="14389" xr:uid="{7962C6BB-3A0E-409A-9A15-8D9961D35D5D}"/>
    <cellStyle name="Normal 2 4 5 3 5 4" xfId="10171" xr:uid="{E7F63585-7061-45DA-9795-8B014283B9AD}"/>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01611310-C3A6-4CBD-9932-CFB1577B6EE9}"/>
    <cellStyle name="Normal 2 4 5 3 6 2 3" xfId="12729" xr:uid="{3D0961FB-392F-44B5-8749-D58F91ECF7A9}"/>
    <cellStyle name="Normal 2 4 5 3 6 3" xfId="6352" xr:uid="{00000000-0005-0000-0000-0000AA100000}"/>
    <cellStyle name="Normal 2 4 5 3 6 3 2" xfId="14802" xr:uid="{940F1785-5AA2-4B31-89B4-E6363AFE1F0E}"/>
    <cellStyle name="Normal 2 4 5 3 6 4" xfId="10584" xr:uid="{2FF104F8-560A-49BE-A206-72407B424330}"/>
    <cellStyle name="Normal 2 4 5 3 7" xfId="2482" xr:uid="{00000000-0005-0000-0000-0000AB100000}"/>
    <cellStyle name="Normal 2 4 5 3 7 2" xfId="6765" xr:uid="{00000000-0005-0000-0000-0000AC100000}"/>
    <cellStyle name="Normal 2 4 5 3 7 2 2" xfId="15215" xr:uid="{8847B7EE-D0A2-4090-BEBD-EBF90782ACD7}"/>
    <cellStyle name="Normal 2 4 5 3 7 3" xfId="10997" xr:uid="{4CCFFB07-9FD6-4637-B2B0-5402CC0DC230}"/>
    <cellStyle name="Normal 2 4 5 3 8" xfId="4699" xr:uid="{00000000-0005-0000-0000-0000AD100000}"/>
    <cellStyle name="Normal 2 4 5 3 8 2" xfId="13149" xr:uid="{8D382702-E5E2-489B-882E-B32AB4A188E2}"/>
    <cellStyle name="Normal 2 4 5 3 9" xfId="17372" xr:uid="{B646690B-83E8-4413-A02B-212F5E60BE52}"/>
    <cellStyle name="Normal 2 4 5 4" xfId="310" xr:uid="{00000000-0005-0000-0000-0000AE100000}"/>
    <cellStyle name="Normal 2 4 5 4 10" xfId="19036" xr:uid="{468BF177-DA23-4A95-98EE-A47425FE0E66}"/>
    <cellStyle name="Normal 2 4 5 4 11" xfId="8933" xr:uid="{0B1F5223-7016-4142-8DF4-E201BEC51731}"/>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25930BD7-980B-469C-8A2E-7D58397BF4F2}"/>
    <cellStyle name="Normal 2 4 5 4 2 2 3" xfId="11492" xr:uid="{193E0579-324F-44B2-95A9-8573D530946E}"/>
    <cellStyle name="Normal 2 4 5 4 2 3" xfId="5115" xr:uid="{00000000-0005-0000-0000-0000B2100000}"/>
    <cellStyle name="Normal 2 4 5 4 2 3 2" xfId="13565" xr:uid="{DC8CC2DB-BE6D-4B16-AD57-F2940E4A05D1}"/>
    <cellStyle name="Normal 2 4 5 4 2 4" xfId="17793" xr:uid="{AD928D37-AF7C-4F9F-8153-68701580C66B}"/>
    <cellStyle name="Normal 2 4 5 4 2 5" xfId="18623" xr:uid="{A635A2BD-1644-4E48-BE48-716AC3035CAD}"/>
    <cellStyle name="Normal 2 4 5 4 2 6" xfId="19452" xr:uid="{B01427EA-DAE4-4A67-8B44-0B48E44997BA}"/>
    <cellStyle name="Normal 2 4 5 4 2 7" xfId="9347" xr:uid="{797DFEA8-C078-4CB6-A4CD-5E899A607EF8}"/>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F438486C-C443-400A-8518-40E52DCA0E24}"/>
    <cellStyle name="Normal 2 4 5 4 3 2 3" xfId="11905" xr:uid="{149D57CE-68DE-4D6D-B20E-418A8360B020}"/>
    <cellStyle name="Normal 2 4 5 4 3 3" xfId="5528" xr:uid="{00000000-0005-0000-0000-0000B6100000}"/>
    <cellStyle name="Normal 2 4 5 4 3 3 2" xfId="13978" xr:uid="{D8957B5A-42D8-48C8-98F5-F28CC86FE723}"/>
    <cellStyle name="Normal 2 4 5 4 3 4" xfId="9760" xr:uid="{6508D948-E08D-488F-91BB-ED0F734603A9}"/>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9A0D14E3-9222-479E-A713-81E280E0AF77}"/>
    <cellStyle name="Normal 2 4 5 4 4 2 3" xfId="12318" xr:uid="{5D3A5651-A481-4BEB-AB1C-7710E0ACF103}"/>
    <cellStyle name="Normal 2 4 5 4 4 3" xfId="5941" xr:uid="{00000000-0005-0000-0000-0000BA100000}"/>
    <cellStyle name="Normal 2 4 5 4 4 3 2" xfId="14391" xr:uid="{847387B0-1F23-4BD0-88BB-24E3F92E3D9A}"/>
    <cellStyle name="Normal 2 4 5 4 4 4" xfId="10173" xr:uid="{4FA7437C-BD60-4C46-AF26-3A3D9A4CF823}"/>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AB3CFE86-0F58-4F8C-A0A8-389EFA3ACA87}"/>
    <cellStyle name="Normal 2 4 5 4 5 2 3" xfId="12731" xr:uid="{F69D514C-0FF6-49FB-B70F-34219B2074FE}"/>
    <cellStyle name="Normal 2 4 5 4 5 3" xfId="6354" xr:uid="{00000000-0005-0000-0000-0000BE100000}"/>
    <cellStyle name="Normal 2 4 5 4 5 3 2" xfId="14804" xr:uid="{F34EE833-DF34-4818-AD86-813B3A4ECDD4}"/>
    <cellStyle name="Normal 2 4 5 4 5 4" xfId="10586" xr:uid="{293EF1E5-2F57-45FA-B6F9-936326A98745}"/>
    <cellStyle name="Normal 2 4 5 4 6" xfId="2484" xr:uid="{00000000-0005-0000-0000-0000BF100000}"/>
    <cellStyle name="Normal 2 4 5 4 6 2" xfId="6767" xr:uid="{00000000-0005-0000-0000-0000C0100000}"/>
    <cellStyle name="Normal 2 4 5 4 6 2 2" xfId="15217" xr:uid="{20EC8E64-326F-4593-ADF6-49935606D0A3}"/>
    <cellStyle name="Normal 2 4 5 4 6 3" xfId="10999" xr:uid="{70C19E24-D7BA-4AE0-913B-C400E08E20CD}"/>
    <cellStyle name="Normal 2 4 5 4 7" xfId="4701" xr:uid="{00000000-0005-0000-0000-0000C1100000}"/>
    <cellStyle name="Normal 2 4 5 4 7 2" xfId="13151" xr:uid="{F7E32A20-F7BA-46CD-8264-DC03511E9278}"/>
    <cellStyle name="Normal 2 4 5 4 8" xfId="17374" xr:uid="{A5C04A78-57EE-481C-8AA4-CF93BE4C53CA}"/>
    <cellStyle name="Normal 2 4 5 4 9" xfId="18207" xr:uid="{E0249319-5729-4A6F-9415-DC2CF4B17503}"/>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3ECEE921-1BCC-4C13-B0AB-B73E9FD19FAA}"/>
    <cellStyle name="Normal 2 4 5 5 2 3" xfId="11485" xr:uid="{95BA5200-3236-4177-9C5A-C67B7CF73626}"/>
    <cellStyle name="Normal 2 4 5 5 3" xfId="5108" xr:uid="{00000000-0005-0000-0000-0000C5100000}"/>
    <cellStyle name="Normal 2 4 5 5 3 2" xfId="13558" xr:uid="{C5A17292-A334-4753-AF04-822637D4406D}"/>
    <cellStyle name="Normal 2 4 5 5 4" xfId="17786" xr:uid="{F639E66C-3AFD-4FB7-AA02-8BE6DFDA762B}"/>
    <cellStyle name="Normal 2 4 5 5 5" xfId="18616" xr:uid="{32E105C1-0DBC-424C-94C3-F6F4CB17E42F}"/>
    <cellStyle name="Normal 2 4 5 5 6" xfId="19445" xr:uid="{BF549A68-F35D-4FD5-893A-9CD3CA9490E4}"/>
    <cellStyle name="Normal 2 4 5 5 7" xfId="9340" xr:uid="{50EDDDDF-0FA0-4D20-A154-8A27B6DBE566}"/>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61F35315-32E7-412A-A0E4-DBE70BC87BF1}"/>
    <cellStyle name="Normal 2 4 5 6 2 3" xfId="11898" xr:uid="{006588BD-A9C6-4872-A9F7-BE85E4D7F774}"/>
    <cellStyle name="Normal 2 4 5 6 3" xfId="5521" xr:uid="{00000000-0005-0000-0000-0000C9100000}"/>
    <cellStyle name="Normal 2 4 5 6 3 2" xfId="13971" xr:uid="{DFB7FE97-2750-479B-927E-396C8656F9FB}"/>
    <cellStyle name="Normal 2 4 5 6 4" xfId="9753" xr:uid="{7E8B84E8-2550-4054-91D9-29C1F9020265}"/>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5F881B0F-46AD-43FC-90DD-BD4DB7493300}"/>
    <cellStyle name="Normal 2 4 5 7 2 3" xfId="12311" xr:uid="{D9A6FD0C-E445-49CB-8986-D02F6CD15EA3}"/>
    <cellStyle name="Normal 2 4 5 7 3" xfId="5934" xr:uid="{00000000-0005-0000-0000-0000CD100000}"/>
    <cellStyle name="Normal 2 4 5 7 3 2" xfId="14384" xr:uid="{7A89FD68-957C-4C90-86CE-54CD3DBC9932}"/>
    <cellStyle name="Normal 2 4 5 7 4" xfId="10166" xr:uid="{24425ADE-F78A-4F7B-8EFD-281546124698}"/>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9EC648EC-546B-45B6-9009-32C0CDB23683}"/>
    <cellStyle name="Normal 2 4 5 8 2 3" xfId="12724" xr:uid="{F0588589-2E8D-46B7-A09B-AE74733E23E2}"/>
    <cellStyle name="Normal 2 4 5 8 3" xfId="6347" xr:uid="{00000000-0005-0000-0000-0000D1100000}"/>
    <cellStyle name="Normal 2 4 5 8 3 2" xfId="14797" xr:uid="{83DDB42E-028B-469A-96AC-D56AD68A34C3}"/>
    <cellStyle name="Normal 2 4 5 8 4" xfId="10579" xr:uid="{B59CFBFB-45B6-4648-A7D6-D9889A10D5DA}"/>
    <cellStyle name="Normal 2 4 5 9" xfId="2477" xr:uid="{00000000-0005-0000-0000-0000D2100000}"/>
    <cellStyle name="Normal 2 4 5 9 2" xfId="6760" xr:uid="{00000000-0005-0000-0000-0000D3100000}"/>
    <cellStyle name="Normal 2 4 5 9 2 2" xfId="15210" xr:uid="{1ED77349-268E-4DCA-B766-F5032E04B73E}"/>
    <cellStyle name="Normal 2 4 5 9 3" xfId="10992" xr:uid="{687DC2E7-DFA5-4D90-B1BB-449DF3314CF2}"/>
    <cellStyle name="Normal 2 4 6" xfId="311" xr:uid="{00000000-0005-0000-0000-0000D4100000}"/>
    <cellStyle name="Normal 2 4 7" xfId="312" xr:uid="{00000000-0005-0000-0000-0000D5100000}"/>
    <cellStyle name="Normal 2 4 7 10" xfId="18208" xr:uid="{5B31007D-FF25-428A-9FF0-52465AA14CE1}"/>
    <cellStyle name="Normal 2 4 7 11" xfId="19037" xr:uid="{8D8781FF-8E83-4BCA-870D-8405B1D817BB}"/>
    <cellStyle name="Normal 2 4 7 12" xfId="8934" xr:uid="{15A1AA39-E58F-4D21-A07E-6F88B268262C}"/>
    <cellStyle name="Normal 2 4 7 2" xfId="313" xr:uid="{00000000-0005-0000-0000-0000D6100000}"/>
    <cellStyle name="Normal 2 4 7 2 10" xfId="19038" xr:uid="{5A501BAC-063C-4FD6-914F-28269031DEE3}"/>
    <cellStyle name="Normal 2 4 7 2 11" xfId="8935" xr:uid="{3A097247-E1DE-432B-B3BD-943A2F1DA00E}"/>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6213689C-5043-40D7-82D7-98F26CDA3D2A}"/>
    <cellStyle name="Normal 2 4 7 2 2 2 3" xfId="11494" xr:uid="{8D5C7B51-B222-44E5-9CFA-2A59240B9C60}"/>
    <cellStyle name="Normal 2 4 7 2 2 3" xfId="5117" xr:uid="{00000000-0005-0000-0000-0000DA100000}"/>
    <cellStyle name="Normal 2 4 7 2 2 3 2" xfId="13567" xr:uid="{6CC69265-DF8A-415F-9EE1-8AD87FF62F11}"/>
    <cellStyle name="Normal 2 4 7 2 2 4" xfId="17795" xr:uid="{6BBD1AC2-7E5A-426D-9F15-B2DC5CBEAEC4}"/>
    <cellStyle name="Normal 2 4 7 2 2 5" xfId="18625" xr:uid="{965222C2-7F6C-4707-8F0D-5C372F3AEEC4}"/>
    <cellStyle name="Normal 2 4 7 2 2 6" xfId="19454" xr:uid="{70D5F454-721C-4555-BDDD-8B1A3C1D723F}"/>
    <cellStyle name="Normal 2 4 7 2 2 7" xfId="9349" xr:uid="{F7899348-BA7C-480B-A673-6C471863AE81}"/>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030AB388-2A0B-4C37-ABD1-EF77EEC4EFBE}"/>
    <cellStyle name="Normal 2 4 7 2 3 2 3" xfId="11907" xr:uid="{DC006959-3B97-4EFB-8799-D89A57557816}"/>
    <cellStyle name="Normal 2 4 7 2 3 3" xfId="5530" xr:uid="{00000000-0005-0000-0000-0000DE100000}"/>
    <cellStyle name="Normal 2 4 7 2 3 3 2" xfId="13980" xr:uid="{8AFC2C21-C6B9-44E9-8644-841A988E602D}"/>
    <cellStyle name="Normal 2 4 7 2 3 4" xfId="9762" xr:uid="{2E5C5A39-6008-4CC5-99D9-ED868A343585}"/>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2045383B-8C9A-4FF5-999A-F0C471EBDD6B}"/>
    <cellStyle name="Normal 2 4 7 2 4 2 3" xfId="12320" xr:uid="{B7AE0EA2-2025-4ECA-977C-8959158F52B0}"/>
    <cellStyle name="Normal 2 4 7 2 4 3" xfId="5943" xr:uid="{00000000-0005-0000-0000-0000E2100000}"/>
    <cellStyle name="Normal 2 4 7 2 4 3 2" xfId="14393" xr:uid="{028248DC-7765-46FD-BD56-793B33D4E70F}"/>
    <cellStyle name="Normal 2 4 7 2 4 4" xfId="10175" xr:uid="{C52193F2-21C8-4825-9368-4BDD65487B70}"/>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9089444F-1C73-446A-973C-7CEC165F2F83}"/>
    <cellStyle name="Normal 2 4 7 2 5 2 3" xfId="12733" xr:uid="{EA146D3C-EE3C-4A25-A1E5-29BE31E650AA}"/>
    <cellStyle name="Normal 2 4 7 2 5 3" xfId="6356" xr:uid="{00000000-0005-0000-0000-0000E6100000}"/>
    <cellStyle name="Normal 2 4 7 2 5 3 2" xfId="14806" xr:uid="{67B908E0-489A-437C-AD16-C148A671D7CD}"/>
    <cellStyle name="Normal 2 4 7 2 5 4" xfId="10588" xr:uid="{BDF96D3D-B317-4C41-B88A-998CF7C9973B}"/>
    <cellStyle name="Normal 2 4 7 2 6" xfId="2486" xr:uid="{00000000-0005-0000-0000-0000E7100000}"/>
    <cellStyle name="Normal 2 4 7 2 6 2" xfId="6769" xr:uid="{00000000-0005-0000-0000-0000E8100000}"/>
    <cellStyle name="Normal 2 4 7 2 6 2 2" xfId="15219" xr:uid="{7DECE626-82A1-4399-8AF2-4DA750DC1D60}"/>
    <cellStyle name="Normal 2 4 7 2 6 3" xfId="11001" xr:uid="{FFD3C565-300B-4792-956B-8DF28CE4465C}"/>
    <cellStyle name="Normal 2 4 7 2 7" xfId="4703" xr:uid="{00000000-0005-0000-0000-0000E9100000}"/>
    <cellStyle name="Normal 2 4 7 2 7 2" xfId="13153" xr:uid="{99CC50B0-DC97-45AF-B033-6BB11D7BF5F2}"/>
    <cellStyle name="Normal 2 4 7 2 8" xfId="17376" xr:uid="{062F0F74-E296-40D0-953B-5D6F09E65DBF}"/>
    <cellStyle name="Normal 2 4 7 2 9" xfId="18209" xr:uid="{206D95AC-36A0-4BC6-B00E-A49AF946897B}"/>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BE711DB9-28CF-4723-B5F8-3948FF618FC4}"/>
    <cellStyle name="Normal 2 4 7 3 2 3" xfId="11493" xr:uid="{DDC62015-07E9-43E2-A790-17F818D22601}"/>
    <cellStyle name="Normal 2 4 7 3 3" xfId="5116" xr:uid="{00000000-0005-0000-0000-0000ED100000}"/>
    <cellStyle name="Normal 2 4 7 3 3 2" xfId="13566" xr:uid="{441B3E7E-086E-45D5-B269-9914836A203B}"/>
    <cellStyle name="Normal 2 4 7 3 4" xfId="17794" xr:uid="{A37F5A9F-2610-4393-BD90-71258E8D0F0D}"/>
    <cellStyle name="Normal 2 4 7 3 5" xfId="18624" xr:uid="{F8DDDD53-8633-4AA8-8197-29717E3791E1}"/>
    <cellStyle name="Normal 2 4 7 3 6" xfId="19453" xr:uid="{1947A6A3-ABAA-47E9-8695-AA70EE525FFD}"/>
    <cellStyle name="Normal 2 4 7 3 7" xfId="9348" xr:uid="{B41B6EDD-862E-4316-8CAE-AAD6087360CB}"/>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6780AAFF-5082-422F-9816-688A87949E43}"/>
    <cellStyle name="Normal 2 4 7 4 2 3" xfId="11906" xr:uid="{751A62DA-AC44-4A0F-8CD0-2AF91E788FED}"/>
    <cellStyle name="Normal 2 4 7 4 3" xfId="5529" xr:uid="{00000000-0005-0000-0000-0000F1100000}"/>
    <cellStyle name="Normal 2 4 7 4 3 2" xfId="13979" xr:uid="{8A9CC9B1-70E0-43A2-9545-363B419A139B}"/>
    <cellStyle name="Normal 2 4 7 4 4" xfId="9761" xr:uid="{55552F5A-E0C3-4C1E-A9C6-06D2441C8F8C}"/>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04B96E37-859C-4565-B548-0E5B291D1B3D}"/>
    <cellStyle name="Normal 2 4 7 5 2 3" xfId="12319" xr:uid="{6FAB6BCF-CFD1-419C-B7E5-B434AE000722}"/>
    <cellStyle name="Normal 2 4 7 5 3" xfId="5942" xr:uid="{00000000-0005-0000-0000-0000F5100000}"/>
    <cellStyle name="Normal 2 4 7 5 3 2" xfId="14392" xr:uid="{D27F144B-D4B0-4869-AB3E-425C7BF0F7FA}"/>
    <cellStyle name="Normal 2 4 7 5 4" xfId="10174" xr:uid="{178C127A-BB45-47C3-9D4F-6241A1E17FEA}"/>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D5856B00-0E1E-4187-84B7-6424A8D1F7F5}"/>
    <cellStyle name="Normal 2 4 7 6 2 3" xfId="12732" xr:uid="{59C03E93-FA90-44A4-A811-01EEAE78BE71}"/>
    <cellStyle name="Normal 2 4 7 6 3" xfId="6355" xr:uid="{00000000-0005-0000-0000-0000F9100000}"/>
    <cellStyle name="Normal 2 4 7 6 3 2" xfId="14805" xr:uid="{71854E34-1EB3-4819-86DD-B0B9E2D09DE4}"/>
    <cellStyle name="Normal 2 4 7 6 4" xfId="10587" xr:uid="{E14456BB-25B8-434A-BC9E-CD9FB1FCE5C5}"/>
    <cellStyle name="Normal 2 4 7 7" xfId="2485" xr:uid="{00000000-0005-0000-0000-0000FA100000}"/>
    <cellStyle name="Normal 2 4 7 7 2" xfId="6768" xr:uid="{00000000-0005-0000-0000-0000FB100000}"/>
    <cellStyle name="Normal 2 4 7 7 2 2" xfId="15218" xr:uid="{FFC6C49F-89DF-46F0-AFDE-CD79D0F35DE7}"/>
    <cellStyle name="Normal 2 4 7 7 3" xfId="11000" xr:uid="{69873FEF-95BA-4D93-BCFA-16FB853276B0}"/>
    <cellStyle name="Normal 2 4 7 8" xfId="4702" xr:uid="{00000000-0005-0000-0000-0000FC100000}"/>
    <cellStyle name="Normal 2 4 7 8 2" xfId="13152" xr:uid="{EF8ECB8C-D990-4AC5-B154-A0A21094DA3C}"/>
    <cellStyle name="Normal 2 4 7 9" xfId="17375" xr:uid="{684B6EEE-E5E3-491F-B253-C6117BECE524}"/>
    <cellStyle name="Normal 2 4 8" xfId="314" xr:uid="{00000000-0005-0000-0000-0000FD100000}"/>
    <cellStyle name="Normal 2 4 8 10" xfId="19039" xr:uid="{DF2DC625-A2F8-49DF-9035-18101AD4C8DB}"/>
    <cellStyle name="Normal 2 4 8 11" xfId="8936" xr:uid="{C795F0DE-CC5D-4021-B665-BA1995403191}"/>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B7D3E7CC-88B5-40FF-96B1-6BBBB01AC0B5}"/>
    <cellStyle name="Normal 2 4 8 2 2 3" xfId="11495" xr:uid="{ECB90D8F-0A9E-41B3-9935-42069B77D316}"/>
    <cellStyle name="Normal 2 4 8 2 3" xfId="5118" xr:uid="{00000000-0005-0000-0000-000001110000}"/>
    <cellStyle name="Normal 2 4 8 2 3 2" xfId="13568" xr:uid="{12D4EF77-DC5D-4320-AB03-84FAB4AD30BB}"/>
    <cellStyle name="Normal 2 4 8 2 4" xfId="17796" xr:uid="{61F8371A-3435-4F5C-B055-809CF8B0383E}"/>
    <cellStyle name="Normal 2 4 8 2 5" xfId="18626" xr:uid="{C199EF6A-A0BB-493C-9FD8-B1ACD8067DD5}"/>
    <cellStyle name="Normal 2 4 8 2 6" xfId="19455" xr:uid="{E30B248D-C99D-4666-A55E-B2E78FA15571}"/>
    <cellStyle name="Normal 2 4 8 2 7" xfId="9350" xr:uid="{61721161-3A73-4F97-8FB6-D51D8CAB7EA3}"/>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F26603D5-9CC3-45D3-87AA-3DE3796CF85B}"/>
    <cellStyle name="Normal 2 4 8 3 2 3" xfId="11908" xr:uid="{762F79EF-5824-49C5-8FD5-26B91CC6CBFC}"/>
    <cellStyle name="Normal 2 4 8 3 3" xfId="5531" xr:uid="{00000000-0005-0000-0000-000005110000}"/>
    <cellStyle name="Normal 2 4 8 3 3 2" xfId="13981" xr:uid="{A0531AAA-13E8-498C-883B-3086095B7739}"/>
    <cellStyle name="Normal 2 4 8 3 4" xfId="9763" xr:uid="{1D7832A7-B12A-4A11-A7E9-383E6C4C3E36}"/>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7CF79B12-96AE-40FC-BC85-7C96CDB02178}"/>
    <cellStyle name="Normal 2 4 8 4 2 3" xfId="12321" xr:uid="{32CAA1F8-1996-4DBD-AB15-AC22335B78B0}"/>
    <cellStyle name="Normal 2 4 8 4 3" xfId="5944" xr:uid="{00000000-0005-0000-0000-000009110000}"/>
    <cellStyle name="Normal 2 4 8 4 3 2" xfId="14394" xr:uid="{7A961D79-742B-4E25-B5FB-DF600090AD29}"/>
    <cellStyle name="Normal 2 4 8 4 4" xfId="10176" xr:uid="{177A900F-FBF8-4BFB-819D-CB728FB0BF9A}"/>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449D5C84-67C6-459C-B8C6-E3859981C363}"/>
    <cellStyle name="Normal 2 4 8 5 2 3" xfId="12734" xr:uid="{D68C7867-2042-4AC6-80AE-1A2501B745C3}"/>
    <cellStyle name="Normal 2 4 8 5 3" xfId="6357" xr:uid="{00000000-0005-0000-0000-00000D110000}"/>
    <cellStyle name="Normal 2 4 8 5 3 2" xfId="14807" xr:uid="{3A3F6C0C-A3DC-40AD-82B2-BC60E8CCF4E9}"/>
    <cellStyle name="Normal 2 4 8 5 4" xfId="10589" xr:uid="{7462ADDC-20EC-4B8A-B581-E07331A5B0F5}"/>
    <cellStyle name="Normal 2 4 8 6" xfId="2487" xr:uid="{00000000-0005-0000-0000-00000E110000}"/>
    <cellStyle name="Normal 2 4 8 6 2" xfId="6770" xr:uid="{00000000-0005-0000-0000-00000F110000}"/>
    <cellStyle name="Normal 2 4 8 6 2 2" xfId="15220" xr:uid="{1D30309C-8702-4904-99E2-0D3D77A4C527}"/>
    <cellStyle name="Normal 2 4 8 6 3" xfId="11002" xr:uid="{CBFC9506-BBF7-4B59-A341-73B3B63969FE}"/>
    <cellStyle name="Normal 2 4 8 7" xfId="4704" xr:uid="{00000000-0005-0000-0000-000010110000}"/>
    <cellStyle name="Normal 2 4 8 7 2" xfId="13154" xr:uid="{1323C4BE-A9EF-466D-AC23-97DF399D4E1B}"/>
    <cellStyle name="Normal 2 4 8 8" xfId="17377" xr:uid="{7C78DFC2-FF83-4FC9-800C-3A29333C8980}"/>
    <cellStyle name="Normal 2 4 8 9" xfId="18210" xr:uid="{535332CA-607E-4D0E-8530-15109CE61FFC}"/>
    <cellStyle name="Normal 2 5" xfId="315" xr:uid="{00000000-0005-0000-0000-000011110000}"/>
    <cellStyle name="Normal 2 5 10" xfId="4705" xr:uid="{00000000-0005-0000-0000-000012110000}"/>
    <cellStyle name="Normal 2 5 10 2" xfId="13155" xr:uid="{2FA2FEA4-52E9-4D06-B527-0CFA77578913}"/>
    <cellStyle name="Normal 2 5 11" xfId="17378" xr:uid="{7F48EB79-67A4-4056-865B-B50194502EA0}"/>
    <cellStyle name="Normal 2 5 12" xfId="18211" xr:uid="{58C5F359-AB62-41E2-8526-860EF4628F73}"/>
    <cellStyle name="Normal 2 5 13" xfId="19040" xr:uid="{1F849616-00F0-498E-BB8C-07106B9F67AC}"/>
    <cellStyle name="Normal 2 5 14" xfId="8937" xr:uid="{E9609931-D485-41AF-8AF7-8C17E75FCED7}"/>
    <cellStyle name="Normal 2 5 2" xfId="316" xr:uid="{00000000-0005-0000-0000-000013110000}"/>
    <cellStyle name="Normal 2 5 3" xfId="317" xr:uid="{00000000-0005-0000-0000-000014110000}"/>
    <cellStyle name="Normal 2 5 4" xfId="318" xr:uid="{00000000-0005-0000-0000-000015110000}"/>
    <cellStyle name="Normal 2 5 4 10" xfId="17379" xr:uid="{19D02C7C-A6B0-42F8-AC38-EDC8B5F2D988}"/>
    <cellStyle name="Normal 2 5 4 11" xfId="18212" xr:uid="{77277FAB-8FCC-4039-86C9-84C322C6637F}"/>
    <cellStyle name="Normal 2 5 4 12" xfId="19041" xr:uid="{6F1BBB07-CEE7-4ACE-B10A-76C06A2FF218}"/>
    <cellStyle name="Normal 2 5 4 13" xfId="8938" xr:uid="{036A40B0-DDB0-47E8-973A-B634F3AB0003}"/>
    <cellStyle name="Normal 2 5 4 2" xfId="319" xr:uid="{00000000-0005-0000-0000-000016110000}"/>
    <cellStyle name="Normal 2 5 4 2 10" xfId="18213" xr:uid="{C06018AC-8E75-4EBD-945B-C63B230CAE18}"/>
    <cellStyle name="Normal 2 5 4 2 11" xfId="19042" xr:uid="{BF3EB8FD-2C88-41C0-AEF5-01A78E119152}"/>
    <cellStyle name="Normal 2 5 4 2 12" xfId="8939" xr:uid="{60A172FB-5E30-49FF-8AF7-C9231A3BC7E6}"/>
    <cellStyle name="Normal 2 5 4 2 2" xfId="320" xr:uid="{00000000-0005-0000-0000-000017110000}"/>
    <cellStyle name="Normal 2 5 4 2 2 10" xfId="19043" xr:uid="{09D5249A-8335-4FFA-A8A3-319FE2AAF4B3}"/>
    <cellStyle name="Normal 2 5 4 2 2 11" xfId="8940" xr:uid="{EB1312E3-FFD8-4826-8E57-5BC4CC04CA41}"/>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F24E75F6-0E53-4643-A28B-E9D83B9829C0}"/>
    <cellStyle name="Normal 2 5 4 2 2 2 2 3" xfId="11499" xr:uid="{75A0E64E-BFD1-497F-9238-D297E4E41983}"/>
    <cellStyle name="Normal 2 5 4 2 2 2 3" xfId="5122" xr:uid="{00000000-0005-0000-0000-00001B110000}"/>
    <cellStyle name="Normal 2 5 4 2 2 2 3 2" xfId="13572" xr:uid="{600B0777-8F37-4CC2-8C54-599159B7CFDF}"/>
    <cellStyle name="Normal 2 5 4 2 2 2 4" xfId="17800" xr:uid="{B882EDCE-5F19-4785-82A4-53C45B210F51}"/>
    <cellStyle name="Normal 2 5 4 2 2 2 5" xfId="18630" xr:uid="{20D59269-B942-4689-BE68-BD76F995352C}"/>
    <cellStyle name="Normal 2 5 4 2 2 2 6" xfId="19459" xr:uid="{B94DFAD5-9820-48EB-ACC6-072C0F91D71F}"/>
    <cellStyle name="Normal 2 5 4 2 2 2 7" xfId="9354" xr:uid="{37D40002-063B-40FC-9120-AE01987580B4}"/>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FCD8B208-D842-41F9-AD53-1EF89C9B08DB}"/>
    <cellStyle name="Normal 2 5 4 2 2 3 2 3" xfId="11912" xr:uid="{A30D5D99-43E0-4471-BB48-005C4DD69DB0}"/>
    <cellStyle name="Normal 2 5 4 2 2 3 3" xfId="5535" xr:uid="{00000000-0005-0000-0000-00001F110000}"/>
    <cellStyle name="Normal 2 5 4 2 2 3 3 2" xfId="13985" xr:uid="{2C6712A9-1984-4582-8FEB-81E1DF2834CD}"/>
    <cellStyle name="Normal 2 5 4 2 2 3 4" xfId="9767" xr:uid="{21D24BA1-C63D-4252-AD72-BB5C3FEBDEAD}"/>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1F353D09-DA7A-4DA6-A70A-C849AAD5EB78}"/>
    <cellStyle name="Normal 2 5 4 2 2 4 2 3" xfId="12325" xr:uid="{A0554C90-2D90-4343-8F0D-4A00A513185D}"/>
    <cellStyle name="Normal 2 5 4 2 2 4 3" xfId="5948" xr:uid="{00000000-0005-0000-0000-000023110000}"/>
    <cellStyle name="Normal 2 5 4 2 2 4 3 2" xfId="14398" xr:uid="{6D2729A6-5ABA-47EE-97F5-4BDB248568EE}"/>
    <cellStyle name="Normal 2 5 4 2 2 4 4" xfId="10180" xr:uid="{9A4649E7-71AB-4C9C-913B-0CAD3EE183A4}"/>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7D9C0ED7-74D7-4E90-9DF3-5449F8141856}"/>
    <cellStyle name="Normal 2 5 4 2 2 5 2 3" xfId="12738" xr:uid="{61F0D7BD-FA3A-4BF5-9D50-FC3205DD383E}"/>
    <cellStyle name="Normal 2 5 4 2 2 5 3" xfId="6361" xr:uid="{00000000-0005-0000-0000-000027110000}"/>
    <cellStyle name="Normal 2 5 4 2 2 5 3 2" xfId="14811" xr:uid="{E4E03400-8E09-476F-8FAB-FDA65FB8B9B5}"/>
    <cellStyle name="Normal 2 5 4 2 2 5 4" xfId="10593" xr:uid="{C7AF2D75-F58D-429B-8BED-5DD11D7C7729}"/>
    <cellStyle name="Normal 2 5 4 2 2 6" xfId="2491" xr:uid="{00000000-0005-0000-0000-000028110000}"/>
    <cellStyle name="Normal 2 5 4 2 2 6 2" xfId="6774" xr:uid="{00000000-0005-0000-0000-000029110000}"/>
    <cellStyle name="Normal 2 5 4 2 2 6 2 2" xfId="15224" xr:uid="{90BD6341-9017-4D83-9BB0-9D3788A9E2DB}"/>
    <cellStyle name="Normal 2 5 4 2 2 6 3" xfId="11006" xr:uid="{710F7467-EDDD-4276-9780-C2B9E6ACB591}"/>
    <cellStyle name="Normal 2 5 4 2 2 7" xfId="4708" xr:uid="{00000000-0005-0000-0000-00002A110000}"/>
    <cellStyle name="Normal 2 5 4 2 2 7 2" xfId="13158" xr:uid="{AAF9B68D-B0A0-47C6-9A9E-6C4629C35A03}"/>
    <cellStyle name="Normal 2 5 4 2 2 8" xfId="17381" xr:uid="{5CB0B8F2-BF0E-48C3-AC52-AC1DE1D1B8F6}"/>
    <cellStyle name="Normal 2 5 4 2 2 9" xfId="18214" xr:uid="{9E4837ED-CE0A-4A4F-82BE-A629CF63C1AA}"/>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FB376009-2554-40A2-B680-A6FE259513ED}"/>
    <cellStyle name="Normal 2 5 4 2 3 2 3" xfId="11498" xr:uid="{A7B27DBC-E3EC-4CB8-8CEF-3627EE658A0A}"/>
    <cellStyle name="Normal 2 5 4 2 3 3" xfId="5121" xr:uid="{00000000-0005-0000-0000-00002E110000}"/>
    <cellStyle name="Normal 2 5 4 2 3 3 2" xfId="13571" xr:uid="{04FB05CC-4B36-478F-A6B9-125CE0E1C223}"/>
    <cellStyle name="Normal 2 5 4 2 3 4" xfId="17799" xr:uid="{B8F7B1E7-08CE-4C2C-BB49-C78734C6F084}"/>
    <cellStyle name="Normal 2 5 4 2 3 5" xfId="18629" xr:uid="{47801C02-3C2E-4187-9838-F92B4139242B}"/>
    <cellStyle name="Normal 2 5 4 2 3 6" xfId="19458" xr:uid="{C1CCFFD2-4E73-4FC1-BC43-EF0AC474B7DE}"/>
    <cellStyle name="Normal 2 5 4 2 3 7" xfId="9353" xr:uid="{E8F569E3-A444-4AB0-AA72-8DD7EE11DF50}"/>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0527CC62-420C-484D-8D33-2A44D32FFE94}"/>
    <cellStyle name="Normal 2 5 4 2 4 2 3" xfId="11911" xr:uid="{4042935E-3A0C-4830-9EC3-9CD0A447F063}"/>
    <cellStyle name="Normal 2 5 4 2 4 3" xfId="5534" xr:uid="{00000000-0005-0000-0000-000032110000}"/>
    <cellStyle name="Normal 2 5 4 2 4 3 2" xfId="13984" xr:uid="{356F9C40-6C85-424E-B2F9-FB61527AC2C1}"/>
    <cellStyle name="Normal 2 5 4 2 4 4" xfId="9766" xr:uid="{EDA277A6-0CA2-42C2-902B-D9F4D7E84458}"/>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63B828CD-3FE7-4157-A095-9B5BF2D357DF}"/>
    <cellStyle name="Normal 2 5 4 2 5 2 3" xfId="12324" xr:uid="{D7470C5C-FE0B-4AB1-B940-7A985F164282}"/>
    <cellStyle name="Normal 2 5 4 2 5 3" xfId="5947" xr:uid="{00000000-0005-0000-0000-000036110000}"/>
    <cellStyle name="Normal 2 5 4 2 5 3 2" xfId="14397" xr:uid="{C0EC22DD-7464-451B-830C-FA8CBA1B3094}"/>
    <cellStyle name="Normal 2 5 4 2 5 4" xfId="10179" xr:uid="{DDF5E228-B81B-4484-97E0-A88BFF9839BC}"/>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746AB045-2C9A-40AB-80C7-0B081075C5E8}"/>
    <cellStyle name="Normal 2 5 4 2 6 2 3" xfId="12737" xr:uid="{D96DE840-561F-45C3-9CF4-E66D6DBA26CD}"/>
    <cellStyle name="Normal 2 5 4 2 6 3" xfId="6360" xr:uid="{00000000-0005-0000-0000-00003A110000}"/>
    <cellStyle name="Normal 2 5 4 2 6 3 2" xfId="14810" xr:uid="{4F0261B8-9DFA-491B-BC82-18815FAE1224}"/>
    <cellStyle name="Normal 2 5 4 2 6 4" xfId="10592" xr:uid="{16B6A860-9C94-4648-84D7-84534D7F2516}"/>
    <cellStyle name="Normal 2 5 4 2 7" xfId="2490" xr:uid="{00000000-0005-0000-0000-00003B110000}"/>
    <cellStyle name="Normal 2 5 4 2 7 2" xfId="6773" xr:uid="{00000000-0005-0000-0000-00003C110000}"/>
    <cellStyle name="Normal 2 5 4 2 7 2 2" xfId="15223" xr:uid="{D64CF96A-667C-46DB-A6C2-CDB9123B7702}"/>
    <cellStyle name="Normal 2 5 4 2 7 3" xfId="11005" xr:uid="{13C028B1-7B2D-43C0-BB45-F0FA4A616FB6}"/>
    <cellStyle name="Normal 2 5 4 2 8" xfId="4707" xr:uid="{00000000-0005-0000-0000-00003D110000}"/>
    <cellStyle name="Normal 2 5 4 2 8 2" xfId="13157" xr:uid="{3A3E1D7E-A6D9-4E40-B991-0A354C3275FF}"/>
    <cellStyle name="Normal 2 5 4 2 9" xfId="17380" xr:uid="{188496CB-A8A9-4072-B251-9140539965C5}"/>
    <cellStyle name="Normal 2 5 4 3" xfId="321" xr:uid="{00000000-0005-0000-0000-00003E110000}"/>
    <cellStyle name="Normal 2 5 4 3 10" xfId="19044" xr:uid="{6684FCEE-165C-46B2-8DE3-310FB8F3CA1D}"/>
    <cellStyle name="Normal 2 5 4 3 11" xfId="8941" xr:uid="{FF98E6B7-7961-4D44-8AFF-64829C12C3DD}"/>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B6F4B462-F48C-4BC8-A89F-0C05FBBBD03F}"/>
    <cellStyle name="Normal 2 5 4 3 2 2 3" xfId="11500" xr:uid="{5CDFC89D-C911-46C5-B9F5-C203665DC372}"/>
    <cellStyle name="Normal 2 5 4 3 2 3" xfId="5123" xr:uid="{00000000-0005-0000-0000-000042110000}"/>
    <cellStyle name="Normal 2 5 4 3 2 3 2" xfId="13573" xr:uid="{3E95E48E-AEA9-4987-9DA6-BD90B025E040}"/>
    <cellStyle name="Normal 2 5 4 3 2 4" xfId="17801" xr:uid="{15C583D6-FA5C-40E8-B62A-319E1A45242B}"/>
    <cellStyle name="Normal 2 5 4 3 2 5" xfId="18631" xr:uid="{D4DAEF65-5A47-4EFC-B272-FF4D4C926373}"/>
    <cellStyle name="Normal 2 5 4 3 2 6" xfId="19460" xr:uid="{16CF8A28-2E7D-4B1D-8C82-56D53942F02F}"/>
    <cellStyle name="Normal 2 5 4 3 2 7" xfId="9355" xr:uid="{E24971DA-541B-4F63-BC40-CB881440C7E4}"/>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B4BDA2DC-780A-44FF-8918-EC5CC013A8C5}"/>
    <cellStyle name="Normal 2 5 4 3 3 2 3" xfId="11913" xr:uid="{B8B05F13-6F4E-42D0-A469-45AF2FFFF17A}"/>
    <cellStyle name="Normal 2 5 4 3 3 3" xfId="5536" xr:uid="{00000000-0005-0000-0000-000046110000}"/>
    <cellStyle name="Normal 2 5 4 3 3 3 2" xfId="13986" xr:uid="{F0F488C7-B819-4E5A-8523-04EBB57553A9}"/>
    <cellStyle name="Normal 2 5 4 3 3 4" xfId="9768" xr:uid="{07554CF7-006F-4BB8-8EC4-86414D3D9E21}"/>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4C15D043-BC06-4340-9265-44E8DC6D7CA5}"/>
    <cellStyle name="Normal 2 5 4 3 4 2 3" xfId="12326" xr:uid="{16AE36F6-22A9-47EC-BBBF-C6CF5D88A972}"/>
    <cellStyle name="Normal 2 5 4 3 4 3" xfId="5949" xr:uid="{00000000-0005-0000-0000-00004A110000}"/>
    <cellStyle name="Normal 2 5 4 3 4 3 2" xfId="14399" xr:uid="{450B571F-B8B0-4949-B9E8-D6AFAECC26E1}"/>
    <cellStyle name="Normal 2 5 4 3 4 4" xfId="10181" xr:uid="{0BE760DB-E4FA-48D3-A2E7-A3F11C94F13F}"/>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464E45A4-EE96-40FB-BCA7-09A6D2995549}"/>
    <cellStyle name="Normal 2 5 4 3 5 2 3" xfId="12739" xr:uid="{E077AA66-7B73-4886-9D3B-E388E2A5A045}"/>
    <cellStyle name="Normal 2 5 4 3 5 3" xfId="6362" xr:uid="{00000000-0005-0000-0000-00004E110000}"/>
    <cellStyle name="Normal 2 5 4 3 5 3 2" xfId="14812" xr:uid="{D28231CE-B292-42E9-80B9-8FE6341675B0}"/>
    <cellStyle name="Normal 2 5 4 3 5 4" xfId="10594" xr:uid="{B8C54D57-C480-4F01-BE5A-206BD15DE1A0}"/>
    <cellStyle name="Normal 2 5 4 3 6" xfId="2492" xr:uid="{00000000-0005-0000-0000-00004F110000}"/>
    <cellStyle name="Normal 2 5 4 3 6 2" xfId="6775" xr:uid="{00000000-0005-0000-0000-000050110000}"/>
    <cellStyle name="Normal 2 5 4 3 6 2 2" xfId="15225" xr:uid="{C9548A92-25AD-4147-8E81-110DD57BAB3B}"/>
    <cellStyle name="Normal 2 5 4 3 6 3" xfId="11007" xr:uid="{883E68FF-62AC-4ED8-BE52-8A022EB05E9C}"/>
    <cellStyle name="Normal 2 5 4 3 7" xfId="4709" xr:uid="{00000000-0005-0000-0000-000051110000}"/>
    <cellStyle name="Normal 2 5 4 3 7 2" xfId="13159" xr:uid="{400306BD-9C95-43DC-9A2F-828C132D09C5}"/>
    <cellStyle name="Normal 2 5 4 3 8" xfId="17382" xr:uid="{67EBE542-7D30-4B12-A47C-39890B963BD7}"/>
    <cellStyle name="Normal 2 5 4 3 9" xfId="18215" xr:uid="{47C85E00-E963-4980-B89A-7914504404B6}"/>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55B0F706-E6C1-49FD-B7A7-A2D471E40C39}"/>
    <cellStyle name="Normal 2 5 4 4 2 3" xfId="11497" xr:uid="{B2D13D08-8CA1-4E07-9AB3-7564AC11EF8A}"/>
    <cellStyle name="Normal 2 5 4 4 3" xfId="5120" xr:uid="{00000000-0005-0000-0000-000055110000}"/>
    <cellStyle name="Normal 2 5 4 4 3 2" xfId="13570" xr:uid="{3229F84E-BE67-4B9C-BE0D-CBF68DB41770}"/>
    <cellStyle name="Normal 2 5 4 4 4" xfId="17798" xr:uid="{786B8D19-6A00-48C4-8660-90D1D350ADFD}"/>
    <cellStyle name="Normal 2 5 4 4 5" xfId="18628" xr:uid="{C7CD8FF0-E0B4-4F63-B404-F17D93F1D49E}"/>
    <cellStyle name="Normal 2 5 4 4 6" xfId="19457" xr:uid="{F0192026-759D-4B13-BBF5-4759E4374A14}"/>
    <cellStyle name="Normal 2 5 4 4 7" xfId="9352" xr:uid="{41D71A66-5281-4B31-93B8-49DBB657AB6A}"/>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81E430BD-8E44-45A6-9F98-EA951F1091A5}"/>
    <cellStyle name="Normal 2 5 4 5 2 3" xfId="11910" xr:uid="{75841E97-8A36-43BA-9292-7979F10FB71E}"/>
    <cellStyle name="Normal 2 5 4 5 3" xfId="5533" xr:uid="{00000000-0005-0000-0000-000059110000}"/>
    <cellStyle name="Normal 2 5 4 5 3 2" xfId="13983" xr:uid="{FFB8E40C-D48C-41DB-9922-6265A06E60BA}"/>
    <cellStyle name="Normal 2 5 4 5 4" xfId="9765" xr:uid="{CBAB40E1-8E8C-4874-8670-5FB96B612C4F}"/>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ED80855A-38BD-478D-BF28-9F71E9FDB7A0}"/>
    <cellStyle name="Normal 2 5 4 6 2 3" xfId="12323" xr:uid="{6CA1EC32-2351-461C-BB04-8BA99B5C96E2}"/>
    <cellStyle name="Normal 2 5 4 6 3" xfId="5946" xr:uid="{00000000-0005-0000-0000-00005D110000}"/>
    <cellStyle name="Normal 2 5 4 6 3 2" xfId="14396" xr:uid="{129844A7-3B52-4A93-BB6C-75588DEC0BEB}"/>
    <cellStyle name="Normal 2 5 4 6 4" xfId="10178" xr:uid="{788EDC4F-71EB-4A82-A227-8DDD5222AFC8}"/>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0D4AADE2-B4BA-4748-864A-2C8086963073}"/>
    <cellStyle name="Normal 2 5 4 7 2 3" xfId="12736" xr:uid="{AAF1438B-2231-4831-9E54-C43C835DFB11}"/>
    <cellStyle name="Normal 2 5 4 7 3" xfId="6359" xr:uid="{00000000-0005-0000-0000-000061110000}"/>
    <cellStyle name="Normal 2 5 4 7 3 2" xfId="14809" xr:uid="{8CC62A1E-D3D8-467B-8B71-F40A631B5B6B}"/>
    <cellStyle name="Normal 2 5 4 7 4" xfId="10591" xr:uid="{43984E6A-86F9-4CAE-A135-46EA3D49409D}"/>
    <cellStyle name="Normal 2 5 4 8" xfId="2489" xr:uid="{00000000-0005-0000-0000-000062110000}"/>
    <cellStyle name="Normal 2 5 4 8 2" xfId="6772" xr:uid="{00000000-0005-0000-0000-000063110000}"/>
    <cellStyle name="Normal 2 5 4 8 2 2" xfId="15222" xr:uid="{6865DFCE-6CF0-4473-B002-08A3B232C8E9}"/>
    <cellStyle name="Normal 2 5 4 8 3" xfId="11004" xr:uid="{368AC866-2282-46A2-8998-961FFD8BAE2A}"/>
    <cellStyle name="Normal 2 5 4 9" xfId="4706" xr:uid="{00000000-0005-0000-0000-000064110000}"/>
    <cellStyle name="Normal 2 5 4 9 2" xfId="13156" xr:uid="{E4FABBEF-65B6-41F2-9EC2-BD9B0DAE6150}"/>
    <cellStyle name="Normal 2 5 5" xfId="803" xr:uid="{00000000-0005-0000-0000-000065110000}"/>
    <cellStyle name="Normal 2 5 5 2" xfId="3042" xr:uid="{00000000-0005-0000-0000-000066110000}"/>
    <cellStyle name="Normal 2 5 5 2 2" xfId="7264" xr:uid="{00000000-0005-0000-0000-000067110000}"/>
    <cellStyle name="Normal 2 5 5 2 2 2" xfId="15714" xr:uid="{0357E86B-21AE-4692-8B88-C3A254998B69}"/>
    <cellStyle name="Normal 2 5 5 2 3" xfId="11496" xr:uid="{3D5A1E5D-C7F6-4E24-AF02-B62C32472206}"/>
    <cellStyle name="Normal 2 5 5 3" xfId="5119" xr:uid="{00000000-0005-0000-0000-000068110000}"/>
    <cellStyle name="Normal 2 5 5 3 2" xfId="13569" xr:uid="{BEA8C309-0611-46B5-96B5-E1B860221A23}"/>
    <cellStyle name="Normal 2 5 5 4" xfId="17797" xr:uid="{81F8025A-105A-49EF-901E-FF8F0BA837A7}"/>
    <cellStyle name="Normal 2 5 5 5" xfId="18627" xr:uid="{29D35C08-D5DE-48B3-8BAE-906F143C5CE1}"/>
    <cellStyle name="Normal 2 5 5 6" xfId="19456" xr:uid="{376724A7-42D0-42D7-9651-F6F2A2233122}"/>
    <cellStyle name="Normal 2 5 5 7" xfId="9351" xr:uid="{29E9360D-F7DA-47D1-A84B-A0E553D1DBC2}"/>
    <cellStyle name="Normal 2 5 6" xfId="1225" xr:uid="{00000000-0005-0000-0000-000069110000}"/>
    <cellStyle name="Normal 2 5 6 2" xfId="3455" xr:uid="{00000000-0005-0000-0000-00006A110000}"/>
    <cellStyle name="Normal 2 5 6 2 2" xfId="7677" xr:uid="{00000000-0005-0000-0000-00006B110000}"/>
    <cellStyle name="Normal 2 5 6 2 2 2" xfId="16127" xr:uid="{FFDF0832-864F-47F7-B375-B8A9E35E3228}"/>
    <cellStyle name="Normal 2 5 6 2 3" xfId="11909" xr:uid="{D20394C5-3F67-4857-BDA1-3669164BBFD6}"/>
    <cellStyle name="Normal 2 5 6 3" xfId="5532" xr:uid="{00000000-0005-0000-0000-00006C110000}"/>
    <cellStyle name="Normal 2 5 6 3 2" xfId="13982" xr:uid="{BCA68F83-5F7A-440B-8FA7-0257D7BB862F}"/>
    <cellStyle name="Normal 2 5 6 4" xfId="9764" xr:uid="{3396C244-0707-4EAB-B209-D279D29B8681}"/>
    <cellStyle name="Normal 2 5 7" xfId="1638" xr:uid="{00000000-0005-0000-0000-00006D110000}"/>
    <cellStyle name="Normal 2 5 7 2" xfId="3868" xr:uid="{00000000-0005-0000-0000-00006E110000}"/>
    <cellStyle name="Normal 2 5 7 2 2" xfId="8090" xr:uid="{00000000-0005-0000-0000-00006F110000}"/>
    <cellStyle name="Normal 2 5 7 2 2 2" xfId="16540" xr:uid="{2E1E5BDD-E15D-4EEC-A6F9-E92B7BF149EE}"/>
    <cellStyle name="Normal 2 5 7 2 3" xfId="12322" xr:uid="{64CA7FBC-B379-4B7C-858B-24F08BBA742F}"/>
    <cellStyle name="Normal 2 5 7 3" xfId="5945" xr:uid="{00000000-0005-0000-0000-000070110000}"/>
    <cellStyle name="Normal 2 5 7 3 2" xfId="14395" xr:uid="{CE9796A3-112E-4401-B4F5-FF820DB473A2}"/>
    <cellStyle name="Normal 2 5 7 4" xfId="10177" xr:uid="{CC3C3A24-B28C-47BB-82B3-45816EF406E9}"/>
    <cellStyle name="Normal 2 5 8" xfId="2052" xr:uid="{00000000-0005-0000-0000-000071110000}"/>
    <cellStyle name="Normal 2 5 8 2" xfId="4281" xr:uid="{00000000-0005-0000-0000-000072110000}"/>
    <cellStyle name="Normal 2 5 8 2 2" xfId="8503" xr:uid="{00000000-0005-0000-0000-000073110000}"/>
    <cellStyle name="Normal 2 5 8 2 2 2" xfId="16953" xr:uid="{9D7A0B1F-703C-41A7-BF27-C9E714EC46F7}"/>
    <cellStyle name="Normal 2 5 8 2 3" xfId="12735" xr:uid="{305F2770-4CF3-4D3E-9CDD-23768440E2F4}"/>
    <cellStyle name="Normal 2 5 8 3" xfId="6358" xr:uid="{00000000-0005-0000-0000-000074110000}"/>
    <cellStyle name="Normal 2 5 8 3 2" xfId="14808" xr:uid="{4C277488-8EE6-4D55-8660-DCD68A327B83}"/>
    <cellStyle name="Normal 2 5 8 4" xfId="10590" xr:uid="{C21F33C8-F6F0-4C57-BD7F-F98EB5D575BC}"/>
    <cellStyle name="Normal 2 5 9" xfId="2488" xr:uid="{00000000-0005-0000-0000-000075110000}"/>
    <cellStyle name="Normal 2 5 9 2" xfId="6771" xr:uid="{00000000-0005-0000-0000-000076110000}"/>
    <cellStyle name="Normal 2 5 9 2 2" xfId="15221" xr:uid="{74E9A0FA-4315-4ED0-A8BC-1BA752C11BA9}"/>
    <cellStyle name="Normal 2 5 9 3" xfId="11003" xr:uid="{4B5D9F80-62A4-41A0-91A5-0FF1129EEB50}"/>
    <cellStyle name="Normal 2 6" xfId="322" xr:uid="{00000000-0005-0000-0000-000077110000}"/>
    <cellStyle name="Normal 2 7" xfId="769" xr:uid="{00000000-0005-0000-0000-000078110000}"/>
    <cellStyle name="Normal 2 8" xfId="4495" xr:uid="{00000000-0005-0000-0000-000079110000}"/>
    <cellStyle name="Normal 2 8 2" xfId="17590" xr:uid="{8A57532C-4014-449A-BBCB-C286331F9714}"/>
    <cellStyle name="Normal 2 8 3" xfId="12947" xr:uid="{33E216E4-C349-43FC-A45D-C41AC02163E5}"/>
    <cellStyle name="Normal 3" xfId="323" xr:uid="{00000000-0005-0000-0000-00007A110000}"/>
    <cellStyle name="Normal 3 2" xfId="324" xr:uid="{00000000-0005-0000-0000-00007B110000}"/>
    <cellStyle name="Normal 3 2 10" xfId="17383" xr:uid="{4E468027-D411-42DE-8A4D-F783145CE226}"/>
    <cellStyle name="Normal 3 2 11" xfId="18216" xr:uid="{76586B05-B206-4884-B07D-A14190317B33}"/>
    <cellStyle name="Normal 3 2 12" xfId="19045" xr:uid="{C9512732-63BE-43BB-9BAC-A1D7DEDA82F6}"/>
    <cellStyle name="Normal 3 2 13" xfId="8942" xr:uid="{344FEE60-9CD1-45E7-8E87-9B4159B527D7}"/>
    <cellStyle name="Normal 3 2 2" xfId="325" xr:uid="{00000000-0005-0000-0000-00007C110000}"/>
    <cellStyle name="Normal 3 2 2 2" xfId="810" xr:uid="{00000000-0005-0000-0000-00007D110000}"/>
    <cellStyle name="Normal 3 2 3" xfId="326" xr:uid="{00000000-0005-0000-0000-00007E110000}"/>
    <cellStyle name="Normal 3 2 3 10" xfId="17384" xr:uid="{DC5CA691-1042-4EE4-BCF7-29C28EE988D2}"/>
    <cellStyle name="Normal 3 2 3 11" xfId="18217" xr:uid="{8E8EDFD4-1EB2-4D39-AF7E-67067F817C6C}"/>
    <cellStyle name="Normal 3 2 3 12" xfId="19046" xr:uid="{8520E33A-4AE4-499D-B4A1-F6EDDB898EB3}"/>
    <cellStyle name="Normal 3 2 3 13" xfId="8943" xr:uid="{3AA0A69A-7CE4-419A-91F5-74BDC5BC330E}"/>
    <cellStyle name="Normal 3 2 3 2" xfId="327" xr:uid="{00000000-0005-0000-0000-00007F110000}"/>
    <cellStyle name="Normal 3 2 3 2 10" xfId="18218" xr:uid="{84E58A6C-FF18-4DB8-8992-BBD4E9D35D4B}"/>
    <cellStyle name="Normal 3 2 3 2 11" xfId="19047" xr:uid="{6AEF9539-6170-4436-8E9E-FB0E56B6931E}"/>
    <cellStyle name="Normal 3 2 3 2 12" xfId="8944" xr:uid="{FCE89D8B-57F6-4944-ADA1-2B6C2CE3E4B9}"/>
    <cellStyle name="Normal 3 2 3 2 2" xfId="328" xr:uid="{00000000-0005-0000-0000-000080110000}"/>
    <cellStyle name="Normal 3 2 3 2 2 10" xfId="19048" xr:uid="{990A0678-95B5-41F2-8BC3-5D719C9010DD}"/>
    <cellStyle name="Normal 3 2 3 2 2 11" xfId="8945" xr:uid="{80AACD57-BEE7-4216-97E7-9A49CC06F4D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35AD2A5C-CED1-4779-AFB5-141FCBA1DB48}"/>
    <cellStyle name="Normal 3 2 3 2 2 2 2 3" xfId="11504" xr:uid="{5AD2BC63-0965-447D-BE29-C25387360C70}"/>
    <cellStyle name="Normal 3 2 3 2 2 2 3" xfId="5127" xr:uid="{00000000-0005-0000-0000-000084110000}"/>
    <cellStyle name="Normal 3 2 3 2 2 2 3 2" xfId="13577" xr:uid="{F38437C3-136E-49B2-B8F1-DCDFE35BCB8F}"/>
    <cellStyle name="Normal 3 2 3 2 2 2 4" xfId="17805" xr:uid="{A7540048-4099-4204-92B0-30D4BEC99E83}"/>
    <cellStyle name="Normal 3 2 3 2 2 2 5" xfId="18635" xr:uid="{6F213E63-E625-4F99-9838-AD39B66DC59D}"/>
    <cellStyle name="Normal 3 2 3 2 2 2 6" xfId="19464" xr:uid="{E70E65E7-B37B-43F1-86A2-89CFACB22DED}"/>
    <cellStyle name="Normal 3 2 3 2 2 2 7" xfId="9359" xr:uid="{35B2CEBC-6708-4BB1-877A-CCCAC47D6493}"/>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B426B95B-3652-4914-BA90-92D379ED74A4}"/>
    <cellStyle name="Normal 3 2 3 2 2 3 2 3" xfId="11917" xr:uid="{731AEB15-40A8-44D2-B0E8-4F737CB969DA}"/>
    <cellStyle name="Normal 3 2 3 2 2 3 3" xfId="5540" xr:uid="{00000000-0005-0000-0000-000088110000}"/>
    <cellStyle name="Normal 3 2 3 2 2 3 3 2" xfId="13990" xr:uid="{C9566D2A-36A7-470E-9EC1-1A6DB8EDD511}"/>
    <cellStyle name="Normal 3 2 3 2 2 3 4" xfId="9772" xr:uid="{F29188EF-1755-4530-9DC0-0DC915DA75BE}"/>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4D8058C6-5FE8-4164-8449-26EACE9EDFA4}"/>
    <cellStyle name="Normal 3 2 3 2 2 4 2 3" xfId="12330" xr:uid="{C7A1F096-52E1-441B-8586-6374EE19C079}"/>
    <cellStyle name="Normal 3 2 3 2 2 4 3" xfId="5953" xr:uid="{00000000-0005-0000-0000-00008C110000}"/>
    <cellStyle name="Normal 3 2 3 2 2 4 3 2" xfId="14403" xr:uid="{8E911A0D-D134-4515-8FB9-A3644990B9D0}"/>
    <cellStyle name="Normal 3 2 3 2 2 4 4" xfId="10185" xr:uid="{7C781A45-076B-49B2-9839-E99F8CD58BBE}"/>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71505CEE-58C9-4C22-B973-29148C28182C}"/>
    <cellStyle name="Normal 3 2 3 2 2 5 2 3" xfId="12743" xr:uid="{49F39227-FF39-4817-992F-9356EE78ABEB}"/>
    <cellStyle name="Normal 3 2 3 2 2 5 3" xfId="6366" xr:uid="{00000000-0005-0000-0000-000090110000}"/>
    <cellStyle name="Normal 3 2 3 2 2 5 3 2" xfId="14816" xr:uid="{7DF57440-F158-428E-9D57-D3EB692984E4}"/>
    <cellStyle name="Normal 3 2 3 2 2 5 4" xfId="10598" xr:uid="{CA0BAC3C-5928-40AC-80E0-0D9AF0B6C2D1}"/>
    <cellStyle name="Normal 3 2 3 2 2 6" xfId="2496" xr:uid="{00000000-0005-0000-0000-000091110000}"/>
    <cellStyle name="Normal 3 2 3 2 2 6 2" xfId="6779" xr:uid="{00000000-0005-0000-0000-000092110000}"/>
    <cellStyle name="Normal 3 2 3 2 2 6 2 2" xfId="15229" xr:uid="{D0BBD161-9BD4-43BF-BA4D-8C4C902583CA}"/>
    <cellStyle name="Normal 3 2 3 2 2 6 3" xfId="11011" xr:uid="{358123B8-60D1-4610-9D39-A45755BB35D4}"/>
    <cellStyle name="Normal 3 2 3 2 2 7" xfId="4713" xr:uid="{00000000-0005-0000-0000-000093110000}"/>
    <cellStyle name="Normal 3 2 3 2 2 7 2" xfId="13163" xr:uid="{5FF254B4-595E-4896-B6B0-6AB01571A6F0}"/>
    <cellStyle name="Normal 3 2 3 2 2 8" xfId="17386" xr:uid="{1C4FED13-1B5F-4954-B5D1-55FDC24303E1}"/>
    <cellStyle name="Normal 3 2 3 2 2 9" xfId="18219" xr:uid="{AE000951-F623-4FD2-BB0E-50D3B4C94A26}"/>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44737E93-D023-4EBD-A4CC-7A3EE69BD75D}"/>
    <cellStyle name="Normal 3 2 3 2 3 2 3" xfId="11503" xr:uid="{B571AFEC-691B-4EC8-83C5-DC77F084B5D1}"/>
    <cellStyle name="Normal 3 2 3 2 3 3" xfId="5126" xr:uid="{00000000-0005-0000-0000-000097110000}"/>
    <cellStyle name="Normal 3 2 3 2 3 3 2" xfId="13576" xr:uid="{6E410AAF-BF5A-49AB-8D58-1A5D0878772F}"/>
    <cellStyle name="Normal 3 2 3 2 3 4" xfId="17804" xr:uid="{1B7A7ADD-E12B-438A-ADB8-AC092BE42E6D}"/>
    <cellStyle name="Normal 3 2 3 2 3 5" xfId="18634" xr:uid="{669693F7-ECB3-4A24-B3B9-8EF995D31F9C}"/>
    <cellStyle name="Normal 3 2 3 2 3 6" xfId="19463" xr:uid="{DEABC59E-9143-453D-BFD8-4ECA45560F91}"/>
    <cellStyle name="Normal 3 2 3 2 3 7" xfId="9358" xr:uid="{4203393F-B7E1-4110-8174-C65560E12629}"/>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27148682-7ECC-48D7-99FB-DF178FC131EA}"/>
    <cellStyle name="Normal 3 2 3 2 4 2 3" xfId="11916" xr:uid="{854B774A-6964-4482-9F46-FC9ED483387C}"/>
    <cellStyle name="Normal 3 2 3 2 4 3" xfId="5539" xr:uid="{00000000-0005-0000-0000-00009B110000}"/>
    <cellStyle name="Normal 3 2 3 2 4 3 2" xfId="13989" xr:uid="{86B1A599-794E-4B04-8661-F25F32743FA8}"/>
    <cellStyle name="Normal 3 2 3 2 4 4" xfId="9771" xr:uid="{84207942-B2D4-4678-82A1-669CA6174838}"/>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13D41015-87F4-43ED-BB1A-5FBB92E043E3}"/>
    <cellStyle name="Normal 3 2 3 2 5 2 3" xfId="12329" xr:uid="{D927F898-D2D8-4E92-A5B2-F51269AB4B8A}"/>
    <cellStyle name="Normal 3 2 3 2 5 3" xfId="5952" xr:uid="{00000000-0005-0000-0000-00009F110000}"/>
    <cellStyle name="Normal 3 2 3 2 5 3 2" xfId="14402" xr:uid="{1F7C4210-E2C1-4C4C-B09D-B9938D02885A}"/>
    <cellStyle name="Normal 3 2 3 2 5 4" xfId="10184" xr:uid="{DD67CA86-BE3E-46E9-93E8-F30058D601AE}"/>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5F64459A-E7CC-4062-A094-2DF82F172D53}"/>
    <cellStyle name="Normal 3 2 3 2 6 2 3" xfId="12742" xr:uid="{786729B7-F40E-41CD-A4F5-A50795F74D93}"/>
    <cellStyle name="Normal 3 2 3 2 6 3" xfId="6365" xr:uid="{00000000-0005-0000-0000-0000A3110000}"/>
    <cellStyle name="Normal 3 2 3 2 6 3 2" xfId="14815" xr:uid="{18EB288F-85D0-411B-8D0B-B546740C38A4}"/>
    <cellStyle name="Normal 3 2 3 2 6 4" xfId="10597" xr:uid="{6E647BEF-3FAA-4D8C-8624-6107EF462B70}"/>
    <cellStyle name="Normal 3 2 3 2 7" xfId="2495" xr:uid="{00000000-0005-0000-0000-0000A4110000}"/>
    <cellStyle name="Normal 3 2 3 2 7 2" xfId="6778" xr:uid="{00000000-0005-0000-0000-0000A5110000}"/>
    <cellStyle name="Normal 3 2 3 2 7 2 2" xfId="15228" xr:uid="{9A27A3BB-5CC9-4830-8ADB-F46EC533EB14}"/>
    <cellStyle name="Normal 3 2 3 2 7 3" xfId="11010" xr:uid="{B2B1CE54-A9FD-4FDA-95B8-4E33159AAD94}"/>
    <cellStyle name="Normal 3 2 3 2 8" xfId="4712" xr:uid="{00000000-0005-0000-0000-0000A6110000}"/>
    <cellStyle name="Normal 3 2 3 2 8 2" xfId="13162" xr:uid="{9AFFA62D-2606-427D-976F-5C10771141B7}"/>
    <cellStyle name="Normal 3 2 3 2 9" xfId="17385" xr:uid="{77FC04A2-582C-4C37-9CFC-A69DC7826B63}"/>
    <cellStyle name="Normal 3 2 3 3" xfId="329" xr:uid="{00000000-0005-0000-0000-0000A7110000}"/>
    <cellStyle name="Normal 3 2 3 3 10" xfId="19049" xr:uid="{EA3FFC80-72A2-49B4-906B-466BA26E5EAF}"/>
    <cellStyle name="Normal 3 2 3 3 11" xfId="8946" xr:uid="{D33F585C-001C-4363-B330-666F47440B73}"/>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9D9B66BB-9447-4758-BB0B-AD743B5F4278}"/>
    <cellStyle name="Normal 3 2 3 3 2 2 3" xfId="11505" xr:uid="{143256B8-7F31-4959-B313-609816AA6D0B}"/>
    <cellStyle name="Normal 3 2 3 3 2 3" xfId="5128" xr:uid="{00000000-0005-0000-0000-0000AB110000}"/>
    <cellStyle name="Normal 3 2 3 3 2 3 2" xfId="13578" xr:uid="{C65E0977-3A67-4FF2-B8FB-0B61AE3B9E5D}"/>
    <cellStyle name="Normal 3 2 3 3 2 4" xfId="17806" xr:uid="{C0796918-3195-4455-A797-9D21A261C7B5}"/>
    <cellStyle name="Normal 3 2 3 3 2 5" xfId="18636" xr:uid="{E857149D-EE8E-40C8-A404-7C3A7A801BC0}"/>
    <cellStyle name="Normal 3 2 3 3 2 6" xfId="19465" xr:uid="{4BBB1A34-B90B-4C0B-98D8-D5678CCE5F7E}"/>
    <cellStyle name="Normal 3 2 3 3 2 7" xfId="9360" xr:uid="{46FD2E66-A088-4FD4-B6F2-6705DD7A0561}"/>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E957A7EC-18CD-4E8C-B328-319C57C85C6D}"/>
    <cellStyle name="Normal 3 2 3 3 3 2 3" xfId="11918" xr:uid="{A752A35E-30D3-4346-8A40-3B204BE795F3}"/>
    <cellStyle name="Normal 3 2 3 3 3 3" xfId="5541" xr:uid="{00000000-0005-0000-0000-0000AF110000}"/>
    <cellStyle name="Normal 3 2 3 3 3 3 2" xfId="13991" xr:uid="{A94F39E8-EC5A-4122-B4F7-59FFB77FE892}"/>
    <cellStyle name="Normal 3 2 3 3 3 4" xfId="9773" xr:uid="{5E72B179-05A4-4A0F-BE14-498433E7C9F0}"/>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60EF5F3D-9232-4468-B6CB-453EF7090EB7}"/>
    <cellStyle name="Normal 3 2 3 3 4 2 3" xfId="12331" xr:uid="{FFE6ECD2-3D1F-4D98-8922-B7BB9D9E4645}"/>
    <cellStyle name="Normal 3 2 3 3 4 3" xfId="5954" xr:uid="{00000000-0005-0000-0000-0000B3110000}"/>
    <cellStyle name="Normal 3 2 3 3 4 3 2" xfId="14404" xr:uid="{C97A93D8-A7F1-4A20-AF6A-C1280426EC1A}"/>
    <cellStyle name="Normal 3 2 3 3 4 4" xfId="10186" xr:uid="{78A56217-F8C0-492F-90CC-E1C61DC49630}"/>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0778D5B2-477D-4262-B3EF-6DACC5BA26D1}"/>
    <cellStyle name="Normal 3 2 3 3 5 2 3" xfId="12744" xr:uid="{87EA1D2D-E28D-41D6-B21E-E19DD0BB7B22}"/>
    <cellStyle name="Normal 3 2 3 3 5 3" xfId="6367" xr:uid="{00000000-0005-0000-0000-0000B7110000}"/>
    <cellStyle name="Normal 3 2 3 3 5 3 2" xfId="14817" xr:uid="{D5DEAF40-A3EF-4F57-9F8E-6FABC92D55F3}"/>
    <cellStyle name="Normal 3 2 3 3 5 4" xfId="10599" xr:uid="{389A1074-8548-4EE0-A0EC-BB4D9407740C}"/>
    <cellStyle name="Normal 3 2 3 3 6" xfId="2497" xr:uid="{00000000-0005-0000-0000-0000B8110000}"/>
    <cellStyle name="Normal 3 2 3 3 6 2" xfId="6780" xr:uid="{00000000-0005-0000-0000-0000B9110000}"/>
    <cellStyle name="Normal 3 2 3 3 6 2 2" xfId="15230" xr:uid="{EB5F531C-9676-456C-8E11-348FD007C733}"/>
    <cellStyle name="Normal 3 2 3 3 6 3" xfId="11012" xr:uid="{73D82801-694B-4E38-912D-6E2C40A5BC54}"/>
    <cellStyle name="Normal 3 2 3 3 7" xfId="4714" xr:uid="{00000000-0005-0000-0000-0000BA110000}"/>
    <cellStyle name="Normal 3 2 3 3 7 2" xfId="13164" xr:uid="{BCA9CF9E-8E7E-4C14-8F9E-33254A8BB804}"/>
    <cellStyle name="Normal 3 2 3 3 8" xfId="17387" xr:uid="{11587426-9435-47FA-8C79-04A4D201BA9A}"/>
    <cellStyle name="Normal 3 2 3 3 9" xfId="18220" xr:uid="{8096CA95-CFF0-410D-9E60-341D22FB41B8}"/>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890CF376-A035-4902-BA99-EE1F349198BB}"/>
    <cellStyle name="Normal 3 2 3 4 2 3" xfId="11502" xr:uid="{8481868E-ABA0-412F-A5C5-74F46803A82E}"/>
    <cellStyle name="Normal 3 2 3 4 3" xfId="5125" xr:uid="{00000000-0005-0000-0000-0000BE110000}"/>
    <cellStyle name="Normal 3 2 3 4 3 2" xfId="13575" xr:uid="{20B2893C-425E-4265-BF36-AEEBD875BEEB}"/>
    <cellStyle name="Normal 3 2 3 4 4" xfId="17803" xr:uid="{BA3F3B51-25FF-4F91-971D-22E74CCA0BE7}"/>
    <cellStyle name="Normal 3 2 3 4 5" xfId="18633" xr:uid="{6B28C05E-1A6D-429F-B6C5-D11F125D1DDE}"/>
    <cellStyle name="Normal 3 2 3 4 6" xfId="19462" xr:uid="{B03E5707-FCD0-4095-835D-A64B9BA79AE8}"/>
    <cellStyle name="Normal 3 2 3 4 7" xfId="9357" xr:uid="{D719E8EA-4795-4C0C-8976-D501404588B4}"/>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0BEC9881-24E5-4425-8190-968EC7403DEE}"/>
    <cellStyle name="Normal 3 2 3 5 2 3" xfId="11915" xr:uid="{BBF8203C-E7AB-4175-AB53-F3759CD2976C}"/>
    <cellStyle name="Normal 3 2 3 5 3" xfId="5538" xr:uid="{00000000-0005-0000-0000-0000C2110000}"/>
    <cellStyle name="Normal 3 2 3 5 3 2" xfId="13988" xr:uid="{6FC65E0F-786D-4736-A930-AC7F08EC6FD8}"/>
    <cellStyle name="Normal 3 2 3 5 4" xfId="9770" xr:uid="{0D939051-8462-4F81-85AD-D37D0FA3FB1D}"/>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D6D1F736-7DEF-4229-A5AF-B3841890B5D0}"/>
    <cellStyle name="Normal 3 2 3 6 2 3" xfId="12328" xr:uid="{D5BF62BE-06C7-4AFF-BD93-14149893836C}"/>
    <cellStyle name="Normal 3 2 3 6 3" xfId="5951" xr:uid="{00000000-0005-0000-0000-0000C6110000}"/>
    <cellStyle name="Normal 3 2 3 6 3 2" xfId="14401" xr:uid="{380C081A-C0BE-47FE-B8A7-ECD8C4B79943}"/>
    <cellStyle name="Normal 3 2 3 6 4" xfId="10183" xr:uid="{9B24C99D-B1C6-42B2-84F0-F20FA0D8D5F1}"/>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F6D86EA1-95EB-47C4-98A6-C493518F2CC8}"/>
    <cellStyle name="Normal 3 2 3 7 2 3" xfId="12741" xr:uid="{1E52EB87-682E-40C9-A84F-12456FCAD758}"/>
    <cellStyle name="Normal 3 2 3 7 3" xfId="6364" xr:uid="{00000000-0005-0000-0000-0000CA110000}"/>
    <cellStyle name="Normal 3 2 3 7 3 2" xfId="14814" xr:uid="{BD283DCC-DBD1-4F48-BA4B-4A4AC0A63873}"/>
    <cellStyle name="Normal 3 2 3 7 4" xfId="10596" xr:uid="{220046ED-184D-47E6-841B-ED2C5D53BB71}"/>
    <cellStyle name="Normal 3 2 3 8" xfId="2494" xr:uid="{00000000-0005-0000-0000-0000CB110000}"/>
    <cellStyle name="Normal 3 2 3 8 2" xfId="6777" xr:uid="{00000000-0005-0000-0000-0000CC110000}"/>
    <cellStyle name="Normal 3 2 3 8 2 2" xfId="15227" xr:uid="{9597FE22-DA5A-4C1A-A0DF-3857EE10815A}"/>
    <cellStyle name="Normal 3 2 3 8 3" xfId="11009" xr:uid="{D7262064-9E5A-4FAA-AB59-D9AA4773479D}"/>
    <cellStyle name="Normal 3 2 3 9" xfId="4711" xr:uid="{00000000-0005-0000-0000-0000CD110000}"/>
    <cellStyle name="Normal 3 2 3 9 2" xfId="13161" xr:uid="{91B52E77-C5E0-48D8-839A-1FB27D58182F}"/>
    <cellStyle name="Normal 3 2 4" xfId="809" xr:uid="{00000000-0005-0000-0000-0000CE110000}"/>
    <cellStyle name="Normal 3 2 4 2" xfId="3047" xr:uid="{00000000-0005-0000-0000-0000CF110000}"/>
    <cellStyle name="Normal 3 2 4 2 2" xfId="7269" xr:uid="{00000000-0005-0000-0000-0000D0110000}"/>
    <cellStyle name="Normal 3 2 4 2 2 2" xfId="15719" xr:uid="{3CD12A38-40AE-4A2C-B770-3FD5E9683A3E}"/>
    <cellStyle name="Normal 3 2 4 2 3" xfId="11501" xr:uid="{7B9FC487-1664-4C57-B3A9-837A44D60102}"/>
    <cellStyle name="Normal 3 2 4 3" xfId="5124" xr:uid="{00000000-0005-0000-0000-0000D1110000}"/>
    <cellStyle name="Normal 3 2 4 3 2" xfId="13574" xr:uid="{842F4F5B-3AA3-43D6-8295-85896D7F592A}"/>
    <cellStyle name="Normal 3 2 4 4" xfId="17802" xr:uid="{F039BBF1-200A-41D3-9779-809B220347B4}"/>
    <cellStyle name="Normal 3 2 4 5" xfId="18632" xr:uid="{89FF5CE1-38DB-469B-BF45-178FFCBBF0CB}"/>
    <cellStyle name="Normal 3 2 4 6" xfId="19461" xr:uid="{2EA4E069-B1DB-41EB-93AC-CBA6BE077108}"/>
    <cellStyle name="Normal 3 2 4 7" xfId="9356" xr:uid="{8A3E797F-145C-4859-9FC5-86FDE8DAAED0}"/>
    <cellStyle name="Normal 3 2 5" xfId="1230" xr:uid="{00000000-0005-0000-0000-0000D2110000}"/>
    <cellStyle name="Normal 3 2 5 2" xfId="3460" xr:uid="{00000000-0005-0000-0000-0000D3110000}"/>
    <cellStyle name="Normal 3 2 5 2 2" xfId="7682" xr:uid="{00000000-0005-0000-0000-0000D4110000}"/>
    <cellStyle name="Normal 3 2 5 2 2 2" xfId="16132" xr:uid="{6F3AE2D5-F330-48C2-878E-32045DCE95B8}"/>
    <cellStyle name="Normal 3 2 5 2 3" xfId="11914" xr:uid="{D68BF1C0-9ACA-4BED-B86A-946D234130E5}"/>
    <cellStyle name="Normal 3 2 5 3" xfId="5537" xr:uid="{00000000-0005-0000-0000-0000D5110000}"/>
    <cellStyle name="Normal 3 2 5 3 2" xfId="13987" xr:uid="{02EF30E6-BBB0-440D-B340-608475F79523}"/>
    <cellStyle name="Normal 3 2 5 4" xfId="9769" xr:uid="{984400EA-F10C-4376-BFE7-A16B48132786}"/>
    <cellStyle name="Normal 3 2 6" xfId="1643" xr:uid="{00000000-0005-0000-0000-0000D6110000}"/>
    <cellStyle name="Normal 3 2 6 2" xfId="3873" xr:uid="{00000000-0005-0000-0000-0000D7110000}"/>
    <cellStyle name="Normal 3 2 6 2 2" xfId="8095" xr:uid="{00000000-0005-0000-0000-0000D8110000}"/>
    <cellStyle name="Normal 3 2 6 2 2 2" xfId="16545" xr:uid="{4488A3B7-7268-4C28-A0BD-3629C76E933F}"/>
    <cellStyle name="Normal 3 2 6 2 3" xfId="12327" xr:uid="{12E514CB-AA39-4A3D-AD4A-148FDC6473B5}"/>
    <cellStyle name="Normal 3 2 6 3" xfId="5950" xr:uid="{00000000-0005-0000-0000-0000D9110000}"/>
    <cellStyle name="Normal 3 2 6 3 2" xfId="14400" xr:uid="{DD7821A1-E3D9-45D8-93C4-7DE008B771A8}"/>
    <cellStyle name="Normal 3 2 6 4" xfId="10182" xr:uid="{86B511DE-C2AF-4CC6-8F0D-D7141D4530B3}"/>
    <cellStyle name="Normal 3 2 7" xfId="2057" xr:uid="{00000000-0005-0000-0000-0000DA110000}"/>
    <cellStyle name="Normal 3 2 7 2" xfId="4286" xr:uid="{00000000-0005-0000-0000-0000DB110000}"/>
    <cellStyle name="Normal 3 2 7 2 2" xfId="8508" xr:uid="{00000000-0005-0000-0000-0000DC110000}"/>
    <cellStyle name="Normal 3 2 7 2 2 2" xfId="16958" xr:uid="{5EF86E6A-83FC-44DE-9FE1-591227A27E16}"/>
    <cellStyle name="Normal 3 2 7 2 3" xfId="12740" xr:uid="{0B0F0ADC-A97B-4ABE-8D02-578498B0E009}"/>
    <cellStyle name="Normal 3 2 7 3" xfId="6363" xr:uid="{00000000-0005-0000-0000-0000DD110000}"/>
    <cellStyle name="Normal 3 2 7 3 2" xfId="14813" xr:uid="{ED9992BC-366B-4BA6-BAA8-2AC8AEC536B3}"/>
    <cellStyle name="Normal 3 2 7 4" xfId="10595" xr:uid="{07FCBA0E-1BE9-48C4-8960-0B5B6F112E72}"/>
    <cellStyle name="Normal 3 2 8" xfId="2493" xr:uid="{00000000-0005-0000-0000-0000DE110000}"/>
    <cellStyle name="Normal 3 2 8 2" xfId="6776" xr:uid="{00000000-0005-0000-0000-0000DF110000}"/>
    <cellStyle name="Normal 3 2 8 2 2" xfId="15226" xr:uid="{32EB744C-8AB0-43F3-AEB3-BDAFA3054225}"/>
    <cellStyle name="Normal 3 2 8 3" xfId="11008" xr:uid="{F0EA5894-9CDC-4D48-A464-6729FA618D99}"/>
    <cellStyle name="Normal 3 2 9" xfId="4710" xr:uid="{00000000-0005-0000-0000-0000E0110000}"/>
    <cellStyle name="Normal 3 2 9 2" xfId="13160" xr:uid="{0ACDA563-5278-42A3-AB81-3B5ED82BD6CA}"/>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DB63FD4D-F0EA-4985-853B-B93ED33EF0B9}"/>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74E6157E-2459-41DD-8C55-8C39F94F4CBD}"/>
    <cellStyle name="Normal 4 2 2 10 2 3" xfId="12745" xr:uid="{CA73ED0C-5B33-4E44-9D94-AA0E44A272DB}"/>
    <cellStyle name="Normal 4 2 2 10 3" xfId="6368" xr:uid="{00000000-0005-0000-0000-0000ED110000}"/>
    <cellStyle name="Normal 4 2 2 10 3 2" xfId="14818" xr:uid="{220948D7-5B43-4A70-9A6D-1E0301340483}"/>
    <cellStyle name="Normal 4 2 2 10 4" xfId="10600" xr:uid="{4FA48262-A604-46EF-9785-71FCAF2EA1A5}"/>
    <cellStyle name="Normal 4 2 2 11" xfId="2498" xr:uid="{00000000-0005-0000-0000-0000EE110000}"/>
    <cellStyle name="Normal 4 2 2 11 2" xfId="6781" xr:uid="{00000000-0005-0000-0000-0000EF110000}"/>
    <cellStyle name="Normal 4 2 2 11 2 2" xfId="15231" xr:uid="{F82CDEF2-6658-4E47-8F4F-37944F3300AD}"/>
    <cellStyle name="Normal 4 2 2 11 3" xfId="11013" xr:uid="{387C939B-5975-4B4C-BCC2-DD1312946A2E}"/>
    <cellStyle name="Normal 4 2 2 12" xfId="4716" xr:uid="{00000000-0005-0000-0000-0000F0110000}"/>
    <cellStyle name="Normal 4 2 2 12 2" xfId="13166" xr:uid="{08930318-E468-4313-8566-B43106FD848B}"/>
    <cellStyle name="Normal 4 2 2 13" xfId="17388" xr:uid="{D842F4A0-537F-4D30-A1A3-DA6B7473C40D}"/>
    <cellStyle name="Normal 4 2 2 14" xfId="18221" xr:uid="{3D3F7181-BF4F-49D9-9612-C6A2555D4CCA}"/>
    <cellStyle name="Normal 4 2 2 15" xfId="19050" xr:uid="{ACBF18C7-172A-4059-A2B5-09EFBAFB8C02}"/>
    <cellStyle name="Normal 4 2 2 16" xfId="8948" xr:uid="{A0586165-7A3C-409C-91BA-9AF5DC107830}"/>
    <cellStyle name="Normal 4 2 2 2" xfId="338" xr:uid="{00000000-0005-0000-0000-0000F1110000}"/>
    <cellStyle name="Normal 4 2 2 3" xfId="339" xr:uid="{00000000-0005-0000-0000-0000F2110000}"/>
    <cellStyle name="Normal 4 2 2 3 10" xfId="4717" xr:uid="{00000000-0005-0000-0000-0000F3110000}"/>
    <cellStyle name="Normal 4 2 2 3 10 2" xfId="13167" xr:uid="{D9D81C05-C7B7-480B-916A-81B8F02BF44E}"/>
    <cellStyle name="Normal 4 2 2 3 11" xfId="17389" xr:uid="{CEC5DEAE-7590-4FF0-8524-2F9B433D63DD}"/>
    <cellStyle name="Normal 4 2 2 3 12" xfId="18222" xr:uid="{23D39FF6-8513-48C0-B0AC-C2BACFC7A23A}"/>
    <cellStyle name="Normal 4 2 2 3 13" xfId="19051" xr:uid="{E2805879-92BF-4C80-9B75-BBCA1CD9E17F}"/>
    <cellStyle name="Normal 4 2 2 3 14" xfId="8949" xr:uid="{34E281A5-70D3-4878-BAA6-5C9F9FAE6F36}"/>
    <cellStyle name="Normal 4 2 2 3 2" xfId="340" xr:uid="{00000000-0005-0000-0000-0000F4110000}"/>
    <cellStyle name="Normal 4 2 2 3 2 10" xfId="17390" xr:uid="{EA2D4EB4-F80F-4875-80DB-A56A2DFAC7BC}"/>
    <cellStyle name="Normal 4 2 2 3 2 11" xfId="18223" xr:uid="{D08E8D90-0A88-4B3E-90B8-2D8BDAE3FEE6}"/>
    <cellStyle name="Normal 4 2 2 3 2 12" xfId="19052" xr:uid="{8587F18E-1605-44D6-8826-0EB5610B5C00}"/>
    <cellStyle name="Normal 4 2 2 3 2 13" xfId="8950" xr:uid="{7A512965-5971-46F5-A7A7-C27973883EDE}"/>
    <cellStyle name="Normal 4 2 2 3 2 2" xfId="341" xr:uid="{00000000-0005-0000-0000-0000F5110000}"/>
    <cellStyle name="Normal 4 2 2 3 2 2 10" xfId="18224" xr:uid="{EA70C892-D8EA-4C99-975D-CAE24A049250}"/>
    <cellStyle name="Normal 4 2 2 3 2 2 11" xfId="19053" xr:uid="{F61EEEF4-4E4B-43C4-A4FF-04930D5F2C99}"/>
    <cellStyle name="Normal 4 2 2 3 2 2 12" xfId="8951" xr:uid="{3A99FC71-0AD2-4888-B4B2-3ED9E15A9C69}"/>
    <cellStyle name="Normal 4 2 2 3 2 2 2" xfId="342" xr:uid="{00000000-0005-0000-0000-0000F6110000}"/>
    <cellStyle name="Normal 4 2 2 3 2 2 2 10" xfId="19054" xr:uid="{16DAA0C7-3C55-48F7-96F4-3BD13FACD70C}"/>
    <cellStyle name="Normal 4 2 2 3 2 2 2 11" xfId="8952" xr:uid="{A021C99C-BAFA-46D4-894E-519928DD66EA}"/>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69455CCB-8BCF-4657-8D52-8221AE8EDEDC}"/>
    <cellStyle name="Normal 4 2 2 3 2 2 2 2 2 3" xfId="11510" xr:uid="{145E8FFB-B88E-4D28-9F5D-E3DABF4FE879}"/>
    <cellStyle name="Normal 4 2 2 3 2 2 2 2 3" xfId="5133" xr:uid="{00000000-0005-0000-0000-0000FA110000}"/>
    <cellStyle name="Normal 4 2 2 3 2 2 2 2 3 2" xfId="13583" xr:uid="{42168C33-B34D-44BC-B5CF-687870698B84}"/>
    <cellStyle name="Normal 4 2 2 3 2 2 2 2 4" xfId="17811" xr:uid="{D41A42F8-274E-4C69-A23D-B9BE5E999E69}"/>
    <cellStyle name="Normal 4 2 2 3 2 2 2 2 5" xfId="18641" xr:uid="{34551448-7AA7-4B88-837C-7E564833B6E4}"/>
    <cellStyle name="Normal 4 2 2 3 2 2 2 2 6" xfId="19470" xr:uid="{25D837E3-7135-4993-9FDF-F3E7EDFB808A}"/>
    <cellStyle name="Normal 4 2 2 3 2 2 2 2 7" xfId="9365" xr:uid="{9357460C-9310-4416-BD78-F49051E6BAA7}"/>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8C54BA2D-7348-4868-B1D7-7282E30EEC88}"/>
    <cellStyle name="Normal 4 2 2 3 2 2 2 3 2 3" xfId="11923" xr:uid="{78634CAB-D79D-4C3E-A6B4-C6E466A13FCA}"/>
    <cellStyle name="Normal 4 2 2 3 2 2 2 3 3" xfId="5546" xr:uid="{00000000-0005-0000-0000-0000FE110000}"/>
    <cellStyle name="Normal 4 2 2 3 2 2 2 3 3 2" xfId="13996" xr:uid="{2D195F26-5F93-4AE5-A6B5-32B3713EA38F}"/>
    <cellStyle name="Normal 4 2 2 3 2 2 2 3 4" xfId="9778" xr:uid="{05C27B49-FFD8-47B4-A909-E84B5F5BD697}"/>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1C385427-ABE2-4032-87A2-AC742044F41F}"/>
    <cellStyle name="Normal 4 2 2 3 2 2 2 4 2 3" xfId="12336" xr:uid="{E0975D60-E6FD-49CA-B975-E4D4E10A778C}"/>
    <cellStyle name="Normal 4 2 2 3 2 2 2 4 3" xfId="5959" xr:uid="{00000000-0005-0000-0000-000002120000}"/>
    <cellStyle name="Normal 4 2 2 3 2 2 2 4 3 2" xfId="14409" xr:uid="{E9F5F6C0-3136-45AE-B7FF-E85FEEEB2141}"/>
    <cellStyle name="Normal 4 2 2 3 2 2 2 4 4" xfId="10191" xr:uid="{A5C1A102-49F2-4971-BAF2-85F61BE004AE}"/>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E1DAA77D-0284-46BF-B769-EB07A43FCA33}"/>
    <cellStyle name="Normal 4 2 2 3 2 2 2 5 2 3" xfId="12749" xr:uid="{FDF8A6E4-05E0-4888-A41D-1539D6146B82}"/>
    <cellStyle name="Normal 4 2 2 3 2 2 2 5 3" xfId="6372" xr:uid="{00000000-0005-0000-0000-000006120000}"/>
    <cellStyle name="Normal 4 2 2 3 2 2 2 5 3 2" xfId="14822" xr:uid="{76A952C4-7AAD-47AB-9128-6C15E1149091}"/>
    <cellStyle name="Normal 4 2 2 3 2 2 2 5 4" xfId="10604" xr:uid="{9B828B6D-8915-40EF-AEDA-4998A58C08DA}"/>
    <cellStyle name="Normal 4 2 2 3 2 2 2 6" xfId="2502" xr:uid="{00000000-0005-0000-0000-000007120000}"/>
    <cellStyle name="Normal 4 2 2 3 2 2 2 6 2" xfId="6785" xr:uid="{00000000-0005-0000-0000-000008120000}"/>
    <cellStyle name="Normal 4 2 2 3 2 2 2 6 2 2" xfId="15235" xr:uid="{76845C42-B2DE-4E59-AB1C-A94A86BC0A28}"/>
    <cellStyle name="Normal 4 2 2 3 2 2 2 6 3" xfId="11017" xr:uid="{FC8A077D-03E4-42A1-A658-D562A4426200}"/>
    <cellStyle name="Normal 4 2 2 3 2 2 2 7" xfId="4720" xr:uid="{00000000-0005-0000-0000-000009120000}"/>
    <cellStyle name="Normal 4 2 2 3 2 2 2 7 2" xfId="13170" xr:uid="{B670AC96-7C94-462E-B6BC-DA95006CE368}"/>
    <cellStyle name="Normal 4 2 2 3 2 2 2 8" xfId="17392" xr:uid="{4AC73772-0B44-4E83-B97F-0ED215BC711F}"/>
    <cellStyle name="Normal 4 2 2 3 2 2 2 9" xfId="18225" xr:uid="{CDEEA51D-DA25-4941-AB29-EAF3DBE5A577}"/>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6F826ED7-CB84-45FA-8CE5-0ABFD9EEF068}"/>
    <cellStyle name="Normal 4 2 2 3 2 2 3 2 3" xfId="11509" xr:uid="{FD672A25-82C1-4076-AABC-2B4E7742D3E9}"/>
    <cellStyle name="Normal 4 2 2 3 2 2 3 3" xfId="5132" xr:uid="{00000000-0005-0000-0000-00000D120000}"/>
    <cellStyle name="Normal 4 2 2 3 2 2 3 3 2" xfId="13582" xr:uid="{3262BF6E-9A7A-4D02-B69F-2073C15956C7}"/>
    <cellStyle name="Normal 4 2 2 3 2 2 3 4" xfId="17810" xr:uid="{51E6A1BA-4490-4331-98BB-76CAEAA090A0}"/>
    <cellStyle name="Normal 4 2 2 3 2 2 3 5" xfId="18640" xr:uid="{E4F566ED-1435-407A-9281-669928BCF63E}"/>
    <cellStyle name="Normal 4 2 2 3 2 2 3 6" xfId="19469" xr:uid="{C9D22461-4700-4C4B-94CB-F08FDA605FDA}"/>
    <cellStyle name="Normal 4 2 2 3 2 2 3 7" xfId="9364" xr:uid="{D94252E0-8959-4483-9F46-74EB400FA943}"/>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6B27DCAF-883D-418A-B830-61C439BCD36B}"/>
    <cellStyle name="Normal 4 2 2 3 2 2 4 2 3" xfId="11922" xr:uid="{46628122-52C3-466C-8F41-13338CDD639A}"/>
    <cellStyle name="Normal 4 2 2 3 2 2 4 3" xfId="5545" xr:uid="{00000000-0005-0000-0000-000011120000}"/>
    <cellStyle name="Normal 4 2 2 3 2 2 4 3 2" xfId="13995" xr:uid="{32C96A55-DE2C-4302-85F1-1D638EB69883}"/>
    <cellStyle name="Normal 4 2 2 3 2 2 4 4" xfId="9777" xr:uid="{B8A5A054-A639-4993-BF00-6FFF6660E532}"/>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F8F7AE12-9E68-4D69-AD8E-A1043CF95E58}"/>
    <cellStyle name="Normal 4 2 2 3 2 2 5 2 3" xfId="12335" xr:uid="{41121D79-D28B-489D-948C-B83FC8EF1790}"/>
    <cellStyle name="Normal 4 2 2 3 2 2 5 3" xfId="5958" xr:uid="{00000000-0005-0000-0000-000015120000}"/>
    <cellStyle name="Normal 4 2 2 3 2 2 5 3 2" xfId="14408" xr:uid="{8A9994F7-690C-4E26-9E00-5C99210DE4D4}"/>
    <cellStyle name="Normal 4 2 2 3 2 2 5 4" xfId="10190" xr:uid="{02DABCED-8367-493A-98E7-386D187E8348}"/>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9A3021DD-04A7-48F4-BFB2-7AF0C4E3EAE5}"/>
    <cellStyle name="Normal 4 2 2 3 2 2 6 2 3" xfId="12748" xr:uid="{CFD0AEA0-3EEB-4C64-B36C-53DEA20373BB}"/>
    <cellStyle name="Normal 4 2 2 3 2 2 6 3" xfId="6371" xr:uid="{00000000-0005-0000-0000-000019120000}"/>
    <cellStyle name="Normal 4 2 2 3 2 2 6 3 2" xfId="14821" xr:uid="{0F4E7AB3-0082-4459-BAD4-C9DBF87A3440}"/>
    <cellStyle name="Normal 4 2 2 3 2 2 6 4" xfId="10603" xr:uid="{C4053AE3-475D-4622-BD4A-0CD2B28FC438}"/>
    <cellStyle name="Normal 4 2 2 3 2 2 7" xfId="2501" xr:uid="{00000000-0005-0000-0000-00001A120000}"/>
    <cellStyle name="Normal 4 2 2 3 2 2 7 2" xfId="6784" xr:uid="{00000000-0005-0000-0000-00001B120000}"/>
    <cellStyle name="Normal 4 2 2 3 2 2 7 2 2" xfId="15234" xr:uid="{682F2743-0303-4C35-B81B-65828AEF070E}"/>
    <cellStyle name="Normal 4 2 2 3 2 2 7 3" xfId="11016" xr:uid="{203C6CF2-C2D2-4EF8-BF94-16D3FAF5335F}"/>
    <cellStyle name="Normal 4 2 2 3 2 2 8" xfId="4719" xr:uid="{00000000-0005-0000-0000-00001C120000}"/>
    <cellStyle name="Normal 4 2 2 3 2 2 8 2" xfId="13169" xr:uid="{68F2BD43-A65C-4E20-9E93-AE9BF44CC443}"/>
    <cellStyle name="Normal 4 2 2 3 2 2 9" xfId="17391" xr:uid="{AF4B760A-208D-4E49-875E-40C0C4B2C700}"/>
    <cellStyle name="Normal 4 2 2 3 2 3" xfId="343" xr:uid="{00000000-0005-0000-0000-00001D120000}"/>
    <cellStyle name="Normal 4 2 2 3 2 3 10" xfId="19055" xr:uid="{1F02ECFD-621D-435D-A759-305C7A3FE19B}"/>
    <cellStyle name="Normal 4 2 2 3 2 3 11" xfId="8953" xr:uid="{D9255B0E-0C67-48E8-9AEF-D8B0A792D1B4}"/>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0332AC1A-7176-4AC1-B2CE-3B7F17EC543D}"/>
    <cellStyle name="Normal 4 2 2 3 2 3 2 2 3" xfId="11511" xr:uid="{D58E1ABF-BE25-4621-91E5-7DCF023F21C4}"/>
    <cellStyle name="Normal 4 2 2 3 2 3 2 3" xfId="5134" xr:uid="{00000000-0005-0000-0000-000021120000}"/>
    <cellStyle name="Normal 4 2 2 3 2 3 2 3 2" xfId="13584" xr:uid="{CC9B8B4C-5074-4758-89D0-FBFB4ABCB27A}"/>
    <cellStyle name="Normal 4 2 2 3 2 3 2 4" xfId="17812" xr:uid="{733F2358-19B4-4DD0-85E1-F36F3E12777C}"/>
    <cellStyle name="Normal 4 2 2 3 2 3 2 5" xfId="18642" xr:uid="{597BCAAD-62EC-4456-8D83-1B1BAF876C7B}"/>
    <cellStyle name="Normal 4 2 2 3 2 3 2 6" xfId="19471" xr:uid="{56434B5D-6C27-4C4D-B58B-F219DFE01080}"/>
    <cellStyle name="Normal 4 2 2 3 2 3 2 7" xfId="9366" xr:uid="{BBFB984C-2940-49E0-B306-702E3EC893A3}"/>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29F5A2A0-2815-4BF9-A709-2CFF5EA97F54}"/>
    <cellStyle name="Normal 4 2 2 3 2 3 3 2 3" xfId="11924" xr:uid="{F30AD5F9-39B1-4DE4-8A05-FFEEBECB3F9D}"/>
    <cellStyle name="Normal 4 2 2 3 2 3 3 3" xfId="5547" xr:uid="{00000000-0005-0000-0000-000025120000}"/>
    <cellStyle name="Normal 4 2 2 3 2 3 3 3 2" xfId="13997" xr:uid="{A6D30881-A450-40F3-83BC-D40734B46955}"/>
    <cellStyle name="Normal 4 2 2 3 2 3 3 4" xfId="9779" xr:uid="{F44FEF28-CF40-4A96-A4BB-72081341FDD8}"/>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483EE553-AC25-4C32-BB1F-8C1E73E4F057}"/>
    <cellStyle name="Normal 4 2 2 3 2 3 4 2 3" xfId="12337" xr:uid="{6C6CA518-6CF4-4CE5-8AAA-CBE0C9E9A354}"/>
    <cellStyle name="Normal 4 2 2 3 2 3 4 3" xfId="5960" xr:uid="{00000000-0005-0000-0000-000029120000}"/>
    <cellStyle name="Normal 4 2 2 3 2 3 4 3 2" xfId="14410" xr:uid="{86432287-1617-487E-9E74-6B0E435316FD}"/>
    <cellStyle name="Normal 4 2 2 3 2 3 4 4" xfId="10192" xr:uid="{6EBCF171-B4BA-4EFD-B270-71C8BEF584A7}"/>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EE22C1DD-1477-4D90-BF64-E65D6758E87D}"/>
    <cellStyle name="Normal 4 2 2 3 2 3 5 2 3" xfId="12750" xr:uid="{226BD72C-A35D-450C-A145-AFB2D6B45507}"/>
    <cellStyle name="Normal 4 2 2 3 2 3 5 3" xfId="6373" xr:uid="{00000000-0005-0000-0000-00002D120000}"/>
    <cellStyle name="Normal 4 2 2 3 2 3 5 3 2" xfId="14823" xr:uid="{E8135B0C-41AB-46C1-BE70-C21ED9E6200A}"/>
    <cellStyle name="Normal 4 2 2 3 2 3 5 4" xfId="10605" xr:uid="{9DE8E1FD-134F-4997-BEA5-24D003E14029}"/>
    <cellStyle name="Normal 4 2 2 3 2 3 6" xfId="2503" xr:uid="{00000000-0005-0000-0000-00002E120000}"/>
    <cellStyle name="Normal 4 2 2 3 2 3 6 2" xfId="6786" xr:uid="{00000000-0005-0000-0000-00002F120000}"/>
    <cellStyle name="Normal 4 2 2 3 2 3 6 2 2" xfId="15236" xr:uid="{B4F5955A-5DFB-4A78-9953-1D3908C00AA1}"/>
    <cellStyle name="Normal 4 2 2 3 2 3 6 3" xfId="11018" xr:uid="{1AC23420-2FC5-4D5E-B597-74853C9864EE}"/>
    <cellStyle name="Normal 4 2 2 3 2 3 7" xfId="4721" xr:uid="{00000000-0005-0000-0000-000030120000}"/>
    <cellStyle name="Normal 4 2 2 3 2 3 7 2" xfId="13171" xr:uid="{6F5D8E66-5D91-4398-8E25-0A82A30693EA}"/>
    <cellStyle name="Normal 4 2 2 3 2 3 8" xfId="17393" xr:uid="{52162626-EC80-480E-8746-5A39FEE5D85D}"/>
    <cellStyle name="Normal 4 2 2 3 2 3 9" xfId="18226" xr:uid="{1F8B5464-6F51-4D4C-A4BD-E384132D282C}"/>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F53032FC-0DC9-4294-8153-64D9FA7E3C92}"/>
    <cellStyle name="Normal 4 2 2 3 2 4 2 3" xfId="11508" xr:uid="{048DD0D9-BEBB-48EA-8BC5-A59CCD559DBD}"/>
    <cellStyle name="Normal 4 2 2 3 2 4 3" xfId="5131" xr:uid="{00000000-0005-0000-0000-000034120000}"/>
    <cellStyle name="Normal 4 2 2 3 2 4 3 2" xfId="13581" xr:uid="{DFFE1F56-F128-4E2A-AACA-19CF23955E82}"/>
    <cellStyle name="Normal 4 2 2 3 2 4 4" xfId="17809" xr:uid="{F4514179-CEE2-4FFC-BF0D-2F78DAEA20AB}"/>
    <cellStyle name="Normal 4 2 2 3 2 4 5" xfId="18639" xr:uid="{D6410CB9-B08B-4D14-8C5F-E00CB50DEC48}"/>
    <cellStyle name="Normal 4 2 2 3 2 4 6" xfId="19468" xr:uid="{DD350C91-2063-400B-A6C3-B797B16C5319}"/>
    <cellStyle name="Normal 4 2 2 3 2 4 7" xfId="9363" xr:uid="{C1BA2B0D-C899-41EE-90F4-FA1E50D1584D}"/>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EA423CA8-57F4-47BF-91E0-2E17ACC4E3C0}"/>
    <cellStyle name="Normal 4 2 2 3 2 5 2 3" xfId="11921" xr:uid="{D6EE7566-FB80-4F3B-9722-0B1492DFE3D6}"/>
    <cellStyle name="Normal 4 2 2 3 2 5 3" xfId="5544" xr:uid="{00000000-0005-0000-0000-000038120000}"/>
    <cellStyle name="Normal 4 2 2 3 2 5 3 2" xfId="13994" xr:uid="{63115D39-B388-42E1-9020-C03A7733C621}"/>
    <cellStyle name="Normal 4 2 2 3 2 5 4" xfId="9776" xr:uid="{2655F25D-63F6-44BA-AB8E-CF7D257136CF}"/>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C729CFFA-9A71-4130-8435-181D1CE88631}"/>
    <cellStyle name="Normal 4 2 2 3 2 6 2 3" xfId="12334" xr:uid="{3FF1F349-68B3-4F01-AD2A-B50BDF7F2DB2}"/>
    <cellStyle name="Normal 4 2 2 3 2 6 3" xfId="5957" xr:uid="{00000000-0005-0000-0000-00003C120000}"/>
    <cellStyle name="Normal 4 2 2 3 2 6 3 2" xfId="14407" xr:uid="{DCA41400-6398-4543-91F2-F19D3DB4CBE6}"/>
    <cellStyle name="Normal 4 2 2 3 2 6 4" xfId="10189" xr:uid="{732705F8-D06A-47D4-9DC4-2BCDC22025DD}"/>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3B0EB6BC-2299-4BFB-892F-87546EFB0B84}"/>
    <cellStyle name="Normal 4 2 2 3 2 7 2 3" xfId="12747" xr:uid="{C733FECB-6266-4913-AB0A-71A4AEA676BA}"/>
    <cellStyle name="Normal 4 2 2 3 2 7 3" xfId="6370" xr:uid="{00000000-0005-0000-0000-000040120000}"/>
    <cellStyle name="Normal 4 2 2 3 2 7 3 2" xfId="14820" xr:uid="{C9A69BD5-409C-42B1-B223-0E311367F44F}"/>
    <cellStyle name="Normal 4 2 2 3 2 7 4" xfId="10602" xr:uid="{C71E506D-FD26-4553-A8FA-110831F0E5AA}"/>
    <cellStyle name="Normal 4 2 2 3 2 8" xfId="2500" xr:uid="{00000000-0005-0000-0000-000041120000}"/>
    <cellStyle name="Normal 4 2 2 3 2 8 2" xfId="6783" xr:uid="{00000000-0005-0000-0000-000042120000}"/>
    <cellStyle name="Normal 4 2 2 3 2 8 2 2" xfId="15233" xr:uid="{52F15A93-831F-49EE-B761-FF9D6A9D8B66}"/>
    <cellStyle name="Normal 4 2 2 3 2 8 3" xfId="11015" xr:uid="{5A068070-E166-4AF4-A9A7-BB69434B4696}"/>
    <cellStyle name="Normal 4 2 2 3 2 9" xfId="4718" xr:uid="{00000000-0005-0000-0000-000043120000}"/>
    <cellStyle name="Normal 4 2 2 3 2 9 2" xfId="13168" xr:uid="{BD41C105-A86D-40AD-97F1-E2203F57AE3E}"/>
    <cellStyle name="Normal 4 2 2 3 3" xfId="344" xr:uid="{00000000-0005-0000-0000-000044120000}"/>
    <cellStyle name="Normal 4 2 2 3 3 10" xfId="18227" xr:uid="{C23D0D14-96DB-44F6-8F57-2D0DC6FD4F3A}"/>
    <cellStyle name="Normal 4 2 2 3 3 11" xfId="19056" xr:uid="{0F56AC71-CF6D-4BC3-A677-882F3898069E}"/>
    <cellStyle name="Normal 4 2 2 3 3 12" xfId="8954" xr:uid="{3EDD5686-9744-4000-9908-ABFF5BD8B1C4}"/>
    <cellStyle name="Normal 4 2 2 3 3 2" xfId="345" xr:uid="{00000000-0005-0000-0000-000045120000}"/>
    <cellStyle name="Normal 4 2 2 3 3 2 10" xfId="19057" xr:uid="{77315DE2-2B67-4AFE-A08C-8455C39201B2}"/>
    <cellStyle name="Normal 4 2 2 3 3 2 11" xfId="8955" xr:uid="{4EA55422-8A82-4A5A-ADF8-99EAFA2C496C}"/>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8AC31707-94DA-495D-BDFC-A7E31A4E79C4}"/>
    <cellStyle name="Normal 4 2 2 3 3 2 2 2 3" xfId="11513" xr:uid="{CCADF0C0-0500-4A37-8C53-B1090E5F70A9}"/>
    <cellStyle name="Normal 4 2 2 3 3 2 2 3" xfId="5136" xr:uid="{00000000-0005-0000-0000-000049120000}"/>
    <cellStyle name="Normal 4 2 2 3 3 2 2 3 2" xfId="13586" xr:uid="{2D9F93E3-5104-4E90-B121-7BC777C2E564}"/>
    <cellStyle name="Normal 4 2 2 3 3 2 2 4" xfId="17814" xr:uid="{68B68480-FA2F-43B0-AA80-CE2ECDFC56E4}"/>
    <cellStyle name="Normal 4 2 2 3 3 2 2 5" xfId="18644" xr:uid="{D41DDD97-47B7-419C-B49B-D60BE8D285E9}"/>
    <cellStyle name="Normal 4 2 2 3 3 2 2 6" xfId="19473" xr:uid="{D5172527-3DE1-4345-BCBF-473DBD061405}"/>
    <cellStyle name="Normal 4 2 2 3 3 2 2 7" xfId="9368" xr:uid="{815CA1A2-0A2D-415C-AFEC-69953C53BCC7}"/>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289408E3-1993-4865-AC6C-141310BE64AF}"/>
    <cellStyle name="Normal 4 2 2 3 3 2 3 2 3" xfId="11926" xr:uid="{AC58DCF8-B0F2-4C64-8A65-7162D1E8BCEE}"/>
    <cellStyle name="Normal 4 2 2 3 3 2 3 3" xfId="5549" xr:uid="{00000000-0005-0000-0000-00004D120000}"/>
    <cellStyle name="Normal 4 2 2 3 3 2 3 3 2" xfId="13999" xr:uid="{DADF5D2C-EB65-47FB-9073-B2A5A6E50D9A}"/>
    <cellStyle name="Normal 4 2 2 3 3 2 3 4" xfId="9781" xr:uid="{FD15575F-22C9-40FD-9876-75A292F3B343}"/>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CB37564E-947A-47A5-A687-99F9EB154B23}"/>
    <cellStyle name="Normal 4 2 2 3 3 2 4 2 3" xfId="12339" xr:uid="{A5342B70-A52D-41AE-8D4D-D2CB3A693A84}"/>
    <cellStyle name="Normal 4 2 2 3 3 2 4 3" xfId="5962" xr:uid="{00000000-0005-0000-0000-000051120000}"/>
    <cellStyle name="Normal 4 2 2 3 3 2 4 3 2" xfId="14412" xr:uid="{554229FB-6769-4428-AAF6-984B101D80D3}"/>
    <cellStyle name="Normal 4 2 2 3 3 2 4 4" xfId="10194" xr:uid="{2658F0D4-2C6C-4534-AB09-50B0B20C2E09}"/>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B8614887-1A61-4E5E-96D9-624086F265B4}"/>
    <cellStyle name="Normal 4 2 2 3 3 2 5 2 3" xfId="12752" xr:uid="{8DB94DAC-E460-42FA-887F-FFC177F758CD}"/>
    <cellStyle name="Normal 4 2 2 3 3 2 5 3" xfId="6375" xr:uid="{00000000-0005-0000-0000-000055120000}"/>
    <cellStyle name="Normal 4 2 2 3 3 2 5 3 2" xfId="14825" xr:uid="{9E98913C-2499-456D-BE1E-36963E07217B}"/>
    <cellStyle name="Normal 4 2 2 3 3 2 5 4" xfId="10607" xr:uid="{DA2BAFCD-41DC-41FE-81B8-BEA5E85C9628}"/>
    <cellStyle name="Normal 4 2 2 3 3 2 6" xfId="2505" xr:uid="{00000000-0005-0000-0000-000056120000}"/>
    <cellStyle name="Normal 4 2 2 3 3 2 6 2" xfId="6788" xr:uid="{00000000-0005-0000-0000-000057120000}"/>
    <cellStyle name="Normal 4 2 2 3 3 2 6 2 2" xfId="15238" xr:uid="{FDBC1644-2BF8-418C-BD02-6B06BDEE00EC}"/>
    <cellStyle name="Normal 4 2 2 3 3 2 6 3" xfId="11020" xr:uid="{C0DA2F35-98A3-41BD-AB7E-889C66E918C1}"/>
    <cellStyle name="Normal 4 2 2 3 3 2 7" xfId="4723" xr:uid="{00000000-0005-0000-0000-000058120000}"/>
    <cellStyle name="Normal 4 2 2 3 3 2 7 2" xfId="13173" xr:uid="{23261307-3FFD-465A-9CCE-E4892866B0D3}"/>
    <cellStyle name="Normal 4 2 2 3 3 2 8" xfId="17395" xr:uid="{B54A5995-2F05-4CF8-85A6-D2273631CCC4}"/>
    <cellStyle name="Normal 4 2 2 3 3 2 9" xfId="18228" xr:uid="{F483FC5E-B1F8-4DB3-A3B5-BAFEF9667AA5}"/>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D0742BB5-B923-4EA7-8C9D-919913A978BF}"/>
    <cellStyle name="Normal 4 2 2 3 3 3 2 3" xfId="11512" xr:uid="{E38504AE-94A1-4371-BD08-512F4063EEC7}"/>
    <cellStyle name="Normal 4 2 2 3 3 3 3" xfId="5135" xr:uid="{00000000-0005-0000-0000-00005C120000}"/>
    <cellStyle name="Normal 4 2 2 3 3 3 3 2" xfId="13585" xr:uid="{7CFB78C0-C0F3-4DAE-8838-3C210511A501}"/>
    <cellStyle name="Normal 4 2 2 3 3 3 4" xfId="17813" xr:uid="{DF8D661D-7F6A-4018-96B0-85C3458EABA2}"/>
    <cellStyle name="Normal 4 2 2 3 3 3 5" xfId="18643" xr:uid="{18E59AA2-ECBC-4096-A2AC-6EEB8DE69955}"/>
    <cellStyle name="Normal 4 2 2 3 3 3 6" xfId="19472" xr:uid="{C852D212-2378-4A7D-B697-DDA7D1CB1409}"/>
    <cellStyle name="Normal 4 2 2 3 3 3 7" xfId="9367" xr:uid="{B68ED8F0-24D8-4004-A128-6ACE26E738CD}"/>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109C67BC-2C5A-40FF-B4FC-8C573BEB0680}"/>
    <cellStyle name="Normal 4 2 2 3 3 4 2 3" xfId="11925" xr:uid="{D7783CAF-6B3A-48B6-B19B-3A07FA38B212}"/>
    <cellStyle name="Normal 4 2 2 3 3 4 3" xfId="5548" xr:uid="{00000000-0005-0000-0000-000060120000}"/>
    <cellStyle name="Normal 4 2 2 3 3 4 3 2" xfId="13998" xr:uid="{682BDCCF-05C5-4090-99EC-4856A30B3BE4}"/>
    <cellStyle name="Normal 4 2 2 3 3 4 4" xfId="9780" xr:uid="{0F721C32-D783-4541-9D63-B6FAE03B931A}"/>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F3461BB8-456C-4C9B-BCEB-D8180FDF9B31}"/>
    <cellStyle name="Normal 4 2 2 3 3 5 2 3" xfId="12338" xr:uid="{2C0ACDEF-826A-49C5-9F96-387BA216EF85}"/>
    <cellStyle name="Normal 4 2 2 3 3 5 3" xfId="5961" xr:uid="{00000000-0005-0000-0000-000064120000}"/>
    <cellStyle name="Normal 4 2 2 3 3 5 3 2" xfId="14411" xr:uid="{8EEE8838-935B-46FD-9AC3-7C9D47962E8B}"/>
    <cellStyle name="Normal 4 2 2 3 3 5 4" xfId="10193" xr:uid="{D403895E-FEC7-4128-9819-E5B4DB194AE2}"/>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B36FE30D-23CF-4FDC-A666-33C0D4C0DB1D}"/>
    <cellStyle name="Normal 4 2 2 3 3 6 2 3" xfId="12751" xr:uid="{7CD10422-DF17-4D25-8146-94ED2101A04E}"/>
    <cellStyle name="Normal 4 2 2 3 3 6 3" xfId="6374" xr:uid="{00000000-0005-0000-0000-000068120000}"/>
    <cellStyle name="Normal 4 2 2 3 3 6 3 2" xfId="14824" xr:uid="{25B27243-37D0-4567-A0A9-ECA4FD6E154D}"/>
    <cellStyle name="Normal 4 2 2 3 3 6 4" xfId="10606" xr:uid="{BF55B53D-2E46-496A-8852-9F256B41ACFB}"/>
    <cellStyle name="Normal 4 2 2 3 3 7" xfId="2504" xr:uid="{00000000-0005-0000-0000-000069120000}"/>
    <cellStyle name="Normal 4 2 2 3 3 7 2" xfId="6787" xr:uid="{00000000-0005-0000-0000-00006A120000}"/>
    <cellStyle name="Normal 4 2 2 3 3 7 2 2" xfId="15237" xr:uid="{1E398ECC-1FA6-4B68-B35A-B17E533F69EC}"/>
    <cellStyle name="Normal 4 2 2 3 3 7 3" xfId="11019" xr:uid="{EFDBFBE2-51EC-48A2-8C5E-70C82198CD39}"/>
    <cellStyle name="Normal 4 2 2 3 3 8" xfId="4722" xr:uid="{00000000-0005-0000-0000-00006B120000}"/>
    <cellStyle name="Normal 4 2 2 3 3 8 2" xfId="13172" xr:uid="{F03379D7-F314-4D96-8485-29855E237FEE}"/>
    <cellStyle name="Normal 4 2 2 3 3 9" xfId="17394" xr:uid="{5D7288C8-B742-4DF9-9AE9-1B1E339C6142}"/>
    <cellStyle name="Normal 4 2 2 3 4" xfId="346" xr:uid="{00000000-0005-0000-0000-00006C120000}"/>
    <cellStyle name="Normal 4 2 2 3 4 10" xfId="19058" xr:uid="{CDF213F6-ADD1-471F-BED4-FBA9134FD1BD}"/>
    <cellStyle name="Normal 4 2 2 3 4 11" xfId="8956" xr:uid="{A6931602-93B2-4EED-8DB8-231D2A51CB9F}"/>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9C9FC41C-DEDF-481C-98FF-DBA7B940A1BE}"/>
    <cellStyle name="Normal 4 2 2 3 4 2 2 3" xfId="11514" xr:uid="{82B90985-5E97-4894-9781-1F0D5B04108F}"/>
    <cellStyle name="Normal 4 2 2 3 4 2 3" xfId="5137" xr:uid="{00000000-0005-0000-0000-000070120000}"/>
    <cellStyle name="Normal 4 2 2 3 4 2 3 2" xfId="13587" xr:uid="{52EB44BF-9B0A-4987-B79F-96806216DB2D}"/>
    <cellStyle name="Normal 4 2 2 3 4 2 4" xfId="17815" xr:uid="{EFB17869-CBDB-4FEC-911F-C83CDF813823}"/>
    <cellStyle name="Normal 4 2 2 3 4 2 5" xfId="18645" xr:uid="{ADF00677-91CD-4396-872C-4F1632839F05}"/>
    <cellStyle name="Normal 4 2 2 3 4 2 6" xfId="19474" xr:uid="{2DB48B73-3B78-424F-B2A2-02FE1A85BE0D}"/>
    <cellStyle name="Normal 4 2 2 3 4 2 7" xfId="9369" xr:uid="{C030FA1D-FAA3-4494-B816-8453596C383D}"/>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11C30DEB-9F1B-4231-857C-FCA97F463B1A}"/>
    <cellStyle name="Normal 4 2 2 3 4 3 2 3" xfId="11927" xr:uid="{2E338758-1C67-405D-837E-5C209083DEF3}"/>
    <cellStyle name="Normal 4 2 2 3 4 3 3" xfId="5550" xr:uid="{00000000-0005-0000-0000-000074120000}"/>
    <cellStyle name="Normal 4 2 2 3 4 3 3 2" xfId="14000" xr:uid="{2DEF3D3F-B302-414C-9812-579CC5F9B06D}"/>
    <cellStyle name="Normal 4 2 2 3 4 3 4" xfId="9782" xr:uid="{4EB97343-67D4-4F2F-8958-9642EAD6838A}"/>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A6C87567-16B8-4681-8874-432E405276A3}"/>
    <cellStyle name="Normal 4 2 2 3 4 4 2 3" xfId="12340" xr:uid="{6AE0A926-3150-49A0-A9DE-8BA99C9AC958}"/>
    <cellStyle name="Normal 4 2 2 3 4 4 3" xfId="5963" xr:uid="{00000000-0005-0000-0000-000078120000}"/>
    <cellStyle name="Normal 4 2 2 3 4 4 3 2" xfId="14413" xr:uid="{57E9CA1C-C101-4B00-BBAF-0271DC3AFECD}"/>
    <cellStyle name="Normal 4 2 2 3 4 4 4" xfId="10195" xr:uid="{E9297B36-0C3D-4DA2-9DC1-F858C0757364}"/>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1AF44890-328F-4A1D-93E3-29C10B291BB7}"/>
    <cellStyle name="Normal 4 2 2 3 4 5 2 3" xfId="12753" xr:uid="{2892688F-510E-4181-B9A1-2F11A1D24635}"/>
    <cellStyle name="Normal 4 2 2 3 4 5 3" xfId="6376" xr:uid="{00000000-0005-0000-0000-00007C120000}"/>
    <cellStyle name="Normal 4 2 2 3 4 5 3 2" xfId="14826" xr:uid="{81A4B070-DBBF-4BB9-80F4-509397531C73}"/>
    <cellStyle name="Normal 4 2 2 3 4 5 4" xfId="10608" xr:uid="{AD742940-3322-4ADE-986B-59AD3F23455D}"/>
    <cellStyle name="Normal 4 2 2 3 4 6" xfId="2506" xr:uid="{00000000-0005-0000-0000-00007D120000}"/>
    <cellStyle name="Normal 4 2 2 3 4 6 2" xfId="6789" xr:uid="{00000000-0005-0000-0000-00007E120000}"/>
    <cellStyle name="Normal 4 2 2 3 4 6 2 2" xfId="15239" xr:uid="{94E7146D-A532-42FB-817C-C84F41666D69}"/>
    <cellStyle name="Normal 4 2 2 3 4 6 3" xfId="11021" xr:uid="{18DEB5E5-E1EF-41FD-A3FE-2A8E00989E0D}"/>
    <cellStyle name="Normal 4 2 2 3 4 7" xfId="4724" xr:uid="{00000000-0005-0000-0000-00007F120000}"/>
    <cellStyle name="Normal 4 2 2 3 4 7 2" xfId="13174" xr:uid="{9D674523-7BF0-4912-ACA4-785FFDA24481}"/>
    <cellStyle name="Normal 4 2 2 3 4 8" xfId="17396" xr:uid="{EAA31738-3CB9-4479-9A2B-C42AFAC7BE9B}"/>
    <cellStyle name="Normal 4 2 2 3 4 9" xfId="18229" xr:uid="{3DE579E9-C516-4F69-B8A4-F2204447513B}"/>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7B163ACD-85CA-4492-A60B-BB21D21FF42F}"/>
    <cellStyle name="Normal 4 2 2 3 5 2 3" xfId="11507" xr:uid="{33A69641-E2C1-4F14-BF50-CD3842F88625}"/>
    <cellStyle name="Normal 4 2 2 3 5 3" xfId="5130" xr:uid="{00000000-0005-0000-0000-000083120000}"/>
    <cellStyle name="Normal 4 2 2 3 5 3 2" xfId="13580" xr:uid="{40766851-5A6D-403C-AA59-2004FEB36690}"/>
    <cellStyle name="Normal 4 2 2 3 5 4" xfId="17808" xr:uid="{C06661D8-D65B-4B34-8527-4B4EE930C96D}"/>
    <cellStyle name="Normal 4 2 2 3 5 5" xfId="18638" xr:uid="{BFC779EE-20E0-40A9-92AF-0A3BC9941F75}"/>
    <cellStyle name="Normal 4 2 2 3 5 6" xfId="19467" xr:uid="{46FF3D92-9F7F-4786-A002-61B4B6532900}"/>
    <cellStyle name="Normal 4 2 2 3 5 7" xfId="9362" xr:uid="{45715A4C-F1D1-4BED-A1E0-CB904EBF02C8}"/>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A5A559D9-9EF6-479B-BD0B-ED329D2E4617}"/>
    <cellStyle name="Normal 4 2 2 3 6 2 3" xfId="11920" xr:uid="{E27CD32B-36AE-415D-A800-FEAA1E493275}"/>
    <cellStyle name="Normal 4 2 2 3 6 3" xfId="5543" xr:uid="{00000000-0005-0000-0000-000087120000}"/>
    <cellStyle name="Normal 4 2 2 3 6 3 2" xfId="13993" xr:uid="{9E084A89-8FC3-4A07-92FB-1748C5EE3AC2}"/>
    <cellStyle name="Normal 4 2 2 3 6 4" xfId="9775" xr:uid="{CA9F57AD-1A21-410A-B05F-5362BEA36C58}"/>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1252C0FB-D757-4C8F-8B90-626CF66938FA}"/>
    <cellStyle name="Normal 4 2 2 3 7 2 3" xfId="12333" xr:uid="{3F69C822-1CC4-4906-8920-341C51DC166A}"/>
    <cellStyle name="Normal 4 2 2 3 7 3" xfId="5956" xr:uid="{00000000-0005-0000-0000-00008B120000}"/>
    <cellStyle name="Normal 4 2 2 3 7 3 2" xfId="14406" xr:uid="{A51DD6F2-9C30-4C3C-8A08-8E4F372CD144}"/>
    <cellStyle name="Normal 4 2 2 3 7 4" xfId="10188" xr:uid="{E50C4693-ABAE-40BA-8231-301B8C7A0E5F}"/>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D3DD12C0-1F07-42C3-BD6C-79D5F4109691}"/>
    <cellStyle name="Normal 4 2 2 3 8 2 3" xfId="12746" xr:uid="{353ED1A9-82DF-4041-9EA4-AB289663D54D}"/>
    <cellStyle name="Normal 4 2 2 3 8 3" xfId="6369" xr:uid="{00000000-0005-0000-0000-00008F120000}"/>
    <cellStyle name="Normal 4 2 2 3 8 3 2" xfId="14819" xr:uid="{546C318F-6F55-40E4-B906-EC3A2FE5B923}"/>
    <cellStyle name="Normal 4 2 2 3 8 4" xfId="10601" xr:uid="{410E3E7E-5504-4762-8DD6-9164C7000790}"/>
    <cellStyle name="Normal 4 2 2 3 9" xfId="2499" xr:uid="{00000000-0005-0000-0000-000090120000}"/>
    <cellStyle name="Normal 4 2 2 3 9 2" xfId="6782" xr:uid="{00000000-0005-0000-0000-000091120000}"/>
    <cellStyle name="Normal 4 2 2 3 9 2 2" xfId="15232" xr:uid="{994F9A8E-53B5-43A0-BEA5-F7DD7C999191}"/>
    <cellStyle name="Normal 4 2 2 3 9 3" xfId="11014" xr:uid="{EE287396-CAB4-4F42-B2ED-3D49B52EA34D}"/>
    <cellStyle name="Normal 4 2 2 4" xfId="347" xr:uid="{00000000-0005-0000-0000-000092120000}"/>
    <cellStyle name="Normal 4 2 2 4 10" xfId="17397" xr:uid="{3C23573F-C22A-4DA4-BC1B-5CB438730863}"/>
    <cellStyle name="Normal 4 2 2 4 11" xfId="18230" xr:uid="{37E8ECF4-06B1-412E-AC43-804D01DA9658}"/>
    <cellStyle name="Normal 4 2 2 4 12" xfId="19059" xr:uid="{1733CFF0-AE15-4B92-9980-167FF4D0AB6F}"/>
    <cellStyle name="Normal 4 2 2 4 13" xfId="8957" xr:uid="{E115457A-D13F-4DD7-917E-3C303FC3655B}"/>
    <cellStyle name="Normal 4 2 2 4 2" xfId="348" xr:uid="{00000000-0005-0000-0000-000093120000}"/>
    <cellStyle name="Normal 4 2 2 4 2 10" xfId="18231" xr:uid="{1DE6E9D4-6AD8-486A-82B5-3644CB1ABC47}"/>
    <cellStyle name="Normal 4 2 2 4 2 11" xfId="19060" xr:uid="{ED043A5E-141E-47CF-9685-43266EC1F6C6}"/>
    <cellStyle name="Normal 4 2 2 4 2 12" xfId="8958" xr:uid="{B22BE787-07EE-4A51-A324-B4613897B02D}"/>
    <cellStyle name="Normal 4 2 2 4 2 2" xfId="349" xr:uid="{00000000-0005-0000-0000-000094120000}"/>
    <cellStyle name="Normal 4 2 2 4 2 2 10" xfId="19061" xr:uid="{CB7528F7-7A35-45A3-8985-BF2545B82A6F}"/>
    <cellStyle name="Normal 4 2 2 4 2 2 11" xfId="8959" xr:uid="{59B1C53F-D4AF-40BE-AEC5-9942E277D6EA}"/>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E94E2D6F-5F62-43CA-8B09-3FE6561FA7D3}"/>
    <cellStyle name="Normal 4 2 2 4 2 2 2 2 3" xfId="11517" xr:uid="{E97CD1BE-932B-4B71-ADCD-4729D0955031}"/>
    <cellStyle name="Normal 4 2 2 4 2 2 2 3" xfId="5140" xr:uid="{00000000-0005-0000-0000-000098120000}"/>
    <cellStyle name="Normal 4 2 2 4 2 2 2 3 2" xfId="13590" xr:uid="{F01BA3ED-78FF-44CC-9D10-3F969B88EF1A}"/>
    <cellStyle name="Normal 4 2 2 4 2 2 2 4" xfId="17818" xr:uid="{F6E91ACD-45C6-4DB0-801A-DAF1E63E574D}"/>
    <cellStyle name="Normal 4 2 2 4 2 2 2 5" xfId="18648" xr:uid="{B56A261E-E775-4BB9-8A79-92CD4BA2A613}"/>
    <cellStyle name="Normal 4 2 2 4 2 2 2 6" xfId="19477" xr:uid="{CF8C8993-DD29-49D4-9601-C3515570F6BF}"/>
    <cellStyle name="Normal 4 2 2 4 2 2 2 7" xfId="9372" xr:uid="{2C27E5A7-3D08-40DB-8A5A-ECAC3AAE9917}"/>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5E6A0E29-B283-43B7-A871-B5E10EAFA25E}"/>
    <cellStyle name="Normal 4 2 2 4 2 2 3 2 3" xfId="11930" xr:uid="{2FE929E1-0638-47F8-A957-756114515C6B}"/>
    <cellStyle name="Normal 4 2 2 4 2 2 3 3" xfId="5553" xr:uid="{00000000-0005-0000-0000-00009C120000}"/>
    <cellStyle name="Normal 4 2 2 4 2 2 3 3 2" xfId="14003" xr:uid="{8C209366-44D8-45A3-804E-6F5A62ED04C5}"/>
    <cellStyle name="Normal 4 2 2 4 2 2 3 4" xfId="9785" xr:uid="{D44D4D4A-BABD-4A96-BCDB-168A2C3A5D57}"/>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E3479C2D-DE46-45DB-885A-9666126B10D6}"/>
    <cellStyle name="Normal 4 2 2 4 2 2 4 2 3" xfId="12343" xr:uid="{5D3A1321-3489-4C3D-BC82-EA0AEC4CE6CB}"/>
    <cellStyle name="Normal 4 2 2 4 2 2 4 3" xfId="5966" xr:uid="{00000000-0005-0000-0000-0000A0120000}"/>
    <cellStyle name="Normal 4 2 2 4 2 2 4 3 2" xfId="14416" xr:uid="{95BDACAB-C79B-4B32-8773-430E0BAC0DB2}"/>
    <cellStyle name="Normal 4 2 2 4 2 2 4 4" xfId="10198" xr:uid="{B45CCD1E-48CD-4EDC-AA37-11173911F24A}"/>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0023A9F5-2652-439F-A5C9-8C0085FB9CBE}"/>
    <cellStyle name="Normal 4 2 2 4 2 2 5 2 3" xfId="12756" xr:uid="{C3030118-4057-40AD-BB78-2030928D5375}"/>
    <cellStyle name="Normal 4 2 2 4 2 2 5 3" xfId="6379" xr:uid="{00000000-0005-0000-0000-0000A4120000}"/>
    <cellStyle name="Normal 4 2 2 4 2 2 5 3 2" xfId="14829" xr:uid="{1DA18BEC-EA02-4963-BC56-6B43C65A70E3}"/>
    <cellStyle name="Normal 4 2 2 4 2 2 5 4" xfId="10611" xr:uid="{02982593-D466-4E35-A4AE-FBB3DB169968}"/>
    <cellStyle name="Normal 4 2 2 4 2 2 6" xfId="2509" xr:uid="{00000000-0005-0000-0000-0000A5120000}"/>
    <cellStyle name="Normal 4 2 2 4 2 2 6 2" xfId="6792" xr:uid="{00000000-0005-0000-0000-0000A6120000}"/>
    <cellStyle name="Normal 4 2 2 4 2 2 6 2 2" xfId="15242" xr:uid="{59BE9580-E0F8-44B4-AC76-768080C36D91}"/>
    <cellStyle name="Normal 4 2 2 4 2 2 6 3" xfId="11024" xr:uid="{D95CD48A-82AA-4261-BEAA-374E9B6958F9}"/>
    <cellStyle name="Normal 4 2 2 4 2 2 7" xfId="4727" xr:uid="{00000000-0005-0000-0000-0000A7120000}"/>
    <cellStyle name="Normal 4 2 2 4 2 2 7 2" xfId="13177" xr:uid="{456F8E27-430E-4754-A721-DC9724A9235B}"/>
    <cellStyle name="Normal 4 2 2 4 2 2 8" xfId="17399" xr:uid="{BC269E9C-B2A2-4152-8972-62921DB8B43C}"/>
    <cellStyle name="Normal 4 2 2 4 2 2 9" xfId="18232" xr:uid="{0498757A-E308-414A-BCB8-4A2283BEE254}"/>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0C07195F-7E47-4033-A81F-C93FF2865152}"/>
    <cellStyle name="Normal 4 2 2 4 2 3 2 3" xfId="11516" xr:uid="{534AD8A3-8913-46BB-8453-AC36FE6A9219}"/>
    <cellStyle name="Normal 4 2 2 4 2 3 3" xfId="5139" xr:uid="{00000000-0005-0000-0000-0000AB120000}"/>
    <cellStyle name="Normal 4 2 2 4 2 3 3 2" xfId="13589" xr:uid="{B292AFF2-4729-4807-8817-7F4371631857}"/>
    <cellStyle name="Normal 4 2 2 4 2 3 4" xfId="17817" xr:uid="{32456AB0-9EB7-42A7-B36E-F371CC7FFC93}"/>
    <cellStyle name="Normal 4 2 2 4 2 3 5" xfId="18647" xr:uid="{62DAE8DC-FFCB-4D82-8099-85B11B1AEAC8}"/>
    <cellStyle name="Normal 4 2 2 4 2 3 6" xfId="19476" xr:uid="{19E65265-940C-4AC5-A727-3FD062A6B3D5}"/>
    <cellStyle name="Normal 4 2 2 4 2 3 7" xfId="9371" xr:uid="{719FA190-1E16-4397-A20D-3F8187A4FCF3}"/>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A743E909-2CE2-4ECB-B49F-BD3D268A7230}"/>
    <cellStyle name="Normal 4 2 2 4 2 4 2 3" xfId="11929" xr:uid="{4E6F1FB4-D426-4DB6-AEF6-59717474A312}"/>
    <cellStyle name="Normal 4 2 2 4 2 4 3" xfId="5552" xr:uid="{00000000-0005-0000-0000-0000AF120000}"/>
    <cellStyle name="Normal 4 2 2 4 2 4 3 2" xfId="14002" xr:uid="{3969ECDD-0785-494C-AF3E-851E8A2803B3}"/>
    <cellStyle name="Normal 4 2 2 4 2 4 4" xfId="9784" xr:uid="{5F2956C9-AE21-4775-8D5C-C06CBE39355C}"/>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92AC1938-60A6-4B73-83CB-7FA8040607E6}"/>
    <cellStyle name="Normal 4 2 2 4 2 5 2 3" xfId="12342" xr:uid="{21AB02A9-A4B5-4BA3-A9AF-A6A9D4660D5A}"/>
    <cellStyle name="Normal 4 2 2 4 2 5 3" xfId="5965" xr:uid="{00000000-0005-0000-0000-0000B3120000}"/>
    <cellStyle name="Normal 4 2 2 4 2 5 3 2" xfId="14415" xr:uid="{D7A1B24F-764C-4984-ACFD-5D97C51713B7}"/>
    <cellStyle name="Normal 4 2 2 4 2 5 4" xfId="10197" xr:uid="{07B16B3A-38B0-42BD-888A-D491896D3341}"/>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3F613339-A2B5-4409-9970-FB35338A7487}"/>
    <cellStyle name="Normal 4 2 2 4 2 6 2 3" xfId="12755" xr:uid="{9E5132DB-7658-4D3A-B98A-3D268B5C28F9}"/>
    <cellStyle name="Normal 4 2 2 4 2 6 3" xfId="6378" xr:uid="{00000000-0005-0000-0000-0000B7120000}"/>
    <cellStyle name="Normal 4 2 2 4 2 6 3 2" xfId="14828" xr:uid="{E8C75739-AE1E-4F1B-A7A3-21A32C35EAD8}"/>
    <cellStyle name="Normal 4 2 2 4 2 6 4" xfId="10610" xr:uid="{3DF430F7-5F47-4ED7-89CF-2A62447194CC}"/>
    <cellStyle name="Normal 4 2 2 4 2 7" xfId="2508" xr:uid="{00000000-0005-0000-0000-0000B8120000}"/>
    <cellStyle name="Normal 4 2 2 4 2 7 2" xfId="6791" xr:uid="{00000000-0005-0000-0000-0000B9120000}"/>
    <cellStyle name="Normal 4 2 2 4 2 7 2 2" xfId="15241" xr:uid="{7EF26853-E1D7-4E8F-A43E-CA9273F69FB5}"/>
    <cellStyle name="Normal 4 2 2 4 2 7 3" xfId="11023" xr:uid="{E334DF4D-C985-4D5F-9049-20B168D0D9ED}"/>
    <cellStyle name="Normal 4 2 2 4 2 8" xfId="4726" xr:uid="{00000000-0005-0000-0000-0000BA120000}"/>
    <cellStyle name="Normal 4 2 2 4 2 8 2" xfId="13176" xr:uid="{0F02B8E8-B349-49E9-A072-7ACE1A018047}"/>
    <cellStyle name="Normal 4 2 2 4 2 9" xfId="17398" xr:uid="{3026A8C2-82AF-4FF4-B2EB-AF9594116881}"/>
    <cellStyle name="Normal 4 2 2 4 3" xfId="350" xr:uid="{00000000-0005-0000-0000-0000BB120000}"/>
    <cellStyle name="Normal 4 2 2 4 3 10" xfId="19062" xr:uid="{A83CFF70-BD09-4E71-9715-7EF799A4697E}"/>
    <cellStyle name="Normal 4 2 2 4 3 11" xfId="8960" xr:uid="{A315E67A-25C5-44BB-AD99-D10BF1502F5E}"/>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099AA41C-A4AA-48C3-961B-EBE1446E96D5}"/>
    <cellStyle name="Normal 4 2 2 4 3 2 2 3" xfId="11518" xr:uid="{FCAE5E0C-6459-42F7-941E-C7409A4ECC74}"/>
    <cellStyle name="Normal 4 2 2 4 3 2 3" xfId="5141" xr:uid="{00000000-0005-0000-0000-0000BF120000}"/>
    <cellStyle name="Normal 4 2 2 4 3 2 3 2" xfId="13591" xr:uid="{B3750905-8FAF-4128-98E6-4E31826A004D}"/>
    <cellStyle name="Normal 4 2 2 4 3 2 4" xfId="17819" xr:uid="{42B6EF4E-421E-4C26-AC21-6AB2B1BFA8F2}"/>
    <cellStyle name="Normal 4 2 2 4 3 2 5" xfId="18649" xr:uid="{12FC75D2-9241-4E68-89DC-A6E22E880BE6}"/>
    <cellStyle name="Normal 4 2 2 4 3 2 6" xfId="19478" xr:uid="{D380D3E2-02E4-4350-94C0-E6ADA147D39D}"/>
    <cellStyle name="Normal 4 2 2 4 3 2 7" xfId="9373" xr:uid="{7EB5AB5C-0036-41C8-8BC4-C4FA61C02D73}"/>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FE6C2A58-FA89-48B6-BA32-01D546A28877}"/>
    <cellStyle name="Normal 4 2 2 4 3 3 2 3" xfId="11931" xr:uid="{D429B75A-86C2-4CA4-9F81-B69CCF7BC5C6}"/>
    <cellStyle name="Normal 4 2 2 4 3 3 3" xfId="5554" xr:uid="{00000000-0005-0000-0000-0000C3120000}"/>
    <cellStyle name="Normal 4 2 2 4 3 3 3 2" xfId="14004" xr:uid="{E9B742DA-2963-40C3-8BCE-524E71870BEB}"/>
    <cellStyle name="Normal 4 2 2 4 3 3 4" xfId="9786" xr:uid="{C3A133DF-55E5-4BB3-9D4E-66A666E66F48}"/>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AFC0C92B-01EC-4CBA-86D9-2DA31FE1CBEB}"/>
    <cellStyle name="Normal 4 2 2 4 3 4 2 3" xfId="12344" xr:uid="{DC700373-FF4B-43D2-B226-6373FB4C8EC3}"/>
    <cellStyle name="Normal 4 2 2 4 3 4 3" xfId="5967" xr:uid="{00000000-0005-0000-0000-0000C7120000}"/>
    <cellStyle name="Normal 4 2 2 4 3 4 3 2" xfId="14417" xr:uid="{131BEBE9-399B-4FCF-8847-D227D59A5C8A}"/>
    <cellStyle name="Normal 4 2 2 4 3 4 4" xfId="10199" xr:uid="{B2442C2E-29A1-40B5-8C57-03CC9692757B}"/>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C59C7630-420C-4BBB-893C-456B5129BB33}"/>
    <cellStyle name="Normal 4 2 2 4 3 5 2 3" xfId="12757" xr:uid="{776118E2-0BC1-4183-90D1-E47399C3B26A}"/>
    <cellStyle name="Normal 4 2 2 4 3 5 3" xfId="6380" xr:uid="{00000000-0005-0000-0000-0000CB120000}"/>
    <cellStyle name="Normal 4 2 2 4 3 5 3 2" xfId="14830" xr:uid="{7531DFB2-45EE-4CD8-ACDD-41CB6FA22828}"/>
    <cellStyle name="Normal 4 2 2 4 3 5 4" xfId="10612" xr:uid="{CE18AF3C-4F9D-4C00-98C6-2EE747E83D1D}"/>
    <cellStyle name="Normal 4 2 2 4 3 6" xfId="2510" xr:uid="{00000000-0005-0000-0000-0000CC120000}"/>
    <cellStyle name="Normal 4 2 2 4 3 6 2" xfId="6793" xr:uid="{00000000-0005-0000-0000-0000CD120000}"/>
    <cellStyle name="Normal 4 2 2 4 3 6 2 2" xfId="15243" xr:uid="{CF3BF8E4-05F3-4E30-85AA-26F00AE13ECE}"/>
    <cellStyle name="Normal 4 2 2 4 3 6 3" xfId="11025" xr:uid="{C09B5238-5EDE-407A-A8B9-1B0F648529CB}"/>
    <cellStyle name="Normal 4 2 2 4 3 7" xfId="4728" xr:uid="{00000000-0005-0000-0000-0000CE120000}"/>
    <cellStyle name="Normal 4 2 2 4 3 7 2" xfId="13178" xr:uid="{284EC0D7-26ED-4D9A-99D5-74FECD8F5299}"/>
    <cellStyle name="Normal 4 2 2 4 3 8" xfId="17400" xr:uid="{88CD3CED-9FD4-4D35-A4AF-E853AB01518C}"/>
    <cellStyle name="Normal 4 2 2 4 3 9" xfId="18233" xr:uid="{A2D17590-9759-4BF2-90C5-8AEE6AA2B73E}"/>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0B2477AF-D0DC-4207-AED4-ECA8229B7E7F}"/>
    <cellStyle name="Normal 4 2 2 4 4 2 3" xfId="11515" xr:uid="{57600BEC-E3CC-4C68-9781-369C0DFB20E4}"/>
    <cellStyle name="Normal 4 2 2 4 4 3" xfId="5138" xr:uid="{00000000-0005-0000-0000-0000D2120000}"/>
    <cellStyle name="Normal 4 2 2 4 4 3 2" xfId="13588" xr:uid="{B1039445-A9FA-4D9F-80AD-7CE2B1ECE9A1}"/>
    <cellStyle name="Normal 4 2 2 4 4 4" xfId="17816" xr:uid="{DC9D38C5-AD23-476C-92FE-3B7B6D13E358}"/>
    <cellStyle name="Normal 4 2 2 4 4 5" xfId="18646" xr:uid="{49CBF44F-F62B-45D2-8FB4-B203C38E54EF}"/>
    <cellStyle name="Normal 4 2 2 4 4 6" xfId="19475" xr:uid="{148AB83A-81F7-4DD5-994E-8150CAD82B3A}"/>
    <cellStyle name="Normal 4 2 2 4 4 7" xfId="9370" xr:uid="{A6951E7E-693C-40FC-B84E-7858453E3833}"/>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2AEBAF18-EDAC-4660-ABEF-DBA033A17EFC}"/>
    <cellStyle name="Normal 4 2 2 4 5 2 3" xfId="11928" xr:uid="{42751FEB-92F2-4570-8973-405F336DE117}"/>
    <cellStyle name="Normal 4 2 2 4 5 3" xfId="5551" xr:uid="{00000000-0005-0000-0000-0000D6120000}"/>
    <cellStyle name="Normal 4 2 2 4 5 3 2" xfId="14001" xr:uid="{FD69B427-DF7E-457A-B41B-740071E5F913}"/>
    <cellStyle name="Normal 4 2 2 4 5 4" xfId="9783" xr:uid="{6A57CAF2-2A8F-487E-BDE9-F4146F74F10B}"/>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4C016CB1-A705-4189-8C49-498DB6EFC73C}"/>
    <cellStyle name="Normal 4 2 2 4 6 2 3" xfId="12341" xr:uid="{B6E77CE5-6CB0-42D3-86ED-46FBEACBE714}"/>
    <cellStyle name="Normal 4 2 2 4 6 3" xfId="5964" xr:uid="{00000000-0005-0000-0000-0000DA120000}"/>
    <cellStyle name="Normal 4 2 2 4 6 3 2" xfId="14414" xr:uid="{51DFBD5F-4E1B-4F07-A8D9-3D53C2457DC6}"/>
    <cellStyle name="Normal 4 2 2 4 6 4" xfId="10196" xr:uid="{B614960C-D56B-4A23-A185-0B9472D35331}"/>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AD113E74-80E1-4A81-BCF5-2EA2A71BBCDE}"/>
    <cellStyle name="Normal 4 2 2 4 7 2 3" xfId="12754" xr:uid="{DEC2730B-8A70-4D9E-90C5-22F0D1E6987A}"/>
    <cellStyle name="Normal 4 2 2 4 7 3" xfId="6377" xr:uid="{00000000-0005-0000-0000-0000DE120000}"/>
    <cellStyle name="Normal 4 2 2 4 7 3 2" xfId="14827" xr:uid="{EAF98360-5BF0-4599-A277-724D618843D0}"/>
    <cellStyle name="Normal 4 2 2 4 7 4" xfId="10609" xr:uid="{489C1964-4847-46CB-B2E7-6FFB9CD51396}"/>
    <cellStyle name="Normal 4 2 2 4 8" xfId="2507" xr:uid="{00000000-0005-0000-0000-0000DF120000}"/>
    <cellStyle name="Normal 4 2 2 4 8 2" xfId="6790" xr:uid="{00000000-0005-0000-0000-0000E0120000}"/>
    <cellStyle name="Normal 4 2 2 4 8 2 2" xfId="15240" xr:uid="{4C0ECC71-E5A6-40C5-AA2C-9A434E77269A}"/>
    <cellStyle name="Normal 4 2 2 4 8 3" xfId="11022" xr:uid="{E608849E-4A68-4CC0-9B62-F026D526A69C}"/>
    <cellStyle name="Normal 4 2 2 4 9" xfId="4725" xr:uid="{00000000-0005-0000-0000-0000E1120000}"/>
    <cellStyle name="Normal 4 2 2 4 9 2" xfId="13175" xr:uid="{0D3684C3-F507-4E36-912B-790AEE08DB04}"/>
    <cellStyle name="Normal 4 2 2 5" xfId="351" xr:uid="{00000000-0005-0000-0000-0000E2120000}"/>
    <cellStyle name="Normal 4 2 2 5 10" xfId="18234" xr:uid="{E2AB0850-DAB0-485E-87CA-7C1BB1DEB24B}"/>
    <cellStyle name="Normal 4 2 2 5 11" xfId="19063" xr:uid="{7066DE34-93CA-4E66-A8D7-6AE3EDC5BFCC}"/>
    <cellStyle name="Normal 4 2 2 5 12" xfId="8961" xr:uid="{80EB02D1-8E5E-4554-A1D6-093BD08A5346}"/>
    <cellStyle name="Normal 4 2 2 5 2" xfId="352" xr:uid="{00000000-0005-0000-0000-0000E3120000}"/>
    <cellStyle name="Normal 4 2 2 5 2 10" xfId="19064" xr:uid="{79AB2D57-F1B2-497C-9874-FE7BF0086E75}"/>
    <cellStyle name="Normal 4 2 2 5 2 11" xfId="8962" xr:uid="{BF71050C-DC1B-4786-A195-35EBA73E923B}"/>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DE06F3BE-95F0-4E1E-A327-676DD5E2306A}"/>
    <cellStyle name="Normal 4 2 2 5 2 2 2 3" xfId="11520" xr:uid="{784CCF90-A58F-40E3-B2B6-452770081C29}"/>
    <cellStyle name="Normal 4 2 2 5 2 2 3" xfId="5143" xr:uid="{00000000-0005-0000-0000-0000E7120000}"/>
    <cellStyle name="Normal 4 2 2 5 2 2 3 2" xfId="13593" xr:uid="{E6EB5252-808F-4DDB-928F-2C5A494C7B3F}"/>
    <cellStyle name="Normal 4 2 2 5 2 2 4" xfId="17821" xr:uid="{63A628C2-924D-449A-9FD4-3E1B42547D2D}"/>
    <cellStyle name="Normal 4 2 2 5 2 2 5" xfId="18651" xr:uid="{221EAA4C-D8CB-434A-8430-25F1FD613B5F}"/>
    <cellStyle name="Normal 4 2 2 5 2 2 6" xfId="19480" xr:uid="{C566C673-8C03-4DE9-BF88-E556DBEF0C72}"/>
    <cellStyle name="Normal 4 2 2 5 2 2 7" xfId="9375" xr:uid="{D5581B56-F721-4098-90B0-9C9D85A6DEA5}"/>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6813102D-14C8-4835-91BB-DA09EABF1AE2}"/>
    <cellStyle name="Normal 4 2 2 5 2 3 2 3" xfId="11933" xr:uid="{C2211B21-C9A2-463A-8C7E-0F67152347BD}"/>
    <cellStyle name="Normal 4 2 2 5 2 3 3" xfId="5556" xr:uid="{00000000-0005-0000-0000-0000EB120000}"/>
    <cellStyle name="Normal 4 2 2 5 2 3 3 2" xfId="14006" xr:uid="{45FAD3F4-BB27-4B29-A818-E1F198493B49}"/>
    <cellStyle name="Normal 4 2 2 5 2 3 4" xfId="9788" xr:uid="{7838A9D8-9573-4696-8CDA-ADCC1D85265E}"/>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D953281A-3B97-42F6-8F8F-B2BFF17FCD10}"/>
    <cellStyle name="Normal 4 2 2 5 2 4 2 3" xfId="12346" xr:uid="{DF806D35-B5F5-41D0-8D79-8E52AD36C472}"/>
    <cellStyle name="Normal 4 2 2 5 2 4 3" xfId="5969" xr:uid="{00000000-0005-0000-0000-0000EF120000}"/>
    <cellStyle name="Normal 4 2 2 5 2 4 3 2" xfId="14419" xr:uid="{3B3FF0EA-C495-4FCB-A1AF-32C9F875462E}"/>
    <cellStyle name="Normal 4 2 2 5 2 4 4" xfId="10201" xr:uid="{D66186A4-A669-49ED-A424-165FA45B2A5F}"/>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283FA68F-D82A-4117-B2BB-24F29547B7EA}"/>
    <cellStyle name="Normal 4 2 2 5 2 5 2 3" xfId="12759" xr:uid="{C2D78CEA-5992-478D-A91A-DE5488DDF405}"/>
    <cellStyle name="Normal 4 2 2 5 2 5 3" xfId="6382" xr:uid="{00000000-0005-0000-0000-0000F3120000}"/>
    <cellStyle name="Normal 4 2 2 5 2 5 3 2" xfId="14832" xr:uid="{7C21D54F-884A-4A10-A15F-D3B96557F6AA}"/>
    <cellStyle name="Normal 4 2 2 5 2 5 4" xfId="10614" xr:uid="{148ABDC2-3933-4347-B03F-16A627C0406C}"/>
    <cellStyle name="Normal 4 2 2 5 2 6" xfId="2512" xr:uid="{00000000-0005-0000-0000-0000F4120000}"/>
    <cellStyle name="Normal 4 2 2 5 2 6 2" xfId="6795" xr:uid="{00000000-0005-0000-0000-0000F5120000}"/>
    <cellStyle name="Normal 4 2 2 5 2 6 2 2" xfId="15245" xr:uid="{CA27962E-2FBC-480C-9FE9-6559B05290D9}"/>
    <cellStyle name="Normal 4 2 2 5 2 6 3" xfId="11027" xr:uid="{E5E3A81F-E8C2-4F14-8E41-D6450C39D7D1}"/>
    <cellStyle name="Normal 4 2 2 5 2 7" xfId="4730" xr:uid="{00000000-0005-0000-0000-0000F6120000}"/>
    <cellStyle name="Normal 4 2 2 5 2 7 2" xfId="13180" xr:uid="{0BA9B03D-FB25-4B19-AF7E-9F5268D5B3F7}"/>
    <cellStyle name="Normal 4 2 2 5 2 8" xfId="17402" xr:uid="{26A11BFE-203C-40C4-90DA-1A7370D7F403}"/>
    <cellStyle name="Normal 4 2 2 5 2 9" xfId="18235" xr:uid="{61857B74-8666-45C1-9032-2C190B9CB5C7}"/>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C24AB91E-3969-47DF-9238-1DAD753608BE}"/>
    <cellStyle name="Normal 4 2 2 5 3 2 3" xfId="11519" xr:uid="{D0310CE8-084E-424F-9D62-7EE2090F09B2}"/>
    <cellStyle name="Normal 4 2 2 5 3 3" xfId="5142" xr:uid="{00000000-0005-0000-0000-0000FA120000}"/>
    <cellStyle name="Normal 4 2 2 5 3 3 2" xfId="13592" xr:uid="{C6E1885B-9E01-4FBF-B132-E609EBB8B546}"/>
    <cellStyle name="Normal 4 2 2 5 3 4" xfId="17820" xr:uid="{A9C31873-7C72-4287-8571-CC9599AAEBE1}"/>
    <cellStyle name="Normal 4 2 2 5 3 5" xfId="18650" xr:uid="{EAFCF04E-2F54-40AF-BF14-11FC5C88269C}"/>
    <cellStyle name="Normal 4 2 2 5 3 6" xfId="19479" xr:uid="{322A2CD6-BD65-446D-BF16-209AE8109CC2}"/>
    <cellStyle name="Normal 4 2 2 5 3 7" xfId="9374" xr:uid="{FC22FEA3-16C6-4CE4-899E-B43930057EEE}"/>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07592C6C-A6E4-4AA3-82A4-747CF1E3BB4F}"/>
    <cellStyle name="Normal 4 2 2 5 4 2 3" xfId="11932" xr:uid="{747CB200-F5E7-45E1-8302-74A675046B17}"/>
    <cellStyle name="Normal 4 2 2 5 4 3" xfId="5555" xr:uid="{00000000-0005-0000-0000-0000FE120000}"/>
    <cellStyle name="Normal 4 2 2 5 4 3 2" xfId="14005" xr:uid="{D4C1A99C-CBBE-4060-893D-DC04B8D1B935}"/>
    <cellStyle name="Normal 4 2 2 5 4 4" xfId="9787" xr:uid="{4E18075C-70FA-477A-9BC2-B6ADA62A6A6C}"/>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3C532D2D-0839-4807-912C-24D64927B5CB}"/>
    <cellStyle name="Normal 4 2 2 5 5 2 3" xfId="12345" xr:uid="{2D30BA1E-1CDA-4918-838C-241A455FD9EC}"/>
    <cellStyle name="Normal 4 2 2 5 5 3" xfId="5968" xr:uid="{00000000-0005-0000-0000-000002130000}"/>
    <cellStyle name="Normal 4 2 2 5 5 3 2" xfId="14418" xr:uid="{07132959-1733-43DF-B54A-6CFCEC6B0EF4}"/>
    <cellStyle name="Normal 4 2 2 5 5 4" xfId="10200" xr:uid="{03C39F85-A9F5-4388-B239-EF84339987D6}"/>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1212BA1A-DBD4-40C2-94F0-5D3EFF23AA21}"/>
    <cellStyle name="Normal 4 2 2 5 6 2 3" xfId="12758" xr:uid="{B3613606-419E-40D8-965B-55EA818B490D}"/>
    <cellStyle name="Normal 4 2 2 5 6 3" xfId="6381" xr:uid="{00000000-0005-0000-0000-000006130000}"/>
    <cellStyle name="Normal 4 2 2 5 6 3 2" xfId="14831" xr:uid="{0DB6B8A0-C278-4F02-89BE-E67C1C77E729}"/>
    <cellStyle name="Normal 4 2 2 5 6 4" xfId="10613" xr:uid="{9E07A5A8-C655-4C0B-81CE-7D9E0B1DEEAF}"/>
    <cellStyle name="Normal 4 2 2 5 7" xfId="2511" xr:uid="{00000000-0005-0000-0000-000007130000}"/>
    <cellStyle name="Normal 4 2 2 5 7 2" xfId="6794" xr:uid="{00000000-0005-0000-0000-000008130000}"/>
    <cellStyle name="Normal 4 2 2 5 7 2 2" xfId="15244" xr:uid="{441CDE93-9EBC-41B0-9BEC-E7A7C988AB35}"/>
    <cellStyle name="Normal 4 2 2 5 7 3" xfId="11026" xr:uid="{070F6CB3-A6D1-4514-B6D7-02BA70B6C261}"/>
    <cellStyle name="Normal 4 2 2 5 8" xfId="4729" xr:uid="{00000000-0005-0000-0000-000009130000}"/>
    <cellStyle name="Normal 4 2 2 5 8 2" xfId="13179" xr:uid="{4476FAE5-77D3-45A2-BBEA-E789B03CFB59}"/>
    <cellStyle name="Normal 4 2 2 5 9" xfId="17401" xr:uid="{6E5BD7F2-86D7-46A6-BB88-89AA5DF48EEF}"/>
    <cellStyle name="Normal 4 2 2 6" xfId="353" xr:uid="{00000000-0005-0000-0000-00000A130000}"/>
    <cellStyle name="Normal 4 2 2 6 10" xfId="19065" xr:uid="{126A89CB-FC0E-464E-A73C-2B492B5F79FC}"/>
    <cellStyle name="Normal 4 2 2 6 11" xfId="8963" xr:uid="{C491EEE3-3DC7-45D7-87C9-1D6187A259A3}"/>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6490C5EC-8060-4922-9639-E576194485A2}"/>
    <cellStyle name="Normal 4 2 2 6 2 2 3" xfId="11521" xr:uid="{5FBD8412-DB18-4C25-B0E4-74C665EC81A5}"/>
    <cellStyle name="Normal 4 2 2 6 2 3" xfId="5144" xr:uid="{00000000-0005-0000-0000-00000E130000}"/>
    <cellStyle name="Normal 4 2 2 6 2 3 2" xfId="13594" xr:uid="{7228E3CF-A7F2-49C7-AA6B-E0947483B801}"/>
    <cellStyle name="Normal 4 2 2 6 2 4" xfId="17822" xr:uid="{6F15BC76-21EB-4001-96EC-A0F08EB1D387}"/>
    <cellStyle name="Normal 4 2 2 6 2 5" xfId="18652" xr:uid="{B30E3E39-7600-4CBD-9BC5-29FD262C5A92}"/>
    <cellStyle name="Normal 4 2 2 6 2 6" xfId="19481" xr:uid="{671BD0A1-9F59-4102-9552-F6DEE2892040}"/>
    <cellStyle name="Normal 4 2 2 6 2 7" xfId="9376" xr:uid="{17234873-8330-4F46-8FB5-986FFDE3690D}"/>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DA5D27B5-FF34-4B9A-ADA4-23CD75380198}"/>
    <cellStyle name="Normal 4 2 2 6 3 2 3" xfId="11934" xr:uid="{15E656FD-6109-4D30-AC8F-0509BF46395C}"/>
    <cellStyle name="Normal 4 2 2 6 3 3" xfId="5557" xr:uid="{00000000-0005-0000-0000-000012130000}"/>
    <cellStyle name="Normal 4 2 2 6 3 3 2" xfId="14007" xr:uid="{5672F4CD-A585-4041-8D31-86F2882D5695}"/>
    <cellStyle name="Normal 4 2 2 6 3 4" xfId="9789" xr:uid="{E64A29DC-C49C-4FFA-B52C-00D89B4D4FAD}"/>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D5DBCC54-720D-404A-A829-EB7EA1F2DD81}"/>
    <cellStyle name="Normal 4 2 2 6 4 2 3" xfId="12347" xr:uid="{142CF09A-50D5-4E88-8432-0276F0C90E95}"/>
    <cellStyle name="Normal 4 2 2 6 4 3" xfId="5970" xr:uid="{00000000-0005-0000-0000-000016130000}"/>
    <cellStyle name="Normal 4 2 2 6 4 3 2" xfId="14420" xr:uid="{00C90F8C-06E7-44DD-94AA-E187D198F6C7}"/>
    <cellStyle name="Normal 4 2 2 6 4 4" xfId="10202" xr:uid="{7CC9D5BD-51E9-4A53-9D9F-2A8F0B4C8BA7}"/>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E77B1346-286F-4B83-9F9A-BEA180C820B3}"/>
    <cellStyle name="Normal 4 2 2 6 5 2 3" xfId="12760" xr:uid="{A44A7F3B-CEE7-4887-BE65-9F6E401DAC8E}"/>
    <cellStyle name="Normal 4 2 2 6 5 3" xfId="6383" xr:uid="{00000000-0005-0000-0000-00001A130000}"/>
    <cellStyle name="Normal 4 2 2 6 5 3 2" xfId="14833" xr:uid="{7DA734AC-7368-4674-AC60-0D852DE04D74}"/>
    <cellStyle name="Normal 4 2 2 6 5 4" xfId="10615" xr:uid="{91C6D137-B6F1-4A38-8613-3EDC535F91B5}"/>
    <cellStyle name="Normal 4 2 2 6 6" xfId="2513" xr:uid="{00000000-0005-0000-0000-00001B130000}"/>
    <cellStyle name="Normal 4 2 2 6 6 2" xfId="6796" xr:uid="{00000000-0005-0000-0000-00001C130000}"/>
    <cellStyle name="Normal 4 2 2 6 6 2 2" xfId="15246" xr:uid="{C7CFC410-64A9-4CD0-B73C-62DAB34B7A68}"/>
    <cellStyle name="Normal 4 2 2 6 6 3" xfId="11028" xr:uid="{9AC40765-707B-4619-8D2C-1FBEF9424D77}"/>
    <cellStyle name="Normal 4 2 2 6 7" xfId="4731" xr:uid="{00000000-0005-0000-0000-00001D130000}"/>
    <cellStyle name="Normal 4 2 2 6 7 2" xfId="13181" xr:uid="{5BA1DE24-4779-4A99-B5C7-6C64300B5C25}"/>
    <cellStyle name="Normal 4 2 2 6 8" xfId="17403" xr:uid="{77CA8CFF-2600-48C8-B3E5-5BD403BE23FF}"/>
    <cellStyle name="Normal 4 2 2 6 9" xfId="18236" xr:uid="{B02D512C-603B-40F2-AC69-C3A9ECD7F4FB}"/>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A97A4EC0-3B50-48C1-9B0F-B5C59F8C8BD4}"/>
    <cellStyle name="Normal 4 2 2 7 2 3" xfId="11506" xr:uid="{36E70CDD-3951-4736-8ACD-FB4AE2292515}"/>
    <cellStyle name="Normal 4 2 2 7 3" xfId="5129" xr:uid="{00000000-0005-0000-0000-000021130000}"/>
    <cellStyle name="Normal 4 2 2 7 3 2" xfId="13579" xr:uid="{E958DFCE-E103-4CE5-8284-81105A44CD62}"/>
    <cellStyle name="Normal 4 2 2 7 4" xfId="17807" xr:uid="{ED39A73D-D8FF-44B5-A389-F83FAED51934}"/>
    <cellStyle name="Normal 4 2 2 7 5" xfId="18637" xr:uid="{72F3E47F-D5F0-41A9-8FC9-406A75AFCB03}"/>
    <cellStyle name="Normal 4 2 2 7 6" xfId="19466" xr:uid="{9879CAFD-534E-4837-926D-98F448695A03}"/>
    <cellStyle name="Normal 4 2 2 7 7" xfId="9361" xr:uid="{8472DFD8-6C39-4D66-9218-8A58784BF9F5}"/>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86ECB16F-6DD4-4AA4-B518-13D96082D5D3}"/>
    <cellStyle name="Normal 4 2 2 8 2 3" xfId="11919" xr:uid="{FDF49391-B96E-483B-8F2D-E0066FCE3129}"/>
    <cellStyle name="Normal 4 2 2 8 3" xfId="5542" xr:uid="{00000000-0005-0000-0000-000025130000}"/>
    <cellStyle name="Normal 4 2 2 8 3 2" xfId="13992" xr:uid="{A511FD34-BE97-4F63-9809-E4005FE73A56}"/>
    <cellStyle name="Normal 4 2 2 8 4" xfId="9774" xr:uid="{AD373C2E-B485-47C9-8911-7D7B69423E30}"/>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62F6948A-C9A5-42AE-A1E0-90F915412751}"/>
    <cellStyle name="Normal 4 2 2 9 2 3" xfId="12332" xr:uid="{27C6E7F5-B5C0-4983-B585-F69ED4C30829}"/>
    <cellStyle name="Normal 4 2 2 9 3" xfId="5955" xr:uid="{00000000-0005-0000-0000-000029130000}"/>
    <cellStyle name="Normal 4 2 2 9 3 2" xfId="14405" xr:uid="{0E8037C7-E3AA-40B3-B223-9E24AEBFA4B7}"/>
    <cellStyle name="Normal 4 2 2 9 4" xfId="10187" xr:uid="{BCE540D2-0AC1-421D-B8A9-75B1F7ECBEE1}"/>
    <cellStyle name="Normal 4 2 3" xfId="354" xr:uid="{00000000-0005-0000-0000-00002A130000}"/>
    <cellStyle name="Normal 4 2 4" xfId="355" xr:uid="{00000000-0005-0000-0000-00002B130000}"/>
    <cellStyle name="Normal 4 2 4 10" xfId="4732" xr:uid="{00000000-0005-0000-0000-00002C130000}"/>
    <cellStyle name="Normal 4 2 4 10 2" xfId="13182" xr:uid="{79885017-5DA2-4C49-A4B7-A5C210B4D4CE}"/>
    <cellStyle name="Normal 4 2 4 11" xfId="17404" xr:uid="{3BFA958C-A672-442A-812E-1BB64C9DC2B5}"/>
    <cellStyle name="Normal 4 2 4 12" xfId="18237" xr:uid="{1BF809EA-7EBC-406F-87C2-F07D7AC97A80}"/>
    <cellStyle name="Normal 4 2 4 13" xfId="19066" xr:uid="{BC049298-2FF2-4AB7-9F20-49C28DE583F2}"/>
    <cellStyle name="Normal 4 2 4 14" xfId="8964" xr:uid="{DBCFA755-482F-4482-BF64-CEDE0C32BBF9}"/>
    <cellStyle name="Normal 4 2 4 2" xfId="356" xr:uid="{00000000-0005-0000-0000-00002D130000}"/>
    <cellStyle name="Normal 4 2 4 2 10" xfId="17405" xr:uid="{15B154A8-6D46-427F-A34B-4B37F4699E83}"/>
    <cellStyle name="Normal 4 2 4 2 11" xfId="18238" xr:uid="{C82F4B2F-74E0-48C0-86E8-D48F9913FBC5}"/>
    <cellStyle name="Normal 4 2 4 2 12" xfId="19067" xr:uid="{BBCC852D-AD15-47D3-9B38-156E887EBF03}"/>
    <cellStyle name="Normal 4 2 4 2 13" xfId="8965" xr:uid="{7B335CF9-80F0-458D-AFED-FBA66CFDE953}"/>
    <cellStyle name="Normal 4 2 4 2 2" xfId="357" xr:uid="{00000000-0005-0000-0000-00002E130000}"/>
    <cellStyle name="Normal 4 2 4 2 2 10" xfId="18239" xr:uid="{BED80EA4-1852-4E44-9B06-D5AA2CC0BC12}"/>
    <cellStyle name="Normal 4 2 4 2 2 11" xfId="19068" xr:uid="{6F7C3B07-FD3C-49A9-AA74-8D9103D29592}"/>
    <cellStyle name="Normal 4 2 4 2 2 12" xfId="8966" xr:uid="{5EA53233-18CB-4F94-9A21-2DE74D50285D}"/>
    <cellStyle name="Normal 4 2 4 2 2 2" xfId="358" xr:uid="{00000000-0005-0000-0000-00002F130000}"/>
    <cellStyle name="Normal 4 2 4 2 2 2 10" xfId="19069" xr:uid="{ADE5F952-8BD2-4453-863F-B329E9DB61D4}"/>
    <cellStyle name="Normal 4 2 4 2 2 2 11" xfId="8967" xr:uid="{41051C9B-24CE-4632-AF4D-D9EDAF06A936}"/>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BCA98584-195A-4101-AC0D-3E9030E6C2E7}"/>
    <cellStyle name="Normal 4 2 4 2 2 2 2 2 3" xfId="11525" xr:uid="{54FCEC61-A78D-451C-B596-B3F2E01999D0}"/>
    <cellStyle name="Normal 4 2 4 2 2 2 2 3" xfId="5148" xr:uid="{00000000-0005-0000-0000-000033130000}"/>
    <cellStyle name="Normal 4 2 4 2 2 2 2 3 2" xfId="13598" xr:uid="{8B31AE05-61DA-465A-808A-1D94EF6F9CBF}"/>
    <cellStyle name="Normal 4 2 4 2 2 2 2 4" xfId="17826" xr:uid="{B1DF9E8E-9F17-4A47-B518-3FD7EFD2BFF7}"/>
    <cellStyle name="Normal 4 2 4 2 2 2 2 5" xfId="18656" xr:uid="{0E5EA04E-9434-4667-815F-204953885C4D}"/>
    <cellStyle name="Normal 4 2 4 2 2 2 2 6" xfId="19485" xr:uid="{7D11D391-9167-4E43-8920-934CE4C93A14}"/>
    <cellStyle name="Normal 4 2 4 2 2 2 2 7" xfId="9380" xr:uid="{823EE5A9-ABCF-4D1F-8E99-CC01820834ED}"/>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9031F782-112B-4088-8484-752F44233F52}"/>
    <cellStyle name="Normal 4 2 4 2 2 2 3 2 3" xfId="11938" xr:uid="{541DB720-FE31-4EE5-8853-ED19FCC3D7C0}"/>
    <cellStyle name="Normal 4 2 4 2 2 2 3 3" xfId="5561" xr:uid="{00000000-0005-0000-0000-000037130000}"/>
    <cellStyle name="Normal 4 2 4 2 2 2 3 3 2" xfId="14011" xr:uid="{67322D76-5CB7-46FD-A079-6C5FC1305A99}"/>
    <cellStyle name="Normal 4 2 4 2 2 2 3 4" xfId="9793" xr:uid="{7F7F6115-2ADF-466C-A2D7-3CCAEA4E3EAD}"/>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A973C119-52F0-432D-A9FF-B81AE273C108}"/>
    <cellStyle name="Normal 4 2 4 2 2 2 4 2 3" xfId="12351" xr:uid="{CCC68CAE-9EA7-469D-BD40-747D677131F1}"/>
    <cellStyle name="Normal 4 2 4 2 2 2 4 3" xfId="5974" xr:uid="{00000000-0005-0000-0000-00003B130000}"/>
    <cellStyle name="Normal 4 2 4 2 2 2 4 3 2" xfId="14424" xr:uid="{4746DE88-478E-4291-81EF-38468DA74DA9}"/>
    <cellStyle name="Normal 4 2 4 2 2 2 4 4" xfId="10206" xr:uid="{C2270E97-1411-436C-9FCF-D1E7B979AFDE}"/>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A186EDB7-EC33-4024-BDE3-1BDCD0EB30EC}"/>
    <cellStyle name="Normal 4 2 4 2 2 2 5 2 3" xfId="12764" xr:uid="{9F474B0B-DE90-46BA-B2DD-785BDDA9F41C}"/>
    <cellStyle name="Normal 4 2 4 2 2 2 5 3" xfId="6387" xr:uid="{00000000-0005-0000-0000-00003F130000}"/>
    <cellStyle name="Normal 4 2 4 2 2 2 5 3 2" xfId="14837" xr:uid="{A511560F-4715-4BA1-9A4B-6F6AFBA13E5F}"/>
    <cellStyle name="Normal 4 2 4 2 2 2 5 4" xfId="10619" xr:uid="{984277F7-D6EB-4818-AF49-6A9AEB44A2C0}"/>
    <cellStyle name="Normal 4 2 4 2 2 2 6" xfId="2517" xr:uid="{00000000-0005-0000-0000-000040130000}"/>
    <cellStyle name="Normal 4 2 4 2 2 2 6 2" xfId="6800" xr:uid="{00000000-0005-0000-0000-000041130000}"/>
    <cellStyle name="Normal 4 2 4 2 2 2 6 2 2" xfId="15250" xr:uid="{34B50A2F-283C-4325-9303-2BC11AA68281}"/>
    <cellStyle name="Normal 4 2 4 2 2 2 6 3" xfId="11032" xr:uid="{3229D9CD-6CD5-49B7-8698-3A48CEF94319}"/>
    <cellStyle name="Normal 4 2 4 2 2 2 7" xfId="4735" xr:uid="{00000000-0005-0000-0000-000042130000}"/>
    <cellStyle name="Normal 4 2 4 2 2 2 7 2" xfId="13185" xr:uid="{ABA983FB-CB68-4977-B3C4-EEA767C525F3}"/>
    <cellStyle name="Normal 4 2 4 2 2 2 8" xfId="17407" xr:uid="{85A4AD51-13A3-4DE2-BD38-FE4A50503DF0}"/>
    <cellStyle name="Normal 4 2 4 2 2 2 9" xfId="18240" xr:uid="{272F0273-0388-48F9-A8A2-5F29EA6D6FE1}"/>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3B34C1E9-931D-4C04-9E40-A9AA7B20EBCA}"/>
    <cellStyle name="Normal 4 2 4 2 2 3 2 3" xfId="11524" xr:uid="{7160D325-B461-4318-8E25-5D9B4D72AA79}"/>
    <cellStyle name="Normal 4 2 4 2 2 3 3" xfId="5147" xr:uid="{00000000-0005-0000-0000-000046130000}"/>
    <cellStyle name="Normal 4 2 4 2 2 3 3 2" xfId="13597" xr:uid="{1D1508A0-F8C0-403B-8C66-52CD89A38643}"/>
    <cellStyle name="Normal 4 2 4 2 2 3 4" xfId="17825" xr:uid="{210F1B64-3211-4B31-9A1C-B57E5C6C7767}"/>
    <cellStyle name="Normal 4 2 4 2 2 3 5" xfId="18655" xr:uid="{C7D7EB55-69FA-4FCA-B5A9-FB6B25AD3C85}"/>
    <cellStyle name="Normal 4 2 4 2 2 3 6" xfId="19484" xr:uid="{FC022E08-A334-4B09-B39A-00E5F70E6F28}"/>
    <cellStyle name="Normal 4 2 4 2 2 3 7" xfId="9379" xr:uid="{0D11A214-174A-4B86-AD0F-E43F15E9D5FE}"/>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575041ED-F0D4-4E1D-8F19-20F5E6F01952}"/>
    <cellStyle name="Normal 4 2 4 2 2 4 2 3" xfId="11937" xr:uid="{556E578B-C65A-41CB-B8F8-AF79E423460F}"/>
    <cellStyle name="Normal 4 2 4 2 2 4 3" xfId="5560" xr:uid="{00000000-0005-0000-0000-00004A130000}"/>
    <cellStyle name="Normal 4 2 4 2 2 4 3 2" xfId="14010" xr:uid="{00154E56-799B-4EDD-9970-68B20D3C4F97}"/>
    <cellStyle name="Normal 4 2 4 2 2 4 4" xfId="9792" xr:uid="{4FE2B00B-8248-4E2C-B2F0-CDB0CC58411D}"/>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20F47C4E-71B9-43B4-A143-A897CEFC29E6}"/>
    <cellStyle name="Normal 4 2 4 2 2 5 2 3" xfId="12350" xr:uid="{17D7F17D-ACAC-4BC1-9B77-9DA85404E273}"/>
    <cellStyle name="Normal 4 2 4 2 2 5 3" xfId="5973" xr:uid="{00000000-0005-0000-0000-00004E130000}"/>
    <cellStyle name="Normal 4 2 4 2 2 5 3 2" xfId="14423" xr:uid="{1C4DAFAA-A981-4C23-88EC-9A00B227C221}"/>
    <cellStyle name="Normal 4 2 4 2 2 5 4" xfId="10205" xr:uid="{F69337FA-2321-4B87-AEC1-FE1248970AFC}"/>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76CF15CB-64A0-40F9-95F4-DA1FA2A69941}"/>
    <cellStyle name="Normal 4 2 4 2 2 6 2 3" xfId="12763" xr:uid="{5454EF71-D1E1-4934-B9DB-19DD9D08F3AE}"/>
    <cellStyle name="Normal 4 2 4 2 2 6 3" xfId="6386" xr:uid="{00000000-0005-0000-0000-000052130000}"/>
    <cellStyle name="Normal 4 2 4 2 2 6 3 2" xfId="14836" xr:uid="{5A71BC0B-27DD-4D79-BCF1-01AF44313CF5}"/>
    <cellStyle name="Normal 4 2 4 2 2 6 4" xfId="10618" xr:uid="{C6614DB6-5584-4A51-A6F1-A3CE801245F9}"/>
    <cellStyle name="Normal 4 2 4 2 2 7" xfId="2516" xr:uid="{00000000-0005-0000-0000-000053130000}"/>
    <cellStyle name="Normal 4 2 4 2 2 7 2" xfId="6799" xr:uid="{00000000-0005-0000-0000-000054130000}"/>
    <cellStyle name="Normal 4 2 4 2 2 7 2 2" xfId="15249" xr:uid="{2DF26A81-CB55-443D-9B3C-51AD3E643CF2}"/>
    <cellStyle name="Normal 4 2 4 2 2 7 3" xfId="11031" xr:uid="{0F808F8E-BC1D-4BDC-9426-1CDD3AAB83BA}"/>
    <cellStyle name="Normal 4 2 4 2 2 8" xfId="4734" xr:uid="{00000000-0005-0000-0000-000055130000}"/>
    <cellStyle name="Normal 4 2 4 2 2 8 2" xfId="13184" xr:uid="{B0493019-C350-4499-BAFC-8D73FB49DEFF}"/>
    <cellStyle name="Normal 4 2 4 2 2 9" xfId="17406" xr:uid="{3AA4F998-E388-4E14-B45F-F3E069A036AF}"/>
    <cellStyle name="Normal 4 2 4 2 3" xfId="359" xr:uid="{00000000-0005-0000-0000-000056130000}"/>
    <cellStyle name="Normal 4 2 4 2 3 10" xfId="19070" xr:uid="{14F57610-466C-4641-84FD-CBCBE2F03827}"/>
    <cellStyle name="Normal 4 2 4 2 3 11" xfId="8968" xr:uid="{97CDA8F4-4669-4FF5-8C09-03E354456894}"/>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AFF7CC0F-B7F6-4D65-8145-AAA4C526B4AC}"/>
    <cellStyle name="Normal 4 2 4 2 3 2 2 3" xfId="11526" xr:uid="{A83F95A4-F3A7-476B-9F34-BBF5E264132D}"/>
    <cellStyle name="Normal 4 2 4 2 3 2 3" xfId="5149" xr:uid="{00000000-0005-0000-0000-00005A130000}"/>
    <cellStyle name="Normal 4 2 4 2 3 2 3 2" xfId="13599" xr:uid="{25B51B92-5772-42F9-989E-440F76234876}"/>
    <cellStyle name="Normal 4 2 4 2 3 2 4" xfId="17827" xr:uid="{09970E70-CD45-4D64-A7E3-C4DF194A0328}"/>
    <cellStyle name="Normal 4 2 4 2 3 2 5" xfId="18657" xr:uid="{3689DBE2-FDDB-450D-A66D-BB62B2DB0695}"/>
    <cellStyle name="Normal 4 2 4 2 3 2 6" xfId="19486" xr:uid="{D5A38DA0-3E92-4711-9370-FC3FECD26958}"/>
    <cellStyle name="Normal 4 2 4 2 3 2 7" xfId="9381" xr:uid="{E3A2B829-A8E4-4FAA-AE2A-2EF9DFC4F29D}"/>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98519069-1DBB-4B61-A19C-F15334467798}"/>
    <cellStyle name="Normal 4 2 4 2 3 3 2 3" xfId="11939" xr:uid="{F4B3C532-CCA7-46A0-BC03-D19F8D628EC8}"/>
    <cellStyle name="Normal 4 2 4 2 3 3 3" xfId="5562" xr:uid="{00000000-0005-0000-0000-00005E130000}"/>
    <cellStyle name="Normal 4 2 4 2 3 3 3 2" xfId="14012" xr:uid="{844D0608-38F8-45AF-9366-4B92F22ED1E3}"/>
    <cellStyle name="Normal 4 2 4 2 3 3 4" xfId="9794" xr:uid="{E5817A03-2D47-4D4C-B92B-1778D2941F7C}"/>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F16FBA15-E9D2-4186-8894-A2D8B99B4191}"/>
    <cellStyle name="Normal 4 2 4 2 3 4 2 3" xfId="12352" xr:uid="{88AAD9AE-C187-4DC6-8B72-A8E7916A7BCA}"/>
    <cellStyle name="Normal 4 2 4 2 3 4 3" xfId="5975" xr:uid="{00000000-0005-0000-0000-000062130000}"/>
    <cellStyle name="Normal 4 2 4 2 3 4 3 2" xfId="14425" xr:uid="{2F45F1D7-599E-41AB-AA23-3C5D68725D86}"/>
    <cellStyle name="Normal 4 2 4 2 3 4 4" xfId="10207" xr:uid="{5D611BD0-50B6-4159-9BE6-FA762612879C}"/>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AFCEF282-0D03-4945-AD57-9CA0EDBDAD01}"/>
    <cellStyle name="Normal 4 2 4 2 3 5 2 3" xfId="12765" xr:uid="{175ED926-88ED-4152-AA98-BBED7624EDF9}"/>
    <cellStyle name="Normal 4 2 4 2 3 5 3" xfId="6388" xr:uid="{00000000-0005-0000-0000-000066130000}"/>
    <cellStyle name="Normal 4 2 4 2 3 5 3 2" xfId="14838" xr:uid="{EF231EA6-EBF0-4C6F-A23E-EB6444C2C09E}"/>
    <cellStyle name="Normal 4 2 4 2 3 5 4" xfId="10620" xr:uid="{FE661A8F-FA61-42A6-BA1A-A9845BF1CFE0}"/>
    <cellStyle name="Normal 4 2 4 2 3 6" xfId="2518" xr:uid="{00000000-0005-0000-0000-000067130000}"/>
    <cellStyle name="Normal 4 2 4 2 3 6 2" xfId="6801" xr:uid="{00000000-0005-0000-0000-000068130000}"/>
    <cellStyle name="Normal 4 2 4 2 3 6 2 2" xfId="15251" xr:uid="{503F3653-2D46-41B3-9421-5B2EAD966E33}"/>
    <cellStyle name="Normal 4 2 4 2 3 6 3" xfId="11033" xr:uid="{74887011-1E25-4451-91FC-175216830FC4}"/>
    <cellStyle name="Normal 4 2 4 2 3 7" xfId="4736" xr:uid="{00000000-0005-0000-0000-000069130000}"/>
    <cellStyle name="Normal 4 2 4 2 3 7 2" xfId="13186" xr:uid="{51F5D5BA-C72C-4808-9A6B-1D56EF5F382B}"/>
    <cellStyle name="Normal 4 2 4 2 3 8" xfId="17408" xr:uid="{A6262E51-9B34-4E19-A72D-1633F00458B6}"/>
    <cellStyle name="Normal 4 2 4 2 3 9" xfId="18241" xr:uid="{FC0D2687-0069-42B6-A075-8CA788BADB5B}"/>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E9AC84CA-0DCE-49AE-9506-CD03C50F3DC1}"/>
    <cellStyle name="Normal 4 2 4 2 4 2 3" xfId="11523" xr:uid="{54CFBF63-F931-4144-94DA-30FC14314E20}"/>
    <cellStyle name="Normal 4 2 4 2 4 3" xfId="5146" xr:uid="{00000000-0005-0000-0000-00006D130000}"/>
    <cellStyle name="Normal 4 2 4 2 4 3 2" xfId="13596" xr:uid="{829342CF-9178-436B-A30E-1BAA6577A216}"/>
    <cellStyle name="Normal 4 2 4 2 4 4" xfId="17824" xr:uid="{8B9B0D25-632E-47CC-BD2B-80F9B6BFC398}"/>
    <cellStyle name="Normal 4 2 4 2 4 5" xfId="18654" xr:uid="{81500078-C236-4202-9EE4-7650B6FA3B7B}"/>
    <cellStyle name="Normal 4 2 4 2 4 6" xfId="19483" xr:uid="{48D530AD-3F6D-495A-9683-4E26F92588E2}"/>
    <cellStyle name="Normal 4 2 4 2 4 7" xfId="9378" xr:uid="{B93863EA-E87F-4CC2-BF0F-4390C5425FF5}"/>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31B09635-E9EA-4239-B6E0-BF2184FF0F71}"/>
    <cellStyle name="Normal 4 2 4 2 5 2 3" xfId="11936" xr:uid="{5C64EA2D-B1A1-4B49-834E-43444D87E953}"/>
    <cellStyle name="Normal 4 2 4 2 5 3" xfId="5559" xr:uid="{00000000-0005-0000-0000-000071130000}"/>
    <cellStyle name="Normal 4 2 4 2 5 3 2" xfId="14009" xr:uid="{FA950E89-4A24-4022-A8B0-C7606BE5D8AA}"/>
    <cellStyle name="Normal 4 2 4 2 5 4" xfId="9791" xr:uid="{1FC48786-0A88-49A0-B9EF-4B273DDDA317}"/>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3CD190EB-5B89-46F2-9720-44727CA1AAE5}"/>
    <cellStyle name="Normal 4 2 4 2 6 2 3" xfId="12349" xr:uid="{E30F708E-5AC8-4F1F-BAAC-907C72A3E59A}"/>
    <cellStyle name="Normal 4 2 4 2 6 3" xfId="5972" xr:uid="{00000000-0005-0000-0000-000075130000}"/>
    <cellStyle name="Normal 4 2 4 2 6 3 2" xfId="14422" xr:uid="{35FE6FAA-593E-4ED8-8719-4AECC8527F6F}"/>
    <cellStyle name="Normal 4 2 4 2 6 4" xfId="10204" xr:uid="{6EA41981-F395-449D-92C2-D496FBB6331F}"/>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5B37553B-1C9F-49D1-A646-2B19878F5F67}"/>
    <cellStyle name="Normal 4 2 4 2 7 2 3" xfId="12762" xr:uid="{E28AA58B-A4FE-480E-BA3C-E4F09227B5F5}"/>
    <cellStyle name="Normal 4 2 4 2 7 3" xfId="6385" xr:uid="{00000000-0005-0000-0000-000079130000}"/>
    <cellStyle name="Normal 4 2 4 2 7 3 2" xfId="14835" xr:uid="{B36869A2-B787-4883-BB96-70F235DFEF14}"/>
    <cellStyle name="Normal 4 2 4 2 7 4" xfId="10617" xr:uid="{C83875F1-CB53-44DD-8015-40D3C17BA6F1}"/>
    <cellStyle name="Normal 4 2 4 2 8" xfId="2515" xr:uid="{00000000-0005-0000-0000-00007A130000}"/>
    <cellStyle name="Normal 4 2 4 2 8 2" xfId="6798" xr:uid="{00000000-0005-0000-0000-00007B130000}"/>
    <cellStyle name="Normal 4 2 4 2 8 2 2" xfId="15248" xr:uid="{F6A79B71-7D64-40B2-8A0A-516A7EEEE4D8}"/>
    <cellStyle name="Normal 4 2 4 2 8 3" xfId="11030" xr:uid="{82480350-9B3E-4E7E-9BDE-94C24D2AC6C5}"/>
    <cellStyle name="Normal 4 2 4 2 9" xfId="4733" xr:uid="{00000000-0005-0000-0000-00007C130000}"/>
    <cellStyle name="Normal 4 2 4 2 9 2" xfId="13183" xr:uid="{47D5C0EF-E37D-41A1-A8F4-6FCCFBFCF78E}"/>
    <cellStyle name="Normal 4 2 4 3" xfId="360" xr:uid="{00000000-0005-0000-0000-00007D130000}"/>
    <cellStyle name="Normal 4 2 4 3 10" xfId="18242" xr:uid="{081A3700-E404-4679-B315-FFE8C7B48CF3}"/>
    <cellStyle name="Normal 4 2 4 3 11" xfId="19071" xr:uid="{F81B0D67-55EC-4A23-B246-9C495D7AEA5A}"/>
    <cellStyle name="Normal 4 2 4 3 12" xfId="8969" xr:uid="{15E5EB14-C5D4-43F2-B60F-AD989B19AD39}"/>
    <cellStyle name="Normal 4 2 4 3 2" xfId="361" xr:uid="{00000000-0005-0000-0000-00007E130000}"/>
    <cellStyle name="Normal 4 2 4 3 2 10" xfId="19072" xr:uid="{817636DB-CF00-4C56-BB73-1AF1D955649F}"/>
    <cellStyle name="Normal 4 2 4 3 2 11" xfId="8970" xr:uid="{F22353A5-93A9-4838-B6A5-60DE04B492B9}"/>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D29D1977-4C53-4C40-B52E-13D29F6B258A}"/>
    <cellStyle name="Normal 4 2 4 3 2 2 2 3" xfId="11528" xr:uid="{460BFE69-32F5-4DEB-99A7-597674EB3528}"/>
    <cellStyle name="Normal 4 2 4 3 2 2 3" xfId="5151" xr:uid="{00000000-0005-0000-0000-000082130000}"/>
    <cellStyle name="Normal 4 2 4 3 2 2 3 2" xfId="13601" xr:uid="{0A2BA874-BF28-49AD-AD78-8536DF2CB771}"/>
    <cellStyle name="Normal 4 2 4 3 2 2 4" xfId="17829" xr:uid="{370F38C0-99F9-4A4E-B92D-B0A7162671D8}"/>
    <cellStyle name="Normal 4 2 4 3 2 2 5" xfId="18659" xr:uid="{B4CC7DA3-F0DC-4B38-854F-6FBFFEA8190E}"/>
    <cellStyle name="Normal 4 2 4 3 2 2 6" xfId="19488" xr:uid="{455766BD-937E-45BC-8177-3CA2D2B0B825}"/>
    <cellStyle name="Normal 4 2 4 3 2 2 7" xfId="9383" xr:uid="{60A98E78-BBB1-4982-8B05-E45D3460064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20924840-2B77-48C8-A610-C004995B07DD}"/>
    <cellStyle name="Normal 4 2 4 3 2 3 2 3" xfId="11941" xr:uid="{C9CD8B9B-EF40-4AED-81B2-E2229EC7209C}"/>
    <cellStyle name="Normal 4 2 4 3 2 3 3" xfId="5564" xr:uid="{00000000-0005-0000-0000-000086130000}"/>
    <cellStyle name="Normal 4 2 4 3 2 3 3 2" xfId="14014" xr:uid="{72377090-9BF9-401A-A54C-EA86B4FB987F}"/>
    <cellStyle name="Normal 4 2 4 3 2 3 4" xfId="9796" xr:uid="{1902A1FB-A94F-4EF2-99BE-411348B76885}"/>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AF8A1DB3-ECA5-4F1D-8858-430508D780CD}"/>
    <cellStyle name="Normal 4 2 4 3 2 4 2 3" xfId="12354" xr:uid="{D9DB4502-87E8-4D24-95BA-CC86C4D5A0F2}"/>
    <cellStyle name="Normal 4 2 4 3 2 4 3" xfId="5977" xr:uid="{00000000-0005-0000-0000-00008A130000}"/>
    <cellStyle name="Normal 4 2 4 3 2 4 3 2" xfId="14427" xr:uid="{01C23848-92A4-456F-A116-53F3F68D23EF}"/>
    <cellStyle name="Normal 4 2 4 3 2 4 4" xfId="10209" xr:uid="{DC28EA43-C0E8-41B1-859F-BEC75BCF1F9D}"/>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CAAE46FF-D485-4808-9921-592446A199C4}"/>
    <cellStyle name="Normal 4 2 4 3 2 5 2 3" xfId="12767" xr:uid="{F8BBAC03-4CB4-46A2-808C-F985B2E3E33E}"/>
    <cellStyle name="Normal 4 2 4 3 2 5 3" xfId="6390" xr:uid="{00000000-0005-0000-0000-00008E130000}"/>
    <cellStyle name="Normal 4 2 4 3 2 5 3 2" xfId="14840" xr:uid="{5795C1CB-C4B6-4095-970E-245C796D9F7B}"/>
    <cellStyle name="Normal 4 2 4 3 2 5 4" xfId="10622" xr:uid="{F5B224F6-43FA-4190-9F2A-29CF65B983FA}"/>
    <cellStyle name="Normal 4 2 4 3 2 6" xfId="2520" xr:uid="{00000000-0005-0000-0000-00008F130000}"/>
    <cellStyle name="Normal 4 2 4 3 2 6 2" xfId="6803" xr:uid="{00000000-0005-0000-0000-000090130000}"/>
    <cellStyle name="Normal 4 2 4 3 2 6 2 2" xfId="15253" xr:uid="{BDAD8EEE-A8E8-477F-8565-1ABBB04C58BF}"/>
    <cellStyle name="Normal 4 2 4 3 2 6 3" xfId="11035" xr:uid="{AAAC9003-1270-4930-96C1-E7E819986C99}"/>
    <cellStyle name="Normal 4 2 4 3 2 7" xfId="4738" xr:uid="{00000000-0005-0000-0000-000091130000}"/>
    <cellStyle name="Normal 4 2 4 3 2 7 2" xfId="13188" xr:uid="{062112E1-EED4-4919-A9FE-95AA388F00C6}"/>
    <cellStyle name="Normal 4 2 4 3 2 8" xfId="17410" xr:uid="{9A347C4A-82C6-4CCA-BDEB-3153B2E33D3C}"/>
    <cellStyle name="Normal 4 2 4 3 2 9" xfId="18243" xr:uid="{EF027D57-0F4A-466F-9CB4-13D8B6262EF5}"/>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14334B69-5BF7-4E1F-B525-63988BB33988}"/>
    <cellStyle name="Normal 4 2 4 3 3 2 3" xfId="11527" xr:uid="{2BDBB549-49AA-450C-92D1-92A0CE815D34}"/>
    <cellStyle name="Normal 4 2 4 3 3 3" xfId="5150" xr:uid="{00000000-0005-0000-0000-000095130000}"/>
    <cellStyle name="Normal 4 2 4 3 3 3 2" xfId="13600" xr:uid="{8BBB6D7B-5DB4-4555-8BDD-2014673F645B}"/>
    <cellStyle name="Normal 4 2 4 3 3 4" xfId="17828" xr:uid="{F898D66E-E1AD-413F-A49E-ECBFA3A74BDB}"/>
    <cellStyle name="Normal 4 2 4 3 3 5" xfId="18658" xr:uid="{BEDD480F-1D20-4B8F-886B-21944534E8AE}"/>
    <cellStyle name="Normal 4 2 4 3 3 6" xfId="19487" xr:uid="{96D72C56-8B0E-4919-A2A5-CF21046E5203}"/>
    <cellStyle name="Normal 4 2 4 3 3 7" xfId="9382" xr:uid="{96EB9171-A336-45EB-A398-E26DCC6A1EE9}"/>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A57956A4-646E-45D9-85CD-DFF1AD45F6A0}"/>
    <cellStyle name="Normal 4 2 4 3 4 2 3" xfId="11940" xr:uid="{A466AC35-3AE3-4661-B22F-D55D5996D7A7}"/>
    <cellStyle name="Normal 4 2 4 3 4 3" xfId="5563" xr:uid="{00000000-0005-0000-0000-000099130000}"/>
    <cellStyle name="Normal 4 2 4 3 4 3 2" xfId="14013" xr:uid="{C0F30214-6E4C-4660-B45D-CB1FB7A261B4}"/>
    <cellStyle name="Normal 4 2 4 3 4 4" xfId="9795" xr:uid="{FF1F6956-7543-4693-B0DC-477C1B21B25B}"/>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8A0EEE81-414A-44F9-A885-7519C01DF6C9}"/>
    <cellStyle name="Normal 4 2 4 3 5 2 3" xfId="12353" xr:uid="{585107DD-C095-453E-9B23-73DB9A1DA12C}"/>
    <cellStyle name="Normal 4 2 4 3 5 3" xfId="5976" xr:uid="{00000000-0005-0000-0000-00009D130000}"/>
    <cellStyle name="Normal 4 2 4 3 5 3 2" xfId="14426" xr:uid="{F700E56F-1560-4F6D-98EC-10C4861D0EB5}"/>
    <cellStyle name="Normal 4 2 4 3 5 4" xfId="10208" xr:uid="{F729D6D5-3658-47CF-AD5E-7E42225B5E87}"/>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DDE15BBD-9A2A-4277-8761-F4884F1A5FDB}"/>
    <cellStyle name="Normal 4 2 4 3 6 2 3" xfId="12766" xr:uid="{F1825839-8B09-423C-9C22-B1E512C517AF}"/>
    <cellStyle name="Normal 4 2 4 3 6 3" xfId="6389" xr:uid="{00000000-0005-0000-0000-0000A1130000}"/>
    <cellStyle name="Normal 4 2 4 3 6 3 2" xfId="14839" xr:uid="{ED58452F-D4B0-41F3-A929-DB3699802E8C}"/>
    <cellStyle name="Normal 4 2 4 3 6 4" xfId="10621" xr:uid="{C45F3728-0C96-42D5-80EF-F41988C4EB7D}"/>
    <cellStyle name="Normal 4 2 4 3 7" xfId="2519" xr:uid="{00000000-0005-0000-0000-0000A2130000}"/>
    <cellStyle name="Normal 4 2 4 3 7 2" xfId="6802" xr:uid="{00000000-0005-0000-0000-0000A3130000}"/>
    <cellStyle name="Normal 4 2 4 3 7 2 2" xfId="15252" xr:uid="{C9066608-70F3-4FBC-B8A2-B89194CC7581}"/>
    <cellStyle name="Normal 4 2 4 3 7 3" xfId="11034" xr:uid="{D2CB829D-25B6-4D2E-A26A-9C41FB280B49}"/>
    <cellStyle name="Normal 4 2 4 3 8" xfId="4737" xr:uid="{00000000-0005-0000-0000-0000A4130000}"/>
    <cellStyle name="Normal 4 2 4 3 8 2" xfId="13187" xr:uid="{935974AA-2649-4BDD-BD2D-E44E32BF40B7}"/>
    <cellStyle name="Normal 4 2 4 3 9" xfId="17409" xr:uid="{F0C4772A-7747-4207-81AD-D06F660F9B18}"/>
    <cellStyle name="Normal 4 2 4 4" xfId="362" xr:uid="{00000000-0005-0000-0000-0000A5130000}"/>
    <cellStyle name="Normal 4 2 4 4 10" xfId="19073" xr:uid="{70E6DF3A-D59D-459A-9B08-CD4E82979EF1}"/>
    <cellStyle name="Normal 4 2 4 4 11" xfId="8971" xr:uid="{048F12AE-BDCD-4AEB-9947-8609341D0225}"/>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D6CCE45D-E793-4A2D-943D-1F42F35ABB82}"/>
    <cellStyle name="Normal 4 2 4 4 2 2 3" xfId="11529" xr:uid="{D7511B06-328B-407A-84EE-6FFBB631FF3B}"/>
    <cellStyle name="Normal 4 2 4 4 2 3" xfId="5152" xr:uid="{00000000-0005-0000-0000-0000A9130000}"/>
    <cellStyle name="Normal 4 2 4 4 2 3 2" xfId="13602" xr:uid="{D079A78B-AB81-48DE-BFD7-D4B76A70E431}"/>
    <cellStyle name="Normal 4 2 4 4 2 4" xfId="17830" xr:uid="{8378740C-F1BC-4A04-827E-3FEFF4071A4C}"/>
    <cellStyle name="Normal 4 2 4 4 2 5" xfId="18660" xr:uid="{BA50DDA5-BA04-4B1D-BA91-2AE26CEE2087}"/>
    <cellStyle name="Normal 4 2 4 4 2 6" xfId="19489" xr:uid="{B5839D1F-C870-4BD4-BC35-7392A8763799}"/>
    <cellStyle name="Normal 4 2 4 4 2 7" xfId="9384" xr:uid="{000DCC6E-A4C6-4B3B-9A87-C30C3A99E27D}"/>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C3C5319B-1A35-4F06-9502-A8C778995C3A}"/>
    <cellStyle name="Normal 4 2 4 4 3 2 3" xfId="11942" xr:uid="{F3D86885-119D-481A-BD21-F6E0471A8A56}"/>
    <cellStyle name="Normal 4 2 4 4 3 3" xfId="5565" xr:uid="{00000000-0005-0000-0000-0000AD130000}"/>
    <cellStyle name="Normal 4 2 4 4 3 3 2" xfId="14015" xr:uid="{5811B0DF-A8CD-408F-8FCF-2724B085FDD8}"/>
    <cellStyle name="Normal 4 2 4 4 3 4" xfId="9797" xr:uid="{A49588C8-BE3B-47AC-A3F7-E72F1FDB4FA4}"/>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B1E05FA9-D515-4F63-B353-32E6A658F7DA}"/>
    <cellStyle name="Normal 4 2 4 4 4 2 3" xfId="12355" xr:uid="{AE58579C-BDD2-4407-9450-97BFC45C35FD}"/>
    <cellStyle name="Normal 4 2 4 4 4 3" xfId="5978" xr:uid="{00000000-0005-0000-0000-0000B1130000}"/>
    <cellStyle name="Normal 4 2 4 4 4 3 2" xfId="14428" xr:uid="{D4D3FD5F-04C1-4B1B-B059-408018CF684E}"/>
    <cellStyle name="Normal 4 2 4 4 4 4" xfId="10210" xr:uid="{9F745541-F832-49AA-9BE7-2E339707A5F8}"/>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DCD09FC5-1B0B-4BBF-9B72-637C036ADCB5}"/>
    <cellStyle name="Normal 4 2 4 4 5 2 3" xfId="12768" xr:uid="{2C1C3302-CF07-48F7-B901-59E4A66267A3}"/>
    <cellStyle name="Normal 4 2 4 4 5 3" xfId="6391" xr:uid="{00000000-0005-0000-0000-0000B5130000}"/>
    <cellStyle name="Normal 4 2 4 4 5 3 2" xfId="14841" xr:uid="{BF1E88CE-45FA-421E-A48D-CD2A09804278}"/>
    <cellStyle name="Normal 4 2 4 4 5 4" xfId="10623" xr:uid="{066E3FB4-20D7-4061-8964-0CAC523E87A8}"/>
    <cellStyle name="Normal 4 2 4 4 6" xfId="2521" xr:uid="{00000000-0005-0000-0000-0000B6130000}"/>
    <cellStyle name="Normal 4 2 4 4 6 2" xfId="6804" xr:uid="{00000000-0005-0000-0000-0000B7130000}"/>
    <cellStyle name="Normal 4 2 4 4 6 2 2" xfId="15254" xr:uid="{E094C7BF-110D-42FB-83D7-C7295BBF7E79}"/>
    <cellStyle name="Normal 4 2 4 4 6 3" xfId="11036" xr:uid="{45578452-50B3-4586-A2E3-F776F1872347}"/>
    <cellStyle name="Normal 4 2 4 4 7" xfId="4739" xr:uid="{00000000-0005-0000-0000-0000B8130000}"/>
    <cellStyle name="Normal 4 2 4 4 7 2" xfId="13189" xr:uid="{736533F9-FB47-4D0D-BF04-0905CE50D0F9}"/>
    <cellStyle name="Normal 4 2 4 4 8" xfId="17411" xr:uid="{D181247A-CA2B-4B04-AB96-88627E7E3FAC}"/>
    <cellStyle name="Normal 4 2 4 4 9" xfId="18244" xr:uid="{82082FE6-52EF-4A7F-A79C-508107E99B91}"/>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B04DD13E-E6DF-48F3-A832-2ADA4A1F7508}"/>
    <cellStyle name="Normal 4 2 4 5 2 3" xfId="11522" xr:uid="{8F9F5FD6-284C-4095-9E0E-3FC6FDD96D7C}"/>
    <cellStyle name="Normal 4 2 4 5 3" xfId="5145" xr:uid="{00000000-0005-0000-0000-0000BC130000}"/>
    <cellStyle name="Normal 4 2 4 5 3 2" xfId="13595" xr:uid="{44ACB7ED-93DD-4E3B-A067-2D92E2333907}"/>
    <cellStyle name="Normal 4 2 4 5 4" xfId="17823" xr:uid="{19AB638A-279C-477E-9683-87711C7034A4}"/>
    <cellStyle name="Normal 4 2 4 5 5" xfId="18653" xr:uid="{059E502F-F449-42A9-B288-39F88F475E99}"/>
    <cellStyle name="Normal 4 2 4 5 6" xfId="19482" xr:uid="{29AD077F-BEE0-4C5F-B643-4271BD9022A3}"/>
    <cellStyle name="Normal 4 2 4 5 7" xfId="9377" xr:uid="{B8BEB05B-C37C-4CD2-8C86-2DDB381F9B3C}"/>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544AC016-34EF-4F7E-A746-27EF8DB8A7B7}"/>
    <cellStyle name="Normal 4 2 4 6 2 3" xfId="11935" xr:uid="{6A7E4A8E-2889-42E5-8700-35D03FF8771E}"/>
    <cellStyle name="Normal 4 2 4 6 3" xfId="5558" xr:uid="{00000000-0005-0000-0000-0000C0130000}"/>
    <cellStyle name="Normal 4 2 4 6 3 2" xfId="14008" xr:uid="{2964C838-F602-4461-8E8D-DD5E61E5E217}"/>
    <cellStyle name="Normal 4 2 4 6 4" xfId="9790" xr:uid="{984EC7C1-396D-409E-AF08-BF5FA57D71E5}"/>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06BC37B5-5170-4E24-9FEE-80B4365EE13E}"/>
    <cellStyle name="Normal 4 2 4 7 2 3" xfId="12348" xr:uid="{9170FAAB-34C3-41E3-9AA6-796DFE2177D7}"/>
    <cellStyle name="Normal 4 2 4 7 3" xfId="5971" xr:uid="{00000000-0005-0000-0000-0000C4130000}"/>
    <cellStyle name="Normal 4 2 4 7 3 2" xfId="14421" xr:uid="{97668488-99DC-4AE3-8EBB-5BCBF8D32CA0}"/>
    <cellStyle name="Normal 4 2 4 7 4" xfId="10203" xr:uid="{AD2DF669-EA03-4E9E-A4AB-97636C7F0CA6}"/>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96FD42B0-823C-4F9C-9693-099BF91A2419}"/>
    <cellStyle name="Normal 4 2 4 8 2 3" xfId="12761" xr:uid="{3D40FE22-4D7D-465D-B7E9-EF357DAC0139}"/>
    <cellStyle name="Normal 4 2 4 8 3" xfId="6384" xr:uid="{00000000-0005-0000-0000-0000C8130000}"/>
    <cellStyle name="Normal 4 2 4 8 3 2" xfId="14834" xr:uid="{94E59413-BCFF-486F-8310-391F38D227B2}"/>
    <cellStyle name="Normal 4 2 4 8 4" xfId="10616" xr:uid="{097FBEE1-E571-457C-8B0A-BF0A9D8620B1}"/>
    <cellStyle name="Normal 4 2 4 9" xfId="2514" xr:uid="{00000000-0005-0000-0000-0000C9130000}"/>
    <cellStyle name="Normal 4 2 4 9 2" xfId="6797" xr:uid="{00000000-0005-0000-0000-0000CA130000}"/>
    <cellStyle name="Normal 4 2 4 9 2 2" xfId="15247" xr:uid="{229174FE-9C86-4C55-B7CD-8CB53524EA07}"/>
    <cellStyle name="Normal 4 2 4 9 3" xfId="11029" xr:uid="{6DAA92CF-718C-4042-B8B3-C3C6F146862E}"/>
    <cellStyle name="Normal 4 2 5" xfId="363" xr:uid="{00000000-0005-0000-0000-0000CB130000}"/>
    <cellStyle name="Normal 4 2 5 10" xfId="18245" xr:uid="{4FA2A4E3-23C4-4119-A52C-834260E56A56}"/>
    <cellStyle name="Normal 4 2 5 11" xfId="19074" xr:uid="{B1658683-72F6-47E0-A650-CCFDCC251047}"/>
    <cellStyle name="Normal 4 2 5 12" xfId="8972" xr:uid="{BCE48483-0AF2-41E6-8E11-FDB6A617FA09}"/>
    <cellStyle name="Normal 4 2 5 2" xfId="364" xr:uid="{00000000-0005-0000-0000-0000CC130000}"/>
    <cellStyle name="Normal 4 2 5 2 10" xfId="19075" xr:uid="{64C1CFD6-CE3C-4BB6-964C-6F4942626C7C}"/>
    <cellStyle name="Normal 4 2 5 2 11" xfId="8973" xr:uid="{D7FA2957-6011-430F-ADC7-EB97BD290F47}"/>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D815A849-1A01-4C0E-B864-D67154771FED}"/>
    <cellStyle name="Normal 4 2 5 2 2 2 3" xfId="11531" xr:uid="{1CEF3560-EEFD-4517-996B-6B87055A2725}"/>
    <cellStyle name="Normal 4 2 5 2 2 3" xfId="5154" xr:uid="{00000000-0005-0000-0000-0000D0130000}"/>
    <cellStyle name="Normal 4 2 5 2 2 3 2" xfId="13604" xr:uid="{8DC5B071-D60B-4269-AFD9-A5D23944C6DF}"/>
    <cellStyle name="Normal 4 2 5 2 2 4" xfId="17832" xr:uid="{74FEBFCC-AB0C-498F-B385-6ACACCA12D08}"/>
    <cellStyle name="Normal 4 2 5 2 2 5" xfId="18662" xr:uid="{A394AEA9-8A5B-4D5A-8850-ED99F0C6F885}"/>
    <cellStyle name="Normal 4 2 5 2 2 6" xfId="19491" xr:uid="{0E8FC66C-10BD-4CE4-BC7D-3DEDC19736A7}"/>
    <cellStyle name="Normal 4 2 5 2 2 7" xfId="9386" xr:uid="{06D0080B-C543-4D61-BCB6-237ECEF85F29}"/>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1CAA7436-0A0D-4AB4-9C38-0CF7D0B9D7D0}"/>
    <cellStyle name="Normal 4 2 5 2 3 2 3" xfId="11944" xr:uid="{C819FFB0-1E5A-4499-A656-A9A1A30DD558}"/>
    <cellStyle name="Normal 4 2 5 2 3 3" xfId="5567" xr:uid="{00000000-0005-0000-0000-0000D4130000}"/>
    <cellStyle name="Normal 4 2 5 2 3 3 2" xfId="14017" xr:uid="{0B47BB11-F2C5-4C6D-970A-5ED1175C3F0A}"/>
    <cellStyle name="Normal 4 2 5 2 3 4" xfId="9799" xr:uid="{3DA109BC-C850-424B-8D3C-DFB65F413ABA}"/>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616CC5E9-41D1-4588-B9EE-C79E050622EC}"/>
    <cellStyle name="Normal 4 2 5 2 4 2 3" xfId="12357" xr:uid="{75701ACC-06C9-4D72-8B0D-05261FF592C4}"/>
    <cellStyle name="Normal 4 2 5 2 4 3" xfId="5980" xr:uid="{00000000-0005-0000-0000-0000D8130000}"/>
    <cellStyle name="Normal 4 2 5 2 4 3 2" xfId="14430" xr:uid="{1F978B19-84CA-4B58-80B7-E0BA5DF052C5}"/>
    <cellStyle name="Normal 4 2 5 2 4 4" xfId="10212" xr:uid="{29361BBC-FE35-4535-B3CF-35699CB5C070}"/>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168186FC-38A3-496D-97A7-B5F3C73BE5B9}"/>
    <cellStyle name="Normal 4 2 5 2 5 2 3" xfId="12770" xr:uid="{54D9B858-DE68-45CA-AD34-563E063F75B2}"/>
    <cellStyle name="Normal 4 2 5 2 5 3" xfId="6393" xr:uid="{00000000-0005-0000-0000-0000DC130000}"/>
    <cellStyle name="Normal 4 2 5 2 5 3 2" xfId="14843" xr:uid="{5D5BA3E6-2C31-42FF-8861-FAB6DA8A479C}"/>
    <cellStyle name="Normal 4 2 5 2 5 4" xfId="10625" xr:uid="{05A0DA29-1E71-40FE-BA33-592944ECF390}"/>
    <cellStyle name="Normal 4 2 5 2 6" xfId="2523" xr:uid="{00000000-0005-0000-0000-0000DD130000}"/>
    <cellStyle name="Normal 4 2 5 2 6 2" xfId="6806" xr:uid="{00000000-0005-0000-0000-0000DE130000}"/>
    <cellStyle name="Normal 4 2 5 2 6 2 2" xfId="15256" xr:uid="{3F560D70-F4FF-4677-9371-490274B71CCF}"/>
    <cellStyle name="Normal 4 2 5 2 6 3" xfId="11038" xr:uid="{945B81B3-D26F-42BF-9CF9-1C3E99815E60}"/>
    <cellStyle name="Normal 4 2 5 2 7" xfId="4741" xr:uid="{00000000-0005-0000-0000-0000DF130000}"/>
    <cellStyle name="Normal 4 2 5 2 7 2" xfId="13191" xr:uid="{E872D6CD-C61C-45BD-BBC7-CF0D2662E099}"/>
    <cellStyle name="Normal 4 2 5 2 8" xfId="17413" xr:uid="{07185BE1-096E-46F5-8BF0-08183905E69F}"/>
    <cellStyle name="Normal 4 2 5 2 9" xfId="18246" xr:uid="{EFBAE144-001D-4FA9-8277-B1A80C57E750}"/>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77BDA5BB-5652-423A-9E02-B64ED39CA8AA}"/>
    <cellStyle name="Normal 4 2 5 3 2 3" xfId="11530" xr:uid="{1BEF59DD-E2CC-4F1C-974E-067ECE357E12}"/>
    <cellStyle name="Normal 4 2 5 3 3" xfId="5153" xr:uid="{00000000-0005-0000-0000-0000E3130000}"/>
    <cellStyle name="Normal 4 2 5 3 3 2" xfId="13603" xr:uid="{4EFF8E69-5A1F-49B7-BCAD-B0487686AB88}"/>
    <cellStyle name="Normal 4 2 5 3 4" xfId="17831" xr:uid="{037F4D1B-3A7D-4225-A4F6-200D8807ABE4}"/>
    <cellStyle name="Normal 4 2 5 3 5" xfId="18661" xr:uid="{C0DA1007-B19A-4BEB-B2AE-3404369FB561}"/>
    <cellStyle name="Normal 4 2 5 3 6" xfId="19490" xr:uid="{58AFAFEF-F7CE-4426-85B8-3826EC6D68B4}"/>
    <cellStyle name="Normal 4 2 5 3 7" xfId="9385" xr:uid="{4E0607A4-5C11-4FBF-B54C-3C829C56742D}"/>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26064FC8-0F81-408F-8647-8B698D4D6A73}"/>
    <cellStyle name="Normal 4 2 5 4 2 3" xfId="11943" xr:uid="{8BBEEC86-A645-4D41-9825-C54AAACE952B}"/>
    <cellStyle name="Normal 4 2 5 4 3" xfId="5566" xr:uid="{00000000-0005-0000-0000-0000E7130000}"/>
    <cellStyle name="Normal 4 2 5 4 3 2" xfId="14016" xr:uid="{D6F797ED-57A5-4825-A632-FBC7418A6914}"/>
    <cellStyle name="Normal 4 2 5 4 4" xfId="9798" xr:uid="{222AE90A-5CB6-4977-9969-F346B5C5435E}"/>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6D94CE07-3416-4C7D-A239-3FCF80ED2AF9}"/>
    <cellStyle name="Normal 4 2 5 5 2 3" xfId="12356" xr:uid="{C5EC6D30-4770-42B8-9992-9323D0B38A08}"/>
    <cellStyle name="Normal 4 2 5 5 3" xfId="5979" xr:uid="{00000000-0005-0000-0000-0000EB130000}"/>
    <cellStyle name="Normal 4 2 5 5 3 2" xfId="14429" xr:uid="{92C149C8-1A7F-46AC-961F-BF88F2218B05}"/>
    <cellStyle name="Normal 4 2 5 5 4" xfId="10211" xr:uid="{E8AAD7FD-FC43-41C4-B16E-AFFD7BD2B546}"/>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E5982554-C6FA-47BC-978E-0BC3E486B96E}"/>
    <cellStyle name="Normal 4 2 5 6 2 3" xfId="12769" xr:uid="{1B0CCDC0-19B2-472F-BD78-357561081705}"/>
    <cellStyle name="Normal 4 2 5 6 3" xfId="6392" xr:uid="{00000000-0005-0000-0000-0000EF130000}"/>
    <cellStyle name="Normal 4 2 5 6 3 2" xfId="14842" xr:uid="{A3D9E1C1-7741-499D-BCEE-98B6E8729E8B}"/>
    <cellStyle name="Normal 4 2 5 6 4" xfId="10624" xr:uid="{461FF65A-0B3D-4066-A68F-A983B166AF44}"/>
    <cellStyle name="Normal 4 2 5 7" xfId="2522" xr:uid="{00000000-0005-0000-0000-0000F0130000}"/>
    <cellStyle name="Normal 4 2 5 7 2" xfId="6805" xr:uid="{00000000-0005-0000-0000-0000F1130000}"/>
    <cellStyle name="Normal 4 2 5 7 2 2" xfId="15255" xr:uid="{8E9B6A00-0ED8-41C2-87B6-5829289C4DC6}"/>
    <cellStyle name="Normal 4 2 5 7 3" xfId="11037" xr:uid="{07778501-6D56-4303-9871-473FF188FAF1}"/>
    <cellStyle name="Normal 4 2 5 8" xfId="4740" xr:uid="{00000000-0005-0000-0000-0000F2130000}"/>
    <cellStyle name="Normal 4 2 5 8 2" xfId="13190" xr:uid="{84D4E5EF-0733-4197-9FC7-A20CC0B5568A}"/>
    <cellStyle name="Normal 4 2 5 9" xfId="17412" xr:uid="{6CE08839-9E94-42AB-BF84-B9F67235B064}"/>
    <cellStyle name="Normal 4 2 6" xfId="365" xr:uid="{00000000-0005-0000-0000-0000F3130000}"/>
    <cellStyle name="Normal 4 2 6 10" xfId="19076" xr:uid="{F1180A8D-C39F-4D89-A3A0-7AD22DE14F7E}"/>
    <cellStyle name="Normal 4 2 6 11" xfId="8974" xr:uid="{DA7697B2-C859-423F-9BFE-2C509A47A096}"/>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710FB230-5911-4987-BE89-81FB10C7894B}"/>
    <cellStyle name="Normal 4 2 6 2 2 3" xfId="11532" xr:uid="{B4B76CEA-025F-489D-BF80-8B9E57C200B0}"/>
    <cellStyle name="Normal 4 2 6 2 3" xfId="5155" xr:uid="{00000000-0005-0000-0000-0000F7130000}"/>
    <cellStyle name="Normal 4 2 6 2 3 2" xfId="13605" xr:uid="{901DC2E6-83C4-4EDE-8838-0CDF8A3E2E9C}"/>
    <cellStyle name="Normal 4 2 6 2 4" xfId="17833" xr:uid="{11E6F646-7E03-4E03-928A-34A975B7D395}"/>
    <cellStyle name="Normal 4 2 6 2 5" xfId="18663" xr:uid="{E606DC90-BFF5-475B-853E-1D234B489187}"/>
    <cellStyle name="Normal 4 2 6 2 6" xfId="19492" xr:uid="{BB7812CC-1937-47F5-AD3A-979D93FA297D}"/>
    <cellStyle name="Normal 4 2 6 2 7" xfId="9387" xr:uid="{9E6FA23D-77D7-41A0-BB0F-A3F70BD97F1B}"/>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816D7293-47B4-4C74-938F-0AA2E6AFEC84}"/>
    <cellStyle name="Normal 4 2 6 3 2 3" xfId="11945" xr:uid="{60063D81-AF32-4A4D-95C6-EA80A0463D49}"/>
    <cellStyle name="Normal 4 2 6 3 3" xfId="5568" xr:uid="{00000000-0005-0000-0000-0000FB130000}"/>
    <cellStyle name="Normal 4 2 6 3 3 2" xfId="14018" xr:uid="{3B976F40-6654-4252-8503-EFBFB3F8A04E}"/>
    <cellStyle name="Normal 4 2 6 3 4" xfId="9800" xr:uid="{ABAC5AC7-A7F5-42A7-9186-ABEC9EFEDF8C}"/>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3BA1C23D-7DF0-40DE-B02B-49B8BAF7377C}"/>
    <cellStyle name="Normal 4 2 6 4 2 3" xfId="12358" xr:uid="{29EC8A9D-9E5F-426D-BEDD-818EC935A83D}"/>
    <cellStyle name="Normal 4 2 6 4 3" xfId="5981" xr:uid="{00000000-0005-0000-0000-0000FF130000}"/>
    <cellStyle name="Normal 4 2 6 4 3 2" xfId="14431" xr:uid="{DB3582FD-B4CB-4026-8CA6-7001E926E490}"/>
    <cellStyle name="Normal 4 2 6 4 4" xfId="10213" xr:uid="{221066E0-9E4B-4770-9932-31B6320CB5B5}"/>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AF494572-D15A-4DD5-96FC-C9469DAAE34B}"/>
    <cellStyle name="Normal 4 2 6 5 2 3" xfId="12771" xr:uid="{D8D81E66-90FF-4413-9B07-D4B4821DA915}"/>
    <cellStyle name="Normal 4 2 6 5 3" xfId="6394" xr:uid="{00000000-0005-0000-0000-000003140000}"/>
    <cellStyle name="Normal 4 2 6 5 3 2" xfId="14844" xr:uid="{E0401AAC-30F9-4B42-84C6-C2C46791BC6E}"/>
    <cellStyle name="Normal 4 2 6 5 4" xfId="10626" xr:uid="{0A46BA12-0169-48AA-8394-0BFF8A3CBA3F}"/>
    <cellStyle name="Normal 4 2 6 6" xfId="2524" xr:uid="{00000000-0005-0000-0000-000004140000}"/>
    <cellStyle name="Normal 4 2 6 6 2" xfId="6807" xr:uid="{00000000-0005-0000-0000-000005140000}"/>
    <cellStyle name="Normal 4 2 6 6 2 2" xfId="15257" xr:uid="{59AE549D-70F1-486E-9133-846F9D02CDE9}"/>
    <cellStyle name="Normal 4 2 6 6 3" xfId="11039" xr:uid="{E0340548-D9A4-444E-9FDD-769D58CB0756}"/>
    <cellStyle name="Normal 4 2 6 7" xfId="4742" xr:uid="{00000000-0005-0000-0000-000006140000}"/>
    <cellStyle name="Normal 4 2 6 7 2" xfId="13192" xr:uid="{66029CE6-3276-4C64-8173-456CFD381FCB}"/>
    <cellStyle name="Normal 4 2 6 8" xfId="17414" xr:uid="{EDB2ADA0-B0FD-49C2-BE0E-537427DA7238}"/>
    <cellStyle name="Normal 4 2 6 9" xfId="18247" xr:uid="{C28AB201-CD8D-441D-969E-9DB09A29841E}"/>
    <cellStyle name="Normal 4 3" xfId="366" xr:uid="{00000000-0005-0000-0000-000007140000}"/>
    <cellStyle name="Normal 4 3 10" xfId="17415" xr:uid="{284FAEF6-6407-41DC-BC64-FD80D23731C5}"/>
    <cellStyle name="Normal 4 3 11" xfId="18248" xr:uid="{9610EC71-A07D-4E1C-9CDA-58F01B52E345}"/>
    <cellStyle name="Normal 4 3 12" xfId="19077" xr:uid="{D92D96BE-4462-4E06-B85C-1753C5185762}"/>
    <cellStyle name="Normal 4 3 13" xfId="8975" xr:uid="{C73FF2F9-A184-4EDE-A9AD-65D6E68C6A32}"/>
    <cellStyle name="Normal 4 3 2" xfId="367" xr:uid="{00000000-0005-0000-0000-000008140000}"/>
    <cellStyle name="Normal 4 3 2 2" xfId="368" xr:uid="{00000000-0005-0000-0000-000009140000}"/>
    <cellStyle name="Normal 4 3 2 2 2" xfId="369" xr:uid="{00000000-0005-0000-0000-00000A140000}"/>
    <cellStyle name="Normal 4 3 2 2 2 10" xfId="17416" xr:uid="{5F6050F7-8DEF-4389-9B93-9CA780C38993}"/>
    <cellStyle name="Normal 4 3 2 2 2 11" xfId="18249" xr:uid="{18C5C6E8-87B6-49A7-AD3C-53F75128AE72}"/>
    <cellStyle name="Normal 4 3 2 2 2 12" xfId="19078" xr:uid="{D760DCDC-C0D1-413E-A03A-B599A2C23690}"/>
    <cellStyle name="Normal 4 3 2 2 2 13" xfId="8976" xr:uid="{BF92515B-B8AC-464A-8F55-87A2902F6405}"/>
    <cellStyle name="Normal 4 3 2 2 2 2" xfId="370" xr:uid="{00000000-0005-0000-0000-00000B140000}"/>
    <cellStyle name="Normal 4 3 2 2 2 2 10" xfId="18250" xr:uid="{073BC18F-E703-417F-8B92-4DB65BFC91D9}"/>
    <cellStyle name="Normal 4 3 2 2 2 2 11" xfId="19079" xr:uid="{2B78B7C9-D766-4E69-BD5F-2BA3ABB74864}"/>
    <cellStyle name="Normal 4 3 2 2 2 2 12" xfId="8977" xr:uid="{F7A5D252-E572-4743-8E6E-E4BE0F9F6C2A}"/>
    <cellStyle name="Normal 4 3 2 2 2 2 2" xfId="371" xr:uid="{00000000-0005-0000-0000-00000C140000}"/>
    <cellStyle name="Normal 4 3 2 2 2 2 2 10" xfId="19080" xr:uid="{28859CEB-CE51-456D-9D45-8D641FE7ACAA}"/>
    <cellStyle name="Normal 4 3 2 2 2 2 2 11" xfId="8978" xr:uid="{383F0FB2-9577-4FAA-BE64-C92327B2C63C}"/>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38BE1C61-1A44-4963-82E0-31807CC335EC}"/>
    <cellStyle name="Normal 4 3 2 2 2 2 2 2 2 3" xfId="11536" xr:uid="{64FB90D8-BC12-40BE-B5A4-632640CBDD83}"/>
    <cellStyle name="Normal 4 3 2 2 2 2 2 2 3" xfId="5159" xr:uid="{00000000-0005-0000-0000-000010140000}"/>
    <cellStyle name="Normal 4 3 2 2 2 2 2 2 3 2" xfId="13609" xr:uid="{06C63A7C-4C2E-4384-AF67-8357FEB31CA6}"/>
    <cellStyle name="Normal 4 3 2 2 2 2 2 2 4" xfId="17837" xr:uid="{D6DB9E90-96E9-4289-BCFE-A0CDAB44AD95}"/>
    <cellStyle name="Normal 4 3 2 2 2 2 2 2 5" xfId="18667" xr:uid="{D9515D9F-47D7-44FF-8294-DD04C23625E4}"/>
    <cellStyle name="Normal 4 3 2 2 2 2 2 2 6" xfId="19496" xr:uid="{AAD718B5-34AB-487C-A658-6BFD1322E646}"/>
    <cellStyle name="Normal 4 3 2 2 2 2 2 2 7" xfId="9391" xr:uid="{4330659D-E59B-46C8-8BCC-5CC4260D4E2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7ED5D940-A8C3-4DBD-AA0B-B05DD4DC1176}"/>
    <cellStyle name="Normal 4 3 2 2 2 2 2 3 2 3" xfId="11949" xr:uid="{A9EFB9FF-5EA2-452A-B797-D59A540393F9}"/>
    <cellStyle name="Normal 4 3 2 2 2 2 2 3 3" xfId="5572" xr:uid="{00000000-0005-0000-0000-000014140000}"/>
    <cellStyle name="Normal 4 3 2 2 2 2 2 3 3 2" xfId="14022" xr:uid="{213CEEAE-3D8B-4155-8952-A0AD38685D97}"/>
    <cellStyle name="Normal 4 3 2 2 2 2 2 3 4" xfId="9804" xr:uid="{29B77A26-016A-40C9-ACC4-B670539DB615}"/>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2812083E-60D8-4E24-B29F-DB26CFCBE11C}"/>
    <cellStyle name="Normal 4 3 2 2 2 2 2 4 2 3" xfId="12362" xr:uid="{638B8E9F-2D9B-4B26-9D9D-83974CB4746A}"/>
    <cellStyle name="Normal 4 3 2 2 2 2 2 4 3" xfId="5985" xr:uid="{00000000-0005-0000-0000-000018140000}"/>
    <cellStyle name="Normal 4 3 2 2 2 2 2 4 3 2" xfId="14435" xr:uid="{0C055451-43BB-466D-99D2-EBF6EAF58C5B}"/>
    <cellStyle name="Normal 4 3 2 2 2 2 2 4 4" xfId="10217" xr:uid="{50F11420-733C-4714-AB45-9061AD36138A}"/>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F7764854-A9DA-4799-A9F9-E4530E74CC11}"/>
    <cellStyle name="Normal 4 3 2 2 2 2 2 5 2 3" xfId="12775" xr:uid="{D94675F5-EDBF-4514-984F-3F9942EF67EC}"/>
    <cellStyle name="Normal 4 3 2 2 2 2 2 5 3" xfId="6398" xr:uid="{00000000-0005-0000-0000-00001C140000}"/>
    <cellStyle name="Normal 4 3 2 2 2 2 2 5 3 2" xfId="14848" xr:uid="{ACCE0CAA-C26D-4972-8879-C40A2597CE10}"/>
    <cellStyle name="Normal 4 3 2 2 2 2 2 5 4" xfId="10630" xr:uid="{00CB6933-81A8-47AC-BF25-B10F2AFCBF1E}"/>
    <cellStyle name="Normal 4 3 2 2 2 2 2 6" xfId="2528" xr:uid="{00000000-0005-0000-0000-00001D140000}"/>
    <cellStyle name="Normal 4 3 2 2 2 2 2 6 2" xfId="6811" xr:uid="{00000000-0005-0000-0000-00001E140000}"/>
    <cellStyle name="Normal 4 3 2 2 2 2 2 6 2 2" xfId="15261" xr:uid="{EE22C3CF-585C-4FF1-A5E7-0191EBB5A69B}"/>
    <cellStyle name="Normal 4 3 2 2 2 2 2 6 3" xfId="11043" xr:uid="{F3AC1431-EF5B-48B2-A5FF-326046A39606}"/>
    <cellStyle name="Normal 4 3 2 2 2 2 2 7" xfId="4746" xr:uid="{00000000-0005-0000-0000-00001F140000}"/>
    <cellStyle name="Normal 4 3 2 2 2 2 2 7 2" xfId="13196" xr:uid="{AEA13BEE-A439-4E7E-9526-881A2B371C5C}"/>
    <cellStyle name="Normal 4 3 2 2 2 2 2 8" xfId="17418" xr:uid="{35565D9E-739D-4BA0-B0C5-A9956504E289}"/>
    <cellStyle name="Normal 4 3 2 2 2 2 2 9" xfId="18251" xr:uid="{5190EBCD-F192-4783-A5E4-28633480472C}"/>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774DDAAA-7584-49CC-86DF-D1FC623FD6B8}"/>
    <cellStyle name="Normal 4 3 2 2 2 2 3 2 3" xfId="11535" xr:uid="{724961E0-7528-45B4-94E4-8B3CD3677049}"/>
    <cellStyle name="Normal 4 3 2 2 2 2 3 3" xfId="5158" xr:uid="{00000000-0005-0000-0000-000023140000}"/>
    <cellStyle name="Normal 4 3 2 2 2 2 3 3 2" xfId="13608" xr:uid="{0505106E-1FAA-4E3C-B747-77019FAC66EC}"/>
    <cellStyle name="Normal 4 3 2 2 2 2 3 4" xfId="17836" xr:uid="{59DCA8A8-FC0E-401E-B699-0E3FB1C238E8}"/>
    <cellStyle name="Normal 4 3 2 2 2 2 3 5" xfId="18666" xr:uid="{35A11C12-9EEE-4A93-B6D0-E08B44AFB8D8}"/>
    <cellStyle name="Normal 4 3 2 2 2 2 3 6" xfId="19495" xr:uid="{C95A7BF9-AD2D-496F-B1FA-6096B86F602F}"/>
    <cellStyle name="Normal 4 3 2 2 2 2 3 7" xfId="9390" xr:uid="{0DB9352B-B03F-4A26-A2F7-5E795429C835}"/>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0581ACBF-F080-4DBD-B3A8-9105EE653B8C}"/>
    <cellStyle name="Normal 4 3 2 2 2 2 4 2 3" xfId="11948" xr:uid="{0C2FB3EF-811C-4171-86DB-D7383C8EE3C2}"/>
    <cellStyle name="Normal 4 3 2 2 2 2 4 3" xfId="5571" xr:uid="{00000000-0005-0000-0000-000027140000}"/>
    <cellStyle name="Normal 4 3 2 2 2 2 4 3 2" xfId="14021" xr:uid="{2E6B1733-A6F3-4E17-A7AE-3A7519A6BB5E}"/>
    <cellStyle name="Normal 4 3 2 2 2 2 4 4" xfId="9803" xr:uid="{4E8F286C-0ADA-4AC9-97D2-258BD314237E}"/>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79B5D302-5795-4532-9D50-6BEF9CDDDE8D}"/>
    <cellStyle name="Normal 4 3 2 2 2 2 5 2 3" xfId="12361" xr:uid="{2EA5F526-D50D-411E-B5E8-D09A73AC171F}"/>
    <cellStyle name="Normal 4 3 2 2 2 2 5 3" xfId="5984" xr:uid="{00000000-0005-0000-0000-00002B140000}"/>
    <cellStyle name="Normal 4 3 2 2 2 2 5 3 2" xfId="14434" xr:uid="{D8A2465A-E707-48C9-B2D2-5A2ED7B88546}"/>
    <cellStyle name="Normal 4 3 2 2 2 2 5 4" xfId="10216" xr:uid="{0AB1C661-98B8-430C-903A-0DA18F680A65}"/>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C53A3D19-9AF2-4A30-87A0-B9B507D52850}"/>
    <cellStyle name="Normal 4 3 2 2 2 2 6 2 3" xfId="12774" xr:uid="{39F74F76-F72C-46D7-96C5-C6F7F5504BFC}"/>
    <cellStyle name="Normal 4 3 2 2 2 2 6 3" xfId="6397" xr:uid="{00000000-0005-0000-0000-00002F140000}"/>
    <cellStyle name="Normal 4 3 2 2 2 2 6 3 2" xfId="14847" xr:uid="{BBE42A3A-C2A7-478B-B0C4-FB2A424644CD}"/>
    <cellStyle name="Normal 4 3 2 2 2 2 6 4" xfId="10629" xr:uid="{F49DD6B9-143B-4F73-9DD7-AF2F0D555BB8}"/>
    <cellStyle name="Normal 4 3 2 2 2 2 7" xfId="2527" xr:uid="{00000000-0005-0000-0000-000030140000}"/>
    <cellStyle name="Normal 4 3 2 2 2 2 7 2" xfId="6810" xr:uid="{00000000-0005-0000-0000-000031140000}"/>
    <cellStyle name="Normal 4 3 2 2 2 2 7 2 2" xfId="15260" xr:uid="{80F85537-9AC0-421B-B573-CE3582A748BD}"/>
    <cellStyle name="Normal 4 3 2 2 2 2 7 3" xfId="11042" xr:uid="{ADAD0533-1F89-4784-916A-F23AAE0A9D82}"/>
    <cellStyle name="Normal 4 3 2 2 2 2 8" xfId="4745" xr:uid="{00000000-0005-0000-0000-000032140000}"/>
    <cellStyle name="Normal 4 3 2 2 2 2 8 2" xfId="13195" xr:uid="{1ED1B0FC-77AE-4C51-ADAD-7359EDDB49E8}"/>
    <cellStyle name="Normal 4 3 2 2 2 2 9" xfId="17417" xr:uid="{0EADE476-E872-432C-BB2E-41639B1303F8}"/>
    <cellStyle name="Normal 4 3 2 2 2 3" xfId="372" xr:uid="{00000000-0005-0000-0000-000033140000}"/>
    <cellStyle name="Normal 4 3 2 2 2 3 10" xfId="19081" xr:uid="{B8465B5E-CFAF-432F-A9A3-A6EB986B9ADB}"/>
    <cellStyle name="Normal 4 3 2 2 2 3 11" xfId="8979" xr:uid="{F4964EB9-821E-4B3A-B086-FC6E84BA722D}"/>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EB919FFE-EBEA-4063-9697-98C6209380F9}"/>
    <cellStyle name="Normal 4 3 2 2 2 3 2 2 3" xfId="11537" xr:uid="{D8A479C9-E9A1-4F36-B8C0-55BD5DFE71AE}"/>
    <cellStyle name="Normal 4 3 2 2 2 3 2 3" xfId="5160" xr:uid="{00000000-0005-0000-0000-000037140000}"/>
    <cellStyle name="Normal 4 3 2 2 2 3 2 3 2" xfId="13610" xr:uid="{15B0500F-727E-4F58-9374-596743DE36DE}"/>
    <cellStyle name="Normal 4 3 2 2 2 3 2 4" xfId="17838" xr:uid="{D73686A7-0F59-42CC-8FFE-284764E8D769}"/>
    <cellStyle name="Normal 4 3 2 2 2 3 2 5" xfId="18668" xr:uid="{6A39B7BF-3F05-45A0-8523-06CA6F2F8D0C}"/>
    <cellStyle name="Normal 4 3 2 2 2 3 2 6" xfId="19497" xr:uid="{E15B721E-B811-4A1A-A3B6-604F84A22E9F}"/>
    <cellStyle name="Normal 4 3 2 2 2 3 2 7" xfId="9392" xr:uid="{40044951-A6D4-4DC3-BEBF-F2D2C84BDBAD}"/>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C6A791C4-AC0A-41D0-B879-234069D3D546}"/>
    <cellStyle name="Normal 4 3 2 2 2 3 3 2 3" xfId="11950" xr:uid="{73CEFF32-4F25-416B-AD43-36C67C1D5108}"/>
    <cellStyle name="Normal 4 3 2 2 2 3 3 3" xfId="5573" xr:uid="{00000000-0005-0000-0000-00003B140000}"/>
    <cellStyle name="Normal 4 3 2 2 2 3 3 3 2" xfId="14023" xr:uid="{EE7D93B3-6EBB-43F8-9C2C-11C9EB146522}"/>
    <cellStyle name="Normal 4 3 2 2 2 3 3 4" xfId="9805" xr:uid="{2866B65A-8B49-42EC-AE1C-DFB9EF22F3B7}"/>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FEB430BD-AFA9-4C94-BACB-1E574BED8991}"/>
    <cellStyle name="Normal 4 3 2 2 2 3 4 2 3" xfId="12363" xr:uid="{8AF3D124-D458-4FB5-A8F6-134B8D03941D}"/>
    <cellStyle name="Normal 4 3 2 2 2 3 4 3" xfId="5986" xr:uid="{00000000-0005-0000-0000-00003F140000}"/>
    <cellStyle name="Normal 4 3 2 2 2 3 4 3 2" xfId="14436" xr:uid="{F933D2F0-473C-4614-9363-E5BB61EA74B1}"/>
    <cellStyle name="Normal 4 3 2 2 2 3 4 4" xfId="10218" xr:uid="{2CA832CC-1E65-4F7D-9279-130D20E97606}"/>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8EB49131-71B5-44D6-8443-4CEBFBF0DFD4}"/>
    <cellStyle name="Normal 4 3 2 2 2 3 5 2 3" xfId="12776" xr:uid="{98532B80-4938-4D98-A957-8ADE24AF0E1B}"/>
    <cellStyle name="Normal 4 3 2 2 2 3 5 3" xfId="6399" xr:uid="{00000000-0005-0000-0000-000043140000}"/>
    <cellStyle name="Normal 4 3 2 2 2 3 5 3 2" xfId="14849" xr:uid="{8FA838B8-0687-478F-AB58-1681768499FA}"/>
    <cellStyle name="Normal 4 3 2 2 2 3 5 4" xfId="10631" xr:uid="{9E7C2A56-E92C-4696-AD6B-275BA2113B46}"/>
    <cellStyle name="Normal 4 3 2 2 2 3 6" xfId="2529" xr:uid="{00000000-0005-0000-0000-000044140000}"/>
    <cellStyle name="Normal 4 3 2 2 2 3 6 2" xfId="6812" xr:uid="{00000000-0005-0000-0000-000045140000}"/>
    <cellStyle name="Normal 4 3 2 2 2 3 6 2 2" xfId="15262" xr:uid="{3598284B-99BC-4157-A193-DEBFD5912E7D}"/>
    <cellStyle name="Normal 4 3 2 2 2 3 6 3" xfId="11044" xr:uid="{ED176C85-D221-4A16-B408-A30CE05EDB99}"/>
    <cellStyle name="Normal 4 3 2 2 2 3 7" xfId="4747" xr:uid="{00000000-0005-0000-0000-000046140000}"/>
    <cellStyle name="Normal 4 3 2 2 2 3 7 2" xfId="13197" xr:uid="{4635A819-FF54-403E-81E0-CE2F17C8314B}"/>
    <cellStyle name="Normal 4 3 2 2 2 3 8" xfId="17419" xr:uid="{A79C6AFD-25C9-4D57-A820-4DB7666702A5}"/>
    <cellStyle name="Normal 4 3 2 2 2 3 9" xfId="18252" xr:uid="{DC620C01-8075-458D-90FD-16D1E76FBF9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62DF11F6-39ED-41C3-840E-D025E4F5FFE6}"/>
    <cellStyle name="Normal 4 3 2 2 2 4 2 3" xfId="11534" xr:uid="{FC277B4E-8489-4DD8-93BD-2D1FDFC02719}"/>
    <cellStyle name="Normal 4 3 2 2 2 4 3" xfId="5157" xr:uid="{00000000-0005-0000-0000-00004A140000}"/>
    <cellStyle name="Normal 4 3 2 2 2 4 3 2" xfId="13607" xr:uid="{B468FCFD-0F3C-4F0D-9252-E5442FA008E0}"/>
    <cellStyle name="Normal 4 3 2 2 2 4 4" xfId="17835" xr:uid="{B868AF21-28FC-4CBA-BF11-4D16D95A966A}"/>
    <cellStyle name="Normal 4 3 2 2 2 4 5" xfId="18665" xr:uid="{DBE4FB3C-A63E-4584-8873-3CF4B9F7F46B}"/>
    <cellStyle name="Normal 4 3 2 2 2 4 6" xfId="19494" xr:uid="{3164B4D0-B65E-420B-A7F0-C6CF2D5D1CC3}"/>
    <cellStyle name="Normal 4 3 2 2 2 4 7" xfId="9389" xr:uid="{B516E473-8928-4565-B94A-0FBCE3ECB19A}"/>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7335799E-A058-46E0-AE87-CF724B9029AE}"/>
    <cellStyle name="Normal 4 3 2 2 2 5 2 3" xfId="11947" xr:uid="{D85B48AA-A630-4272-858E-A5E4073F939C}"/>
    <cellStyle name="Normal 4 3 2 2 2 5 3" xfId="5570" xr:uid="{00000000-0005-0000-0000-00004E140000}"/>
    <cellStyle name="Normal 4 3 2 2 2 5 3 2" xfId="14020" xr:uid="{E128CB0E-A0B6-44A7-AAE9-5F7E50BDDD33}"/>
    <cellStyle name="Normal 4 3 2 2 2 5 4" xfId="9802" xr:uid="{BE45D6B7-93DE-4623-AB3E-D693FFB8F9B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A4ED7928-44C8-4C1A-9081-005046487313}"/>
    <cellStyle name="Normal 4 3 2 2 2 6 2 3" xfId="12360" xr:uid="{88FF3C82-4B3C-416E-8090-19DDD6C2F3A8}"/>
    <cellStyle name="Normal 4 3 2 2 2 6 3" xfId="5983" xr:uid="{00000000-0005-0000-0000-000052140000}"/>
    <cellStyle name="Normal 4 3 2 2 2 6 3 2" xfId="14433" xr:uid="{E7950463-1C33-4991-9E16-39964AC54566}"/>
    <cellStyle name="Normal 4 3 2 2 2 6 4" xfId="10215" xr:uid="{76A1C81D-31E3-4799-A6CF-5168F0CC6CF1}"/>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FD99DFBD-FEE4-4EF1-9C66-FEE00EA4ED3B}"/>
    <cellStyle name="Normal 4 3 2 2 2 7 2 3" xfId="12773" xr:uid="{575C3BE0-FCBA-482E-B9B3-B210D249041C}"/>
    <cellStyle name="Normal 4 3 2 2 2 7 3" xfId="6396" xr:uid="{00000000-0005-0000-0000-000056140000}"/>
    <cellStyle name="Normal 4 3 2 2 2 7 3 2" xfId="14846" xr:uid="{A363EBDB-0784-46BB-8DDC-8579B9C41AF0}"/>
    <cellStyle name="Normal 4 3 2 2 2 7 4" xfId="10628" xr:uid="{017CF9B2-7EF2-46E5-9750-89EBEDB8A553}"/>
    <cellStyle name="Normal 4 3 2 2 2 8" xfId="2526" xr:uid="{00000000-0005-0000-0000-000057140000}"/>
    <cellStyle name="Normal 4 3 2 2 2 8 2" xfId="6809" xr:uid="{00000000-0005-0000-0000-000058140000}"/>
    <cellStyle name="Normal 4 3 2 2 2 8 2 2" xfId="15259" xr:uid="{65853F03-1127-4F54-816D-370D4A05147C}"/>
    <cellStyle name="Normal 4 3 2 2 2 8 3" xfId="11041" xr:uid="{6442BB8E-916D-47CE-AA46-EE185B6E1CCF}"/>
    <cellStyle name="Normal 4 3 2 2 2 9" xfId="4744" xr:uid="{00000000-0005-0000-0000-000059140000}"/>
    <cellStyle name="Normal 4 3 2 2 2 9 2" xfId="13194" xr:uid="{A48370F5-E309-4C67-AB12-1588F076D695}"/>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17420" xr:uid="{1391B038-37A9-4825-8E6E-F6EEBFB5B2CD}"/>
    <cellStyle name="Normal 4 3 3 11" xfId="18253" xr:uid="{BF0885F3-B566-4D34-9E4E-41310B926802}"/>
    <cellStyle name="Normal 4 3 3 12" xfId="19082" xr:uid="{39E51C92-3565-4878-8E29-95EC55BF9354}"/>
    <cellStyle name="Normal 4 3 3 13" xfId="8980" xr:uid="{78F9E224-1BDB-4EF2-81E4-C2E6201AF55C}"/>
    <cellStyle name="Normal 4 3 3 2" xfId="375" xr:uid="{00000000-0005-0000-0000-00005E140000}"/>
    <cellStyle name="Normal 4 3 3 2 10" xfId="18254" xr:uid="{047C9E99-E4D0-4E33-A99C-09CB01C5F441}"/>
    <cellStyle name="Normal 4 3 3 2 11" xfId="19083" xr:uid="{2211C415-A7FA-41E1-8BE3-EC162A77CD67}"/>
    <cellStyle name="Normal 4 3 3 2 12" xfId="8981" xr:uid="{85D5577A-2492-4AA6-B6C3-2EBF52744A7D}"/>
    <cellStyle name="Normal 4 3 3 2 2" xfId="376" xr:uid="{00000000-0005-0000-0000-00005F140000}"/>
    <cellStyle name="Normal 4 3 3 2 2 10" xfId="19084" xr:uid="{152F3E44-72A2-4C66-AF1D-FF957F19812D}"/>
    <cellStyle name="Normal 4 3 3 2 2 11" xfId="8982" xr:uid="{E2B2CA5C-61CA-4591-AB1E-29821225122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291FB28A-D532-400D-A1B6-C13E25EC7E36}"/>
    <cellStyle name="Normal 4 3 3 2 2 2 2 3" xfId="11540" xr:uid="{33A0008D-DA5B-4E56-832C-7F214D17EC1D}"/>
    <cellStyle name="Normal 4 3 3 2 2 2 3" xfId="5163" xr:uid="{00000000-0005-0000-0000-000063140000}"/>
    <cellStyle name="Normal 4 3 3 2 2 2 3 2" xfId="13613" xr:uid="{4FB76793-A387-4F85-8A14-C72C85ED57D8}"/>
    <cellStyle name="Normal 4 3 3 2 2 2 4" xfId="17841" xr:uid="{C0F29C8E-8A80-4C75-B2DF-682EBB37CC89}"/>
    <cellStyle name="Normal 4 3 3 2 2 2 5" xfId="18671" xr:uid="{C45C0ABC-1F5E-4BBD-9AD2-E3CE4C690B91}"/>
    <cellStyle name="Normal 4 3 3 2 2 2 6" xfId="19500" xr:uid="{F873B0E4-BE5F-4BDA-8F14-01C71F7F76C4}"/>
    <cellStyle name="Normal 4 3 3 2 2 2 7" xfId="9395" xr:uid="{5C30F310-D6CC-40CF-AA1C-428D0A51C058}"/>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F93F4970-2550-488A-A658-DD7D855F2541}"/>
    <cellStyle name="Normal 4 3 3 2 2 3 2 3" xfId="11953" xr:uid="{8F5C206C-3F54-4967-9E1A-89A033A1503F}"/>
    <cellStyle name="Normal 4 3 3 2 2 3 3" xfId="5576" xr:uid="{00000000-0005-0000-0000-000067140000}"/>
    <cellStyle name="Normal 4 3 3 2 2 3 3 2" xfId="14026" xr:uid="{C8337D9B-BA84-4F7D-A524-192F3F595F7E}"/>
    <cellStyle name="Normal 4 3 3 2 2 3 4" xfId="9808" xr:uid="{D7AC31BB-39B9-482B-8A9E-68AAB7A63E9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1ECCCDB4-8BE4-4A1B-943A-B56CFBBD26B4}"/>
    <cellStyle name="Normal 4 3 3 2 2 4 2 3" xfId="12366" xr:uid="{8BE0BF23-1537-47DD-9FB7-D7395DB356F6}"/>
    <cellStyle name="Normal 4 3 3 2 2 4 3" xfId="5989" xr:uid="{00000000-0005-0000-0000-00006B140000}"/>
    <cellStyle name="Normal 4 3 3 2 2 4 3 2" xfId="14439" xr:uid="{79C4D520-DAF6-4D01-9380-9B9E08470B74}"/>
    <cellStyle name="Normal 4 3 3 2 2 4 4" xfId="10221" xr:uid="{5591C3F4-1FC8-4961-AC9D-118DBEB24EE1}"/>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A628C27F-B935-49CE-8968-FDB1517C4ADB}"/>
    <cellStyle name="Normal 4 3 3 2 2 5 2 3" xfId="12779" xr:uid="{AD8527F8-0539-464F-8527-2B6805238708}"/>
    <cellStyle name="Normal 4 3 3 2 2 5 3" xfId="6402" xr:uid="{00000000-0005-0000-0000-00006F140000}"/>
    <cellStyle name="Normal 4 3 3 2 2 5 3 2" xfId="14852" xr:uid="{0C0302A3-DC10-498B-97B7-37CC53F3852E}"/>
    <cellStyle name="Normal 4 3 3 2 2 5 4" xfId="10634" xr:uid="{B1822CE3-454A-479A-BBDB-BC77F2337EBA}"/>
    <cellStyle name="Normal 4 3 3 2 2 6" xfId="2532" xr:uid="{00000000-0005-0000-0000-000070140000}"/>
    <cellStyle name="Normal 4 3 3 2 2 6 2" xfId="6815" xr:uid="{00000000-0005-0000-0000-000071140000}"/>
    <cellStyle name="Normal 4 3 3 2 2 6 2 2" xfId="15265" xr:uid="{9B1BC69F-2B60-424E-A238-00547317BFF7}"/>
    <cellStyle name="Normal 4 3 3 2 2 6 3" xfId="11047" xr:uid="{D06E431A-A613-4FF1-8843-8499C58EC833}"/>
    <cellStyle name="Normal 4 3 3 2 2 7" xfId="4750" xr:uid="{00000000-0005-0000-0000-000072140000}"/>
    <cellStyle name="Normal 4 3 3 2 2 7 2" xfId="13200" xr:uid="{7E447688-7BE1-41BC-AA83-7BA894EEAC24}"/>
    <cellStyle name="Normal 4 3 3 2 2 8" xfId="17422" xr:uid="{3E30E986-0C9A-4396-A06E-2862F7BFC1F3}"/>
    <cellStyle name="Normal 4 3 3 2 2 9" xfId="18255" xr:uid="{41E964E3-E7DF-4DAF-9DC1-ED9AD332C707}"/>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CEF81885-BAC0-44BC-9AF9-056BFE4C47FD}"/>
    <cellStyle name="Normal 4 3 3 2 3 2 3" xfId="11539" xr:uid="{887BF91C-6487-464B-B4DE-72054EA616FD}"/>
    <cellStyle name="Normal 4 3 3 2 3 3" xfId="5162" xr:uid="{00000000-0005-0000-0000-000076140000}"/>
    <cellStyle name="Normal 4 3 3 2 3 3 2" xfId="13612" xr:uid="{42C79672-D7ED-4BA2-8195-CC80B7EBA24C}"/>
    <cellStyle name="Normal 4 3 3 2 3 4" xfId="17840" xr:uid="{FB2A264A-5ABB-4EC9-AB80-3B0DDECC9C64}"/>
    <cellStyle name="Normal 4 3 3 2 3 5" xfId="18670" xr:uid="{0CE3EDF9-EB51-48E9-8C2D-BE080E840098}"/>
    <cellStyle name="Normal 4 3 3 2 3 6" xfId="19499" xr:uid="{0B30803C-0B40-4BCB-9853-4C3B7C05F4D6}"/>
    <cellStyle name="Normal 4 3 3 2 3 7" xfId="9394" xr:uid="{ACCD6ABF-DA7E-421C-B967-5DC530EC4D74}"/>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8F9BAD87-9741-475F-9943-7EC5CCFF9C14}"/>
    <cellStyle name="Normal 4 3 3 2 4 2 3" xfId="11952" xr:uid="{38A2AC7A-31DE-45AD-BA44-EB6B84E15EC9}"/>
    <cellStyle name="Normal 4 3 3 2 4 3" xfId="5575" xr:uid="{00000000-0005-0000-0000-00007A140000}"/>
    <cellStyle name="Normal 4 3 3 2 4 3 2" xfId="14025" xr:uid="{B7D82C1C-E9CA-4C64-AA5C-A57D654C56F3}"/>
    <cellStyle name="Normal 4 3 3 2 4 4" xfId="9807" xr:uid="{A3C628E5-A2D4-42D5-9635-00F6BF47DB0A}"/>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A4F5E8BA-E832-4DE0-A269-4D7F4F17127E}"/>
    <cellStyle name="Normal 4 3 3 2 5 2 3" xfId="12365" xr:uid="{17965EA3-2C54-4C64-BD34-D27C2E20A701}"/>
    <cellStyle name="Normal 4 3 3 2 5 3" xfId="5988" xr:uid="{00000000-0005-0000-0000-00007E140000}"/>
    <cellStyle name="Normal 4 3 3 2 5 3 2" xfId="14438" xr:uid="{9D26C712-E633-4C9B-9673-3229A3244E25}"/>
    <cellStyle name="Normal 4 3 3 2 5 4" xfId="10220" xr:uid="{5DA0179D-E5CA-4716-BD3B-05D87ED382A9}"/>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89A97937-B629-40E7-85FE-2076F1F8237F}"/>
    <cellStyle name="Normal 4 3 3 2 6 2 3" xfId="12778" xr:uid="{8EE40001-E2C3-4221-ABED-B39E1F193DEE}"/>
    <cellStyle name="Normal 4 3 3 2 6 3" xfId="6401" xr:uid="{00000000-0005-0000-0000-000082140000}"/>
    <cellStyle name="Normal 4 3 3 2 6 3 2" xfId="14851" xr:uid="{B49C7EC7-7D93-41AF-9AFC-0E3EFA9E82A3}"/>
    <cellStyle name="Normal 4 3 3 2 6 4" xfId="10633" xr:uid="{5E001812-0304-4A7A-91EA-31AC8C1EA249}"/>
    <cellStyle name="Normal 4 3 3 2 7" xfId="2531" xr:uid="{00000000-0005-0000-0000-000083140000}"/>
    <cellStyle name="Normal 4 3 3 2 7 2" xfId="6814" xr:uid="{00000000-0005-0000-0000-000084140000}"/>
    <cellStyle name="Normal 4 3 3 2 7 2 2" xfId="15264" xr:uid="{B80BEEF4-E7AB-4F75-B889-F8AFB092D84D}"/>
    <cellStyle name="Normal 4 3 3 2 7 3" xfId="11046" xr:uid="{6FCAE1E4-576A-403B-9271-F200282A03B0}"/>
    <cellStyle name="Normal 4 3 3 2 8" xfId="4749" xr:uid="{00000000-0005-0000-0000-000085140000}"/>
    <cellStyle name="Normal 4 3 3 2 8 2" xfId="13199" xr:uid="{4FEAC2FD-41E6-4EAD-A8F8-BCF7C686C89F}"/>
    <cellStyle name="Normal 4 3 3 2 9" xfId="17421" xr:uid="{9860A5E3-4CC5-4BA4-BD90-B7030373CE9C}"/>
    <cellStyle name="Normal 4 3 3 3" xfId="377" xr:uid="{00000000-0005-0000-0000-000086140000}"/>
    <cellStyle name="Normal 4 3 3 3 10" xfId="19085" xr:uid="{0CDB9346-4B3F-443C-9992-8D56186897B0}"/>
    <cellStyle name="Normal 4 3 3 3 11" xfId="8983" xr:uid="{A8BDEB39-E1DF-45B1-BE50-351F383C9EB6}"/>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FFC9D4CF-A368-43B3-9A82-4A572922DE6A}"/>
    <cellStyle name="Normal 4 3 3 3 2 2 3" xfId="11541" xr:uid="{C04B9D1D-312E-416D-9CB0-41838B06B906}"/>
    <cellStyle name="Normal 4 3 3 3 2 3" xfId="5164" xr:uid="{00000000-0005-0000-0000-00008A140000}"/>
    <cellStyle name="Normal 4 3 3 3 2 3 2" xfId="13614" xr:uid="{F2061758-AA88-4E6F-A811-56B7914755C2}"/>
    <cellStyle name="Normal 4 3 3 3 2 4" xfId="17842" xr:uid="{08C93E8A-0FC1-41A6-9D79-81C6561E8AF0}"/>
    <cellStyle name="Normal 4 3 3 3 2 5" xfId="18672" xr:uid="{BB42BD0C-BBBA-49CB-96AE-0C2CC186625F}"/>
    <cellStyle name="Normal 4 3 3 3 2 6" xfId="19501" xr:uid="{5664EBAD-C3FE-4DE5-84EC-D95DF6B55398}"/>
    <cellStyle name="Normal 4 3 3 3 2 7" xfId="9396" xr:uid="{2B5AD60B-B19D-4B40-9474-B06A6886D8CE}"/>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88797062-E632-4D5A-87A7-37118A6B5495}"/>
    <cellStyle name="Normal 4 3 3 3 3 2 3" xfId="11954" xr:uid="{E5C0845D-4B75-4BCC-A6A2-18D7DA99B13D}"/>
    <cellStyle name="Normal 4 3 3 3 3 3" xfId="5577" xr:uid="{00000000-0005-0000-0000-00008E140000}"/>
    <cellStyle name="Normal 4 3 3 3 3 3 2" xfId="14027" xr:uid="{67F7202C-6467-4275-A6AB-2DDE274919FB}"/>
    <cellStyle name="Normal 4 3 3 3 3 4" xfId="9809" xr:uid="{D29D90A9-BEEF-4103-A520-151F04713CB7}"/>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E41D30C2-AA4C-4520-A730-41F325985D7C}"/>
    <cellStyle name="Normal 4 3 3 3 4 2 3" xfId="12367" xr:uid="{2EF0F229-ED39-48BD-9354-ECC72D6E4853}"/>
    <cellStyle name="Normal 4 3 3 3 4 3" xfId="5990" xr:uid="{00000000-0005-0000-0000-000092140000}"/>
    <cellStyle name="Normal 4 3 3 3 4 3 2" xfId="14440" xr:uid="{45F68F44-1AAE-43BD-9578-F017F0A0D0F3}"/>
    <cellStyle name="Normal 4 3 3 3 4 4" xfId="10222" xr:uid="{447C2EB6-E56C-46F4-85D7-FD54C9961A73}"/>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280D4467-03FC-41F5-A66D-75A8D10312CD}"/>
    <cellStyle name="Normal 4 3 3 3 5 2 3" xfId="12780" xr:uid="{4621246B-E46E-4535-87DA-DE7BA61BAC58}"/>
    <cellStyle name="Normal 4 3 3 3 5 3" xfId="6403" xr:uid="{00000000-0005-0000-0000-000096140000}"/>
    <cellStyle name="Normal 4 3 3 3 5 3 2" xfId="14853" xr:uid="{D8D7D48D-6F2E-497A-86C0-CF885E2CC5F7}"/>
    <cellStyle name="Normal 4 3 3 3 5 4" xfId="10635" xr:uid="{E96EBE85-A39C-46B1-9A27-2A49C994658E}"/>
    <cellStyle name="Normal 4 3 3 3 6" xfId="2533" xr:uid="{00000000-0005-0000-0000-000097140000}"/>
    <cellStyle name="Normal 4 3 3 3 6 2" xfId="6816" xr:uid="{00000000-0005-0000-0000-000098140000}"/>
    <cellStyle name="Normal 4 3 3 3 6 2 2" xfId="15266" xr:uid="{36837E3A-E185-4867-8CA7-F81DA5F30127}"/>
    <cellStyle name="Normal 4 3 3 3 6 3" xfId="11048" xr:uid="{B4189B85-CB3B-49FE-8B13-14EA08B9BAF1}"/>
    <cellStyle name="Normal 4 3 3 3 7" xfId="4751" xr:uid="{00000000-0005-0000-0000-000099140000}"/>
    <cellStyle name="Normal 4 3 3 3 7 2" xfId="13201" xr:uid="{BAC692FD-DAA9-4CE8-B377-F0B757854D74}"/>
    <cellStyle name="Normal 4 3 3 3 8" xfId="17423" xr:uid="{522FB50C-A85F-469F-B9B9-17281404DF13}"/>
    <cellStyle name="Normal 4 3 3 3 9" xfId="18256" xr:uid="{28430AC1-1EE6-49D0-B0D7-D476700BE0A0}"/>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C8670BD5-D9FC-49F4-B25F-FD1576AE22FC}"/>
    <cellStyle name="Normal 4 3 3 4 2 3" xfId="11538" xr:uid="{E879D6E0-DA1B-4A38-8A87-CCD2F288FF5B}"/>
    <cellStyle name="Normal 4 3 3 4 3" xfId="5161" xr:uid="{00000000-0005-0000-0000-00009D140000}"/>
    <cellStyle name="Normal 4 3 3 4 3 2" xfId="13611" xr:uid="{494E38B9-2AEB-4315-8D08-A5007ECB12DB}"/>
    <cellStyle name="Normal 4 3 3 4 4" xfId="17839" xr:uid="{5EFBA234-FD93-46CA-B5CA-7B4A240BA241}"/>
    <cellStyle name="Normal 4 3 3 4 5" xfId="18669" xr:uid="{1767B6D5-DDF7-4761-B47F-A6310EE1B6F2}"/>
    <cellStyle name="Normal 4 3 3 4 6" xfId="19498" xr:uid="{7A23569E-62ED-42B5-B1FB-3A701F2215B4}"/>
    <cellStyle name="Normal 4 3 3 4 7" xfId="9393" xr:uid="{1C0CAED8-94FA-4521-B3B2-049297148A5E}"/>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776C2D69-045C-4BE6-9BED-82F3298EA06F}"/>
    <cellStyle name="Normal 4 3 3 5 2 3" xfId="11951" xr:uid="{4FE56D8D-2BD2-42ED-A35C-5EA911CB5878}"/>
    <cellStyle name="Normal 4 3 3 5 3" xfId="5574" xr:uid="{00000000-0005-0000-0000-0000A1140000}"/>
    <cellStyle name="Normal 4 3 3 5 3 2" xfId="14024" xr:uid="{66D098F5-6454-4B02-858F-E3543C4DC692}"/>
    <cellStyle name="Normal 4 3 3 5 4" xfId="9806" xr:uid="{3DC8F406-28D6-498E-8F11-7982D6397CFD}"/>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1552BF03-FB99-4255-9F94-AC8DF801D2B4}"/>
    <cellStyle name="Normal 4 3 3 6 2 3" xfId="12364" xr:uid="{D16C8316-B54B-4F09-A2D1-5B4467D36BFD}"/>
    <cellStyle name="Normal 4 3 3 6 3" xfId="5987" xr:uid="{00000000-0005-0000-0000-0000A5140000}"/>
    <cellStyle name="Normal 4 3 3 6 3 2" xfId="14437" xr:uid="{05755334-3C0E-4CF9-A1E8-1450B25D0D6B}"/>
    <cellStyle name="Normal 4 3 3 6 4" xfId="10219" xr:uid="{0B69CF3B-3763-46BB-8FD3-ED97151273CD}"/>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4D741DA7-8A7D-4845-A4AA-6B9F39CA76EE}"/>
    <cellStyle name="Normal 4 3 3 7 2 3" xfId="12777" xr:uid="{2031848E-B564-4955-AC2A-FB8D95F1E9EA}"/>
    <cellStyle name="Normal 4 3 3 7 3" xfId="6400" xr:uid="{00000000-0005-0000-0000-0000A9140000}"/>
    <cellStyle name="Normal 4 3 3 7 3 2" xfId="14850" xr:uid="{E5ADCBAB-5808-4F52-94D0-2C6FD46DD1AA}"/>
    <cellStyle name="Normal 4 3 3 7 4" xfId="10632" xr:uid="{071344EC-F666-45FE-AB32-22906E5F3011}"/>
    <cellStyle name="Normal 4 3 3 8" xfId="2530" xr:uid="{00000000-0005-0000-0000-0000AA140000}"/>
    <cellStyle name="Normal 4 3 3 8 2" xfId="6813" xr:uid="{00000000-0005-0000-0000-0000AB140000}"/>
    <cellStyle name="Normal 4 3 3 8 2 2" xfId="15263" xr:uid="{8F06E19F-370F-4DF8-837F-17DCA87BE780}"/>
    <cellStyle name="Normal 4 3 3 8 3" xfId="11045" xr:uid="{D9D12461-1A83-4DCF-9F39-B651C5C62F34}"/>
    <cellStyle name="Normal 4 3 3 9" xfId="4748" xr:uid="{00000000-0005-0000-0000-0000AC140000}"/>
    <cellStyle name="Normal 4 3 3 9 2" xfId="13198" xr:uid="{A63581BD-7CA4-4062-ACF0-5DF1902D67C9}"/>
    <cellStyle name="Normal 4 3 4" xfId="842" xr:uid="{00000000-0005-0000-0000-0000AD140000}"/>
    <cellStyle name="Normal 4 3 4 2" xfId="3079" xr:uid="{00000000-0005-0000-0000-0000AE140000}"/>
    <cellStyle name="Normal 4 3 4 2 2" xfId="7301" xr:uid="{00000000-0005-0000-0000-0000AF140000}"/>
    <cellStyle name="Normal 4 3 4 2 2 2" xfId="15751" xr:uid="{E5C9B749-6001-4BBC-8275-7181FDD3DE3F}"/>
    <cellStyle name="Normal 4 3 4 2 3" xfId="11533" xr:uid="{5633F36B-B0F4-4740-A28F-F926884FFCF0}"/>
    <cellStyle name="Normal 4 3 4 3" xfId="5156" xr:uid="{00000000-0005-0000-0000-0000B0140000}"/>
    <cellStyle name="Normal 4 3 4 3 2" xfId="13606" xr:uid="{7FC7CF2A-C8C0-4365-9778-01C5539A56AA}"/>
    <cellStyle name="Normal 4 3 4 4" xfId="17834" xr:uid="{0892CE93-9C22-4F20-906B-C7655E555F99}"/>
    <cellStyle name="Normal 4 3 4 5" xfId="18664" xr:uid="{59C314C9-EF48-4194-B7B6-5C6C5309A2E3}"/>
    <cellStyle name="Normal 4 3 4 6" xfId="19493" xr:uid="{180E816B-C97D-4BF7-9791-3EF9FF1B1A09}"/>
    <cellStyle name="Normal 4 3 4 7" xfId="9388" xr:uid="{23E8BAB5-BD1C-4556-BDA5-9C0C00DA938E}"/>
    <cellStyle name="Normal 4 3 5" xfId="1262" xr:uid="{00000000-0005-0000-0000-0000B1140000}"/>
    <cellStyle name="Normal 4 3 5 2" xfId="3492" xr:uid="{00000000-0005-0000-0000-0000B2140000}"/>
    <cellStyle name="Normal 4 3 5 2 2" xfId="7714" xr:uid="{00000000-0005-0000-0000-0000B3140000}"/>
    <cellStyle name="Normal 4 3 5 2 2 2" xfId="16164" xr:uid="{8C70A4F2-D7A4-49D9-98D0-C685B6FDB220}"/>
    <cellStyle name="Normal 4 3 5 2 3" xfId="11946" xr:uid="{A17B6FF6-EBC8-4FAD-A5F4-B6ACBCB50858}"/>
    <cellStyle name="Normal 4 3 5 3" xfId="5569" xr:uid="{00000000-0005-0000-0000-0000B4140000}"/>
    <cellStyle name="Normal 4 3 5 3 2" xfId="14019" xr:uid="{057B08B9-E1B6-4577-B0DC-F81B0E226470}"/>
    <cellStyle name="Normal 4 3 5 4" xfId="9801" xr:uid="{9F89F5BB-558F-4CDB-9A2D-F9063A7FBE98}"/>
    <cellStyle name="Normal 4 3 6" xfId="1675" xr:uid="{00000000-0005-0000-0000-0000B5140000}"/>
    <cellStyle name="Normal 4 3 6 2" xfId="3905" xr:uid="{00000000-0005-0000-0000-0000B6140000}"/>
    <cellStyle name="Normal 4 3 6 2 2" xfId="8127" xr:uid="{00000000-0005-0000-0000-0000B7140000}"/>
    <cellStyle name="Normal 4 3 6 2 2 2" xfId="16577" xr:uid="{BB52D074-BF7E-4FE4-8B9A-5F818FE43FB2}"/>
    <cellStyle name="Normal 4 3 6 2 3" xfId="12359" xr:uid="{2EC57E85-5AC8-4E29-A251-0221E904F75A}"/>
    <cellStyle name="Normal 4 3 6 3" xfId="5982" xr:uid="{00000000-0005-0000-0000-0000B8140000}"/>
    <cellStyle name="Normal 4 3 6 3 2" xfId="14432" xr:uid="{A145667A-E6FE-47AA-8909-1065FE9692E3}"/>
    <cellStyle name="Normal 4 3 6 4" xfId="10214" xr:uid="{1E2A4328-4108-4C7D-A871-E49498615D52}"/>
    <cellStyle name="Normal 4 3 7" xfId="2089" xr:uid="{00000000-0005-0000-0000-0000B9140000}"/>
    <cellStyle name="Normal 4 3 7 2" xfId="4318" xr:uid="{00000000-0005-0000-0000-0000BA140000}"/>
    <cellStyle name="Normal 4 3 7 2 2" xfId="8540" xr:uid="{00000000-0005-0000-0000-0000BB140000}"/>
    <cellStyle name="Normal 4 3 7 2 2 2" xfId="16990" xr:uid="{E9170328-FEE7-437D-8543-0015ABF8BA13}"/>
    <cellStyle name="Normal 4 3 7 2 3" xfId="12772" xr:uid="{86BFD002-4DF1-44E2-B6AA-618FD4DE7097}"/>
    <cellStyle name="Normal 4 3 7 3" xfId="6395" xr:uid="{00000000-0005-0000-0000-0000BC140000}"/>
    <cellStyle name="Normal 4 3 7 3 2" xfId="14845" xr:uid="{538EE891-D4B9-4E05-9FDE-200C31A73ECE}"/>
    <cellStyle name="Normal 4 3 7 4" xfId="10627" xr:uid="{0548FD69-D6AC-4AF9-831A-88F87D745733}"/>
    <cellStyle name="Normal 4 3 8" xfId="2525" xr:uid="{00000000-0005-0000-0000-0000BD140000}"/>
    <cellStyle name="Normal 4 3 8 2" xfId="6808" xr:uid="{00000000-0005-0000-0000-0000BE140000}"/>
    <cellStyle name="Normal 4 3 8 2 2" xfId="15258" xr:uid="{32FD79FA-C721-4A62-8EC9-ADE48AD246A0}"/>
    <cellStyle name="Normal 4 3 8 3" xfId="11040" xr:uid="{F68BFF81-1FD4-46A2-A628-6B747C59ECB3}"/>
    <cellStyle name="Normal 4 3 9" xfId="4743" xr:uid="{00000000-0005-0000-0000-0000BF140000}"/>
    <cellStyle name="Normal 4 3 9 2" xfId="13193" xr:uid="{07585B50-5E98-4CE7-955D-5D1B96F36302}"/>
    <cellStyle name="Normal 4 4" xfId="378" xr:uid="{00000000-0005-0000-0000-0000C0140000}"/>
    <cellStyle name="Normal 4 4 10" xfId="2534" xr:uid="{00000000-0005-0000-0000-0000C1140000}"/>
    <cellStyle name="Normal 4 4 10 2" xfId="6817" xr:uid="{00000000-0005-0000-0000-0000C2140000}"/>
    <cellStyle name="Normal 4 4 10 2 2" xfId="15267" xr:uid="{218F4DF2-2B2E-4CF1-9FA1-1C032689173E}"/>
    <cellStyle name="Normal 4 4 10 3" xfId="11049" xr:uid="{C5167311-133B-44B1-8E40-49F567859231}"/>
    <cellStyle name="Normal 4 4 11" xfId="4752" xr:uid="{00000000-0005-0000-0000-0000C3140000}"/>
    <cellStyle name="Normal 4 4 11 2" xfId="13202" xr:uid="{E6A9F281-5753-4B47-A5C7-695700D98BEF}"/>
    <cellStyle name="Normal 4 4 12" xfId="17424" xr:uid="{0690AA04-AFB8-4C1C-99EE-051AB6860BB3}"/>
    <cellStyle name="Normal 4 4 13" xfId="18257" xr:uid="{8FB98543-8EC3-4472-A990-778C56424693}"/>
    <cellStyle name="Normal 4 4 14" xfId="19086" xr:uid="{3A32DEB3-84EC-46BE-B174-0FC8000EEC50}"/>
    <cellStyle name="Normal 4 4 15" xfId="8984" xr:uid="{754972FC-55E7-4C05-9CC3-03418E84D052}"/>
    <cellStyle name="Normal 4 4 2" xfId="379" xr:uid="{00000000-0005-0000-0000-0000C4140000}"/>
    <cellStyle name="Normal 4 4 2 10" xfId="4753" xr:uid="{00000000-0005-0000-0000-0000C5140000}"/>
    <cellStyle name="Normal 4 4 2 10 2" xfId="13203" xr:uid="{04D883D6-F107-4741-BCDD-EB7581F4E51B}"/>
    <cellStyle name="Normal 4 4 2 11" xfId="17425" xr:uid="{E3EC85EE-D1A2-4630-9370-D9A990083AC0}"/>
    <cellStyle name="Normal 4 4 2 12" xfId="18258" xr:uid="{DD7F38A1-31BD-4572-833F-5B16399A1A5F}"/>
    <cellStyle name="Normal 4 4 2 13" xfId="19087" xr:uid="{3A72D225-28CA-424B-9AEC-514C588CA38D}"/>
    <cellStyle name="Normal 4 4 2 14" xfId="8985" xr:uid="{95106F83-76F3-48EF-9EA7-91F1F22B5CDB}"/>
    <cellStyle name="Normal 4 4 2 2" xfId="380" xr:uid="{00000000-0005-0000-0000-0000C6140000}"/>
    <cellStyle name="Normal 4 4 2 2 10" xfId="17426" xr:uid="{44A5683F-3B66-4FA6-B377-4AED1C4F078B}"/>
    <cellStyle name="Normal 4 4 2 2 11" xfId="18259" xr:uid="{8F78C0EA-EECB-4FCB-B61E-5416F8163058}"/>
    <cellStyle name="Normal 4 4 2 2 12" xfId="19088" xr:uid="{371C14C7-850F-4772-B1C3-9E8F9F776AE3}"/>
    <cellStyle name="Normal 4 4 2 2 13" xfId="8986" xr:uid="{BC41FA71-4A22-4DCE-BE8E-C18599ACC648}"/>
    <cellStyle name="Normal 4 4 2 2 2" xfId="381" xr:uid="{00000000-0005-0000-0000-0000C7140000}"/>
    <cellStyle name="Normal 4 4 2 2 2 10" xfId="18260" xr:uid="{A547DC60-CFB9-4885-9B64-F783BE533AFA}"/>
    <cellStyle name="Normal 4 4 2 2 2 11" xfId="19089" xr:uid="{853FCEC1-F9AE-4496-93F3-3C2727BDBFB5}"/>
    <cellStyle name="Normal 4 4 2 2 2 12" xfId="8987" xr:uid="{7B4812B4-D465-4961-B8A9-E5FDD6CBF133}"/>
    <cellStyle name="Normal 4 4 2 2 2 2" xfId="382" xr:uid="{00000000-0005-0000-0000-0000C8140000}"/>
    <cellStyle name="Normal 4 4 2 2 2 2 10" xfId="19090" xr:uid="{8178B6D1-D3A0-4BB3-A148-A3903E459E42}"/>
    <cellStyle name="Normal 4 4 2 2 2 2 11" xfId="8988" xr:uid="{08D31122-911A-447D-BBFB-BC59156AFC3C}"/>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76170D5A-F75C-40BB-B946-2449C57183E4}"/>
    <cellStyle name="Normal 4 4 2 2 2 2 2 2 3" xfId="11546" xr:uid="{E6784C19-BB75-4229-B6F8-F1B70F8FFD84}"/>
    <cellStyle name="Normal 4 4 2 2 2 2 2 3" xfId="5169" xr:uid="{00000000-0005-0000-0000-0000CC140000}"/>
    <cellStyle name="Normal 4 4 2 2 2 2 2 3 2" xfId="13619" xr:uid="{78B53C58-A536-42ED-8D03-D0FC07E4DAFB}"/>
    <cellStyle name="Normal 4 4 2 2 2 2 2 4" xfId="17847" xr:uid="{7F654A0A-5001-4F8F-BD41-E4DDB3DEA5F4}"/>
    <cellStyle name="Normal 4 4 2 2 2 2 2 5" xfId="18677" xr:uid="{99895845-F0B8-49A7-824F-B5D15B8EBFDB}"/>
    <cellStyle name="Normal 4 4 2 2 2 2 2 6" xfId="19506" xr:uid="{90143468-D603-46C9-827B-7CCD336D3BFF}"/>
    <cellStyle name="Normal 4 4 2 2 2 2 2 7" xfId="9401" xr:uid="{02487174-E0A7-4EC7-BA98-9A08A2C252C4}"/>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06E0BAC0-2061-4B10-A064-F6BD8B667BB9}"/>
    <cellStyle name="Normal 4 4 2 2 2 2 3 2 3" xfId="11959" xr:uid="{72C4D3B2-69E8-451C-A72F-AB7E81A603E2}"/>
    <cellStyle name="Normal 4 4 2 2 2 2 3 3" xfId="5582" xr:uid="{00000000-0005-0000-0000-0000D0140000}"/>
    <cellStyle name="Normal 4 4 2 2 2 2 3 3 2" xfId="14032" xr:uid="{6C614DFB-D663-40B7-B177-EC60A8E46627}"/>
    <cellStyle name="Normal 4 4 2 2 2 2 3 4" xfId="9814" xr:uid="{AE8657B0-DA1C-4525-AA46-33EC0D09A4D8}"/>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8500053B-132B-4EEE-8031-C3F36E6F4AB9}"/>
    <cellStyle name="Normal 4 4 2 2 2 2 4 2 3" xfId="12372" xr:uid="{4B1F9953-E37B-4CFF-AF2C-6C648657FD74}"/>
    <cellStyle name="Normal 4 4 2 2 2 2 4 3" xfId="5995" xr:uid="{00000000-0005-0000-0000-0000D4140000}"/>
    <cellStyle name="Normal 4 4 2 2 2 2 4 3 2" xfId="14445" xr:uid="{0D39C048-04CA-47FA-91F7-7A7135519B70}"/>
    <cellStyle name="Normal 4 4 2 2 2 2 4 4" xfId="10227" xr:uid="{BDCE9235-62F0-4F18-90F0-83F6709C918B}"/>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77593624-6133-4A50-A3DC-90918EE9D2AF}"/>
    <cellStyle name="Normal 4 4 2 2 2 2 5 2 3" xfId="12785" xr:uid="{B2429A0B-A838-47DA-AC93-34E99E8B7F6E}"/>
    <cellStyle name="Normal 4 4 2 2 2 2 5 3" xfId="6408" xr:uid="{00000000-0005-0000-0000-0000D8140000}"/>
    <cellStyle name="Normal 4 4 2 2 2 2 5 3 2" xfId="14858" xr:uid="{7E7B7A4B-3DE1-4A9D-89F6-733BEC8879B8}"/>
    <cellStyle name="Normal 4 4 2 2 2 2 5 4" xfId="10640" xr:uid="{A572C67D-3DFE-4A1D-A2E5-6B27EFC8E39D}"/>
    <cellStyle name="Normal 4 4 2 2 2 2 6" xfId="2538" xr:uid="{00000000-0005-0000-0000-0000D9140000}"/>
    <cellStyle name="Normal 4 4 2 2 2 2 6 2" xfId="6821" xr:uid="{00000000-0005-0000-0000-0000DA140000}"/>
    <cellStyle name="Normal 4 4 2 2 2 2 6 2 2" xfId="15271" xr:uid="{AA9993F4-E362-4577-A38A-C0810741587E}"/>
    <cellStyle name="Normal 4 4 2 2 2 2 6 3" xfId="11053" xr:uid="{24D6B266-3972-4224-9D0C-F52EC3E0683D}"/>
    <cellStyle name="Normal 4 4 2 2 2 2 7" xfId="4756" xr:uid="{00000000-0005-0000-0000-0000DB140000}"/>
    <cellStyle name="Normal 4 4 2 2 2 2 7 2" xfId="13206" xr:uid="{6CC0087A-EBD2-4D1B-85A3-E8D18FD0993B}"/>
    <cellStyle name="Normal 4 4 2 2 2 2 8" xfId="17428" xr:uid="{530D7264-99E8-4D34-98A0-9B7EE00DA7C3}"/>
    <cellStyle name="Normal 4 4 2 2 2 2 9" xfId="18261" xr:uid="{6A1F92DF-3C68-452E-9832-98C9F56B74F6}"/>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BBFA4410-BFD0-41B5-B93F-B397ED81FBF4}"/>
    <cellStyle name="Normal 4 4 2 2 2 3 2 3" xfId="11545" xr:uid="{16097FA0-A1DF-4AD0-9B20-AAE66E601098}"/>
    <cellStyle name="Normal 4 4 2 2 2 3 3" xfId="5168" xr:uid="{00000000-0005-0000-0000-0000DF140000}"/>
    <cellStyle name="Normal 4 4 2 2 2 3 3 2" xfId="13618" xr:uid="{D9D2CD03-3C28-447E-A467-9182871C0107}"/>
    <cellStyle name="Normal 4 4 2 2 2 3 4" xfId="17846" xr:uid="{BA9FBE43-861F-4CCC-8ED6-211E6CB624B0}"/>
    <cellStyle name="Normal 4 4 2 2 2 3 5" xfId="18676" xr:uid="{341264D9-BAF8-413C-9CA7-FB17232D7C25}"/>
    <cellStyle name="Normal 4 4 2 2 2 3 6" xfId="19505" xr:uid="{F1C5A582-700C-4B77-8B35-A9CE4718AC34}"/>
    <cellStyle name="Normal 4 4 2 2 2 3 7" xfId="9400" xr:uid="{87D2B442-A6C1-4ED8-8E71-145EEC21E7CD}"/>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481F816B-A8B7-4079-854C-8000ADF360B8}"/>
    <cellStyle name="Normal 4 4 2 2 2 4 2 3" xfId="11958" xr:uid="{A9FC97D7-65A8-4C49-98C4-68DA11BA5F7D}"/>
    <cellStyle name="Normal 4 4 2 2 2 4 3" xfId="5581" xr:uid="{00000000-0005-0000-0000-0000E3140000}"/>
    <cellStyle name="Normal 4 4 2 2 2 4 3 2" xfId="14031" xr:uid="{72C14BED-11FA-49ED-9CC8-ECFDBB8F7495}"/>
    <cellStyle name="Normal 4 4 2 2 2 4 4" xfId="9813" xr:uid="{40A4E26A-6B20-471E-8BDB-21C094F0F216}"/>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56CD5184-5782-4B50-9467-683500F1455A}"/>
    <cellStyle name="Normal 4 4 2 2 2 5 2 3" xfId="12371" xr:uid="{A8E0A0C7-F928-4E1E-AF06-520714EDF2FF}"/>
    <cellStyle name="Normal 4 4 2 2 2 5 3" xfId="5994" xr:uid="{00000000-0005-0000-0000-0000E7140000}"/>
    <cellStyle name="Normal 4 4 2 2 2 5 3 2" xfId="14444" xr:uid="{6EE828AC-A3A0-4B3E-B7A9-ED0920A4F200}"/>
    <cellStyle name="Normal 4 4 2 2 2 5 4" xfId="10226" xr:uid="{087E12D2-F0D6-433D-B7C6-01D02BD703CD}"/>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F4269267-C097-464E-B140-5DF5B0025161}"/>
    <cellStyle name="Normal 4 4 2 2 2 6 2 3" xfId="12784" xr:uid="{6B344215-B1E3-4E03-B75D-D769F1BE1E19}"/>
    <cellStyle name="Normal 4 4 2 2 2 6 3" xfId="6407" xr:uid="{00000000-0005-0000-0000-0000EB140000}"/>
    <cellStyle name="Normal 4 4 2 2 2 6 3 2" xfId="14857" xr:uid="{9787B113-2D1C-42F1-AFE3-E3B06A6913FC}"/>
    <cellStyle name="Normal 4 4 2 2 2 6 4" xfId="10639" xr:uid="{F3BF589D-DC7C-451E-A828-8D2CC3E35D9F}"/>
    <cellStyle name="Normal 4 4 2 2 2 7" xfId="2537" xr:uid="{00000000-0005-0000-0000-0000EC140000}"/>
    <cellStyle name="Normal 4 4 2 2 2 7 2" xfId="6820" xr:uid="{00000000-0005-0000-0000-0000ED140000}"/>
    <cellStyle name="Normal 4 4 2 2 2 7 2 2" xfId="15270" xr:uid="{90E36954-4B04-40AE-93A5-615FB697F7E1}"/>
    <cellStyle name="Normal 4 4 2 2 2 7 3" xfId="11052" xr:uid="{752155F4-5FDC-4A37-958D-6BC43307CD4C}"/>
    <cellStyle name="Normal 4 4 2 2 2 8" xfId="4755" xr:uid="{00000000-0005-0000-0000-0000EE140000}"/>
    <cellStyle name="Normal 4 4 2 2 2 8 2" xfId="13205" xr:uid="{14AE31D8-BEB2-41DF-AB8A-904F64BBA064}"/>
    <cellStyle name="Normal 4 4 2 2 2 9" xfId="17427" xr:uid="{717D873E-76CA-4EA8-88EE-44DC3EE8D645}"/>
    <cellStyle name="Normal 4 4 2 2 3" xfId="383" xr:uid="{00000000-0005-0000-0000-0000EF140000}"/>
    <cellStyle name="Normal 4 4 2 2 3 10" xfId="19091" xr:uid="{3D8738A0-9808-4318-A3FC-997436AD84B0}"/>
    <cellStyle name="Normal 4 4 2 2 3 11" xfId="8989" xr:uid="{F607C40C-42B8-4AA9-B56B-EB6A07C3FF68}"/>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BF6380C3-D10D-4F0E-8CCC-A9D9F12DE7F3}"/>
    <cellStyle name="Normal 4 4 2 2 3 2 2 3" xfId="11547" xr:uid="{64E0DC09-1A11-49FD-A9E4-C2D815ADF915}"/>
    <cellStyle name="Normal 4 4 2 2 3 2 3" xfId="5170" xr:uid="{00000000-0005-0000-0000-0000F3140000}"/>
    <cellStyle name="Normal 4 4 2 2 3 2 3 2" xfId="13620" xr:uid="{B1D88C3B-1A97-4693-92BE-3415695AA9F2}"/>
    <cellStyle name="Normal 4 4 2 2 3 2 4" xfId="17848" xr:uid="{24AC26D2-6CC6-4D4D-854F-4E7C93FB1165}"/>
    <cellStyle name="Normal 4 4 2 2 3 2 5" xfId="18678" xr:uid="{B2118A1B-99DA-4F15-A8F6-D2C426EEFACF}"/>
    <cellStyle name="Normal 4 4 2 2 3 2 6" xfId="19507" xr:uid="{F01C6B7F-6ED8-4256-A908-93F1E292896F}"/>
    <cellStyle name="Normal 4 4 2 2 3 2 7" xfId="9402" xr:uid="{03385BD4-2E62-47EF-9527-78201EDE8A47}"/>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1B932502-C019-4D30-97EE-62FE0CC0F9FD}"/>
    <cellStyle name="Normal 4 4 2 2 3 3 2 3" xfId="11960" xr:uid="{0571CC80-9CA2-4970-A006-3F2A403C4256}"/>
    <cellStyle name="Normal 4 4 2 2 3 3 3" xfId="5583" xr:uid="{00000000-0005-0000-0000-0000F7140000}"/>
    <cellStyle name="Normal 4 4 2 2 3 3 3 2" xfId="14033" xr:uid="{E2AABA7E-B52E-4EB3-A3AA-75386754B6F1}"/>
    <cellStyle name="Normal 4 4 2 2 3 3 4" xfId="9815" xr:uid="{A2C5B873-2648-492F-8B3C-8D67F072D60B}"/>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7E777F48-3D91-48D1-B9B0-8EA8C899BD0E}"/>
    <cellStyle name="Normal 4 4 2 2 3 4 2 3" xfId="12373" xr:uid="{25A08966-339F-4274-807E-99EACDA657E6}"/>
    <cellStyle name="Normal 4 4 2 2 3 4 3" xfId="5996" xr:uid="{00000000-0005-0000-0000-0000FB140000}"/>
    <cellStyle name="Normal 4 4 2 2 3 4 3 2" xfId="14446" xr:uid="{E50D4E73-A806-4C2D-90CD-53C5F6C9E74E}"/>
    <cellStyle name="Normal 4 4 2 2 3 4 4" xfId="10228" xr:uid="{D9323A1E-C24F-4547-A1C9-39F327F7D17A}"/>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01101BE2-68A0-4FA3-86A7-C00079032D42}"/>
    <cellStyle name="Normal 4 4 2 2 3 5 2 3" xfId="12786" xr:uid="{43741955-00F0-4161-9B83-7CF5FC5A7AC5}"/>
    <cellStyle name="Normal 4 4 2 2 3 5 3" xfId="6409" xr:uid="{00000000-0005-0000-0000-0000FF140000}"/>
    <cellStyle name="Normal 4 4 2 2 3 5 3 2" xfId="14859" xr:uid="{7DF787B7-C718-4A4E-AFE9-868C96545F60}"/>
    <cellStyle name="Normal 4 4 2 2 3 5 4" xfId="10641" xr:uid="{91D067F9-9F51-49B2-9D0A-FCBA24C6BE99}"/>
    <cellStyle name="Normal 4 4 2 2 3 6" xfId="2539" xr:uid="{00000000-0005-0000-0000-000000150000}"/>
    <cellStyle name="Normal 4 4 2 2 3 6 2" xfId="6822" xr:uid="{00000000-0005-0000-0000-000001150000}"/>
    <cellStyle name="Normal 4 4 2 2 3 6 2 2" xfId="15272" xr:uid="{84F4B461-2A24-4271-BDA6-4DBEF694E6D7}"/>
    <cellStyle name="Normal 4 4 2 2 3 6 3" xfId="11054" xr:uid="{B5B56F3C-AB8A-4AF5-99D6-F84F1E3D5F43}"/>
    <cellStyle name="Normal 4 4 2 2 3 7" xfId="4757" xr:uid="{00000000-0005-0000-0000-000002150000}"/>
    <cellStyle name="Normal 4 4 2 2 3 7 2" xfId="13207" xr:uid="{A3225DFE-766F-4E1A-A807-FF3F1434B8A6}"/>
    <cellStyle name="Normal 4 4 2 2 3 8" xfId="17429" xr:uid="{11873EFE-21B1-4527-9C75-FA58EDBADCE4}"/>
    <cellStyle name="Normal 4 4 2 2 3 9" xfId="18262" xr:uid="{6DCF9A5D-B752-48DD-8832-1AE063D2B82C}"/>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457D0651-5A42-45E0-BBF1-7E20C5096B18}"/>
    <cellStyle name="Normal 4 4 2 2 4 2 3" xfId="11544" xr:uid="{D8FD2ADD-C540-4347-93BD-EC0EDA02CB03}"/>
    <cellStyle name="Normal 4 4 2 2 4 3" xfId="5167" xr:uid="{00000000-0005-0000-0000-000006150000}"/>
    <cellStyle name="Normal 4 4 2 2 4 3 2" xfId="13617" xr:uid="{BA6E0907-DD82-4CAB-8E89-DAA9CCEBBDFE}"/>
    <cellStyle name="Normal 4 4 2 2 4 4" xfId="17845" xr:uid="{6BB7A1F8-67A9-4CD0-9FF8-A2AE6689B753}"/>
    <cellStyle name="Normal 4 4 2 2 4 5" xfId="18675" xr:uid="{55204702-EB1C-4045-AA05-57EDA4114502}"/>
    <cellStyle name="Normal 4 4 2 2 4 6" xfId="19504" xr:uid="{B2DFA6E6-8821-457D-A125-058937C9509C}"/>
    <cellStyle name="Normal 4 4 2 2 4 7" xfId="9399" xr:uid="{1F4CDC5A-730E-40B0-9436-6B162D084987}"/>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292A1100-41F7-46E7-966F-39960FBFFC4D}"/>
    <cellStyle name="Normal 4 4 2 2 5 2 3" xfId="11957" xr:uid="{49620177-01A6-4ECB-9FDC-A61454904DD8}"/>
    <cellStyle name="Normal 4 4 2 2 5 3" xfId="5580" xr:uid="{00000000-0005-0000-0000-00000A150000}"/>
    <cellStyle name="Normal 4 4 2 2 5 3 2" xfId="14030" xr:uid="{FDC10FE8-5390-40A0-9DFD-67750D57C280}"/>
    <cellStyle name="Normal 4 4 2 2 5 4" xfId="9812" xr:uid="{80B4C61F-EDAA-42B3-85D9-E90FC399C155}"/>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1E52287D-EDAD-4A55-BD05-0BCD705553F2}"/>
    <cellStyle name="Normal 4 4 2 2 6 2 3" xfId="12370" xr:uid="{1C2F55C4-91E9-4A2A-9007-A525B7C32C3B}"/>
    <cellStyle name="Normal 4 4 2 2 6 3" xfId="5993" xr:uid="{00000000-0005-0000-0000-00000E150000}"/>
    <cellStyle name="Normal 4 4 2 2 6 3 2" xfId="14443" xr:uid="{015A42A1-D15C-422B-A7D3-84325121149D}"/>
    <cellStyle name="Normal 4 4 2 2 6 4" xfId="10225" xr:uid="{98AE68A8-5645-4E9C-9556-38A7E3A54B6E}"/>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D47DBF1D-4847-423B-BDB0-CA2844DA430B}"/>
    <cellStyle name="Normal 4 4 2 2 7 2 3" xfId="12783" xr:uid="{99EBE475-162E-404E-9323-F980E6A87279}"/>
    <cellStyle name="Normal 4 4 2 2 7 3" xfId="6406" xr:uid="{00000000-0005-0000-0000-000012150000}"/>
    <cellStyle name="Normal 4 4 2 2 7 3 2" xfId="14856" xr:uid="{3A96CE7B-8194-42CE-87FB-4CD9F84AAEA8}"/>
    <cellStyle name="Normal 4 4 2 2 7 4" xfId="10638" xr:uid="{139BF894-970F-4122-8777-0DD05BADD9F5}"/>
    <cellStyle name="Normal 4 4 2 2 8" xfId="2536" xr:uid="{00000000-0005-0000-0000-000013150000}"/>
    <cellStyle name="Normal 4 4 2 2 8 2" xfId="6819" xr:uid="{00000000-0005-0000-0000-000014150000}"/>
    <cellStyle name="Normal 4 4 2 2 8 2 2" xfId="15269" xr:uid="{F36F20AA-FB6F-4636-A44B-0EBFCA3AC7E4}"/>
    <cellStyle name="Normal 4 4 2 2 8 3" xfId="11051" xr:uid="{8E059238-0079-4D1B-A5BF-4385DE0314B5}"/>
    <cellStyle name="Normal 4 4 2 2 9" xfId="4754" xr:uid="{00000000-0005-0000-0000-000015150000}"/>
    <cellStyle name="Normal 4 4 2 2 9 2" xfId="13204" xr:uid="{C91122EA-88F1-4817-B88B-FFF4B1902DD5}"/>
    <cellStyle name="Normal 4 4 2 3" xfId="384" xr:uid="{00000000-0005-0000-0000-000016150000}"/>
    <cellStyle name="Normal 4 4 2 3 10" xfId="18263" xr:uid="{D8AF09A4-DFD0-4D6B-9B66-1B6B79F3019D}"/>
    <cellStyle name="Normal 4 4 2 3 11" xfId="19092" xr:uid="{7C555ABF-5D2F-4D71-BCD3-20D73067868D}"/>
    <cellStyle name="Normal 4 4 2 3 12" xfId="8990" xr:uid="{9465D7F6-82BD-46B4-A9A6-9E05D9E6C79E}"/>
    <cellStyle name="Normal 4 4 2 3 2" xfId="385" xr:uid="{00000000-0005-0000-0000-000017150000}"/>
    <cellStyle name="Normal 4 4 2 3 2 10" xfId="19093" xr:uid="{A3D4A237-8B22-4CD0-B54C-EB60755B0354}"/>
    <cellStyle name="Normal 4 4 2 3 2 11" xfId="8991" xr:uid="{B1176FDF-F35D-4D35-841C-A556B6CA2A2B}"/>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9B7A33BD-78D0-4EF7-BCE0-CC8748EE957B}"/>
    <cellStyle name="Normal 4 4 2 3 2 2 2 3" xfId="11549" xr:uid="{8C2E028A-8FA2-40E5-B8A9-1C5AC2CF3EFD}"/>
    <cellStyle name="Normal 4 4 2 3 2 2 3" xfId="5172" xr:uid="{00000000-0005-0000-0000-00001B150000}"/>
    <cellStyle name="Normal 4 4 2 3 2 2 3 2" xfId="13622" xr:uid="{16E2EE63-B4C0-4F1E-9850-032266201B1C}"/>
    <cellStyle name="Normal 4 4 2 3 2 2 4" xfId="17850" xr:uid="{AFC0B810-69A1-428C-9A03-F3905244AE33}"/>
    <cellStyle name="Normal 4 4 2 3 2 2 5" xfId="18680" xr:uid="{FC9F717A-5B57-4257-A84F-FFA0CA59159E}"/>
    <cellStyle name="Normal 4 4 2 3 2 2 6" xfId="19509" xr:uid="{1845947F-04CA-4C71-879E-9CDF2C8C8A73}"/>
    <cellStyle name="Normal 4 4 2 3 2 2 7" xfId="9404" xr:uid="{969A483B-FA4C-4153-A139-7BEA4DB23BA4}"/>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1F5D9CD2-1CC0-40A8-BC8F-92A6536E5B4B}"/>
    <cellStyle name="Normal 4 4 2 3 2 3 2 3" xfId="11962" xr:uid="{800CD919-8375-4DF4-B66D-3D65EF188761}"/>
    <cellStyle name="Normal 4 4 2 3 2 3 3" xfId="5585" xr:uid="{00000000-0005-0000-0000-00001F150000}"/>
    <cellStyle name="Normal 4 4 2 3 2 3 3 2" xfId="14035" xr:uid="{5334F033-6A1D-4E8E-BA86-4B26167511C1}"/>
    <cellStyle name="Normal 4 4 2 3 2 3 4" xfId="9817" xr:uid="{C180750E-87CE-426F-885C-700C61285999}"/>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747BB486-841A-4B7A-AFF6-A3DF2ACDD68E}"/>
    <cellStyle name="Normal 4 4 2 3 2 4 2 3" xfId="12375" xr:uid="{AAC5BAD6-21C9-4D9D-A580-7FA9C614FF3D}"/>
    <cellStyle name="Normal 4 4 2 3 2 4 3" xfId="5998" xr:uid="{00000000-0005-0000-0000-000023150000}"/>
    <cellStyle name="Normal 4 4 2 3 2 4 3 2" xfId="14448" xr:uid="{1AFD70BF-67A9-4590-A6F0-5D4412E076B8}"/>
    <cellStyle name="Normal 4 4 2 3 2 4 4" xfId="10230" xr:uid="{F52D46B2-2F6F-4938-88A1-15E301F4A35F}"/>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12E39AAE-5612-4D1E-B007-4D7D09F8D206}"/>
    <cellStyle name="Normal 4 4 2 3 2 5 2 3" xfId="12788" xr:uid="{C68FA6A3-C5C7-434A-9563-1671600EE127}"/>
    <cellStyle name="Normal 4 4 2 3 2 5 3" xfId="6411" xr:uid="{00000000-0005-0000-0000-000027150000}"/>
    <cellStyle name="Normal 4 4 2 3 2 5 3 2" xfId="14861" xr:uid="{835EA5D9-9765-4A61-99D7-165C6455F500}"/>
    <cellStyle name="Normal 4 4 2 3 2 5 4" xfId="10643" xr:uid="{8EA596CC-E665-4023-A057-40E47CA19321}"/>
    <cellStyle name="Normal 4 4 2 3 2 6" xfId="2541" xr:uid="{00000000-0005-0000-0000-000028150000}"/>
    <cellStyle name="Normal 4 4 2 3 2 6 2" xfId="6824" xr:uid="{00000000-0005-0000-0000-000029150000}"/>
    <cellStyle name="Normal 4 4 2 3 2 6 2 2" xfId="15274" xr:uid="{F894F4D1-5D36-458A-91CA-63C7D370C406}"/>
    <cellStyle name="Normal 4 4 2 3 2 6 3" xfId="11056" xr:uid="{7A361A24-6147-418C-AF41-473FE9A97CF0}"/>
    <cellStyle name="Normal 4 4 2 3 2 7" xfId="4759" xr:uid="{00000000-0005-0000-0000-00002A150000}"/>
    <cellStyle name="Normal 4 4 2 3 2 7 2" xfId="13209" xr:uid="{F6089280-8B6C-4359-B483-BC1A4DAD2CE6}"/>
    <cellStyle name="Normal 4 4 2 3 2 8" xfId="17431" xr:uid="{5B7284BA-6EDB-42AB-BBB5-C2C43F58DC6D}"/>
    <cellStyle name="Normal 4 4 2 3 2 9" xfId="18264" xr:uid="{0D7E865E-6CF1-4195-A3D7-B7031DD87F74}"/>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5CBA6BC5-BB69-4F92-BB63-CA5E2B925EBE}"/>
    <cellStyle name="Normal 4 4 2 3 3 2 3" xfId="11548" xr:uid="{024E4B05-9B7A-404B-A49C-E23B4EF5FF77}"/>
    <cellStyle name="Normal 4 4 2 3 3 3" xfId="5171" xr:uid="{00000000-0005-0000-0000-00002E150000}"/>
    <cellStyle name="Normal 4 4 2 3 3 3 2" xfId="13621" xr:uid="{28501947-48B1-4314-AF33-E07B4760499B}"/>
    <cellStyle name="Normal 4 4 2 3 3 4" xfId="17849" xr:uid="{BA8FA0E8-0722-494F-8ABF-A702AAAA6F86}"/>
    <cellStyle name="Normal 4 4 2 3 3 5" xfId="18679" xr:uid="{7F111FDA-EF63-48BC-A183-70B5EC2844AD}"/>
    <cellStyle name="Normal 4 4 2 3 3 6" xfId="19508" xr:uid="{30575F76-5601-4230-A75A-A7C1DEEFFABA}"/>
    <cellStyle name="Normal 4 4 2 3 3 7" xfId="9403" xr:uid="{D338513A-3FC9-49A8-9A36-22952A6CD768}"/>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99E1B142-EDDE-4B4F-B35D-FC20ABF0483A}"/>
    <cellStyle name="Normal 4 4 2 3 4 2 3" xfId="11961" xr:uid="{5EE4B9CE-BAF4-4AC4-BEA7-C4E0A40B4C32}"/>
    <cellStyle name="Normal 4 4 2 3 4 3" xfId="5584" xr:uid="{00000000-0005-0000-0000-000032150000}"/>
    <cellStyle name="Normal 4 4 2 3 4 3 2" xfId="14034" xr:uid="{F3076707-4A28-4437-A787-48BFE8809E21}"/>
    <cellStyle name="Normal 4 4 2 3 4 4" xfId="9816" xr:uid="{55FC7EFD-3FFF-4647-9C5E-1AA5EE35899F}"/>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056680E6-232B-45B7-8F14-A91FF6B0BECA}"/>
    <cellStyle name="Normal 4 4 2 3 5 2 3" xfId="12374" xr:uid="{F3FDF6E2-D4C0-4960-8150-8FFDA49E2B0B}"/>
    <cellStyle name="Normal 4 4 2 3 5 3" xfId="5997" xr:uid="{00000000-0005-0000-0000-000036150000}"/>
    <cellStyle name="Normal 4 4 2 3 5 3 2" xfId="14447" xr:uid="{92CF3657-FFB5-4089-A840-2BB1FE8A358A}"/>
    <cellStyle name="Normal 4 4 2 3 5 4" xfId="10229" xr:uid="{64A1F894-7D67-4DDC-A745-33969635643F}"/>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F8C03FDC-8637-47EC-8B66-0DB06864F234}"/>
    <cellStyle name="Normal 4 4 2 3 6 2 3" xfId="12787" xr:uid="{180EC6CF-F2CF-4AD8-B2FD-6442F2C0472C}"/>
    <cellStyle name="Normal 4 4 2 3 6 3" xfId="6410" xr:uid="{00000000-0005-0000-0000-00003A150000}"/>
    <cellStyle name="Normal 4 4 2 3 6 3 2" xfId="14860" xr:uid="{A60EEDA4-A1EA-4C3B-9926-F20EFA57AA3D}"/>
    <cellStyle name="Normal 4 4 2 3 6 4" xfId="10642" xr:uid="{179437A1-BFFD-4179-A43F-533947E4E663}"/>
    <cellStyle name="Normal 4 4 2 3 7" xfId="2540" xr:uid="{00000000-0005-0000-0000-00003B150000}"/>
    <cellStyle name="Normal 4 4 2 3 7 2" xfId="6823" xr:uid="{00000000-0005-0000-0000-00003C150000}"/>
    <cellStyle name="Normal 4 4 2 3 7 2 2" xfId="15273" xr:uid="{F3A72B8D-145A-4099-9949-8B48FE16BA3C}"/>
    <cellStyle name="Normal 4 4 2 3 7 3" xfId="11055" xr:uid="{D05878BB-4B94-4326-8DE6-432B02A4ABD2}"/>
    <cellStyle name="Normal 4 4 2 3 8" xfId="4758" xr:uid="{00000000-0005-0000-0000-00003D150000}"/>
    <cellStyle name="Normal 4 4 2 3 8 2" xfId="13208" xr:uid="{F794EAB8-F992-470C-951F-FB276D1EAF6D}"/>
    <cellStyle name="Normal 4 4 2 3 9" xfId="17430" xr:uid="{ACBF0A17-C592-405B-9BB2-B91FBA6ACF6F}"/>
    <cellStyle name="Normal 4 4 2 4" xfId="386" xr:uid="{00000000-0005-0000-0000-00003E150000}"/>
    <cellStyle name="Normal 4 4 2 4 10" xfId="19094" xr:uid="{537F0B41-1104-4067-A4AD-7413FC28121D}"/>
    <cellStyle name="Normal 4 4 2 4 11" xfId="8992" xr:uid="{12AD50F7-AA3D-433D-8C81-9E5E2A5B6F11}"/>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96C84DB2-BD84-4391-9DAF-AAF3D5F1D64F}"/>
    <cellStyle name="Normal 4 4 2 4 2 2 3" xfId="11550" xr:uid="{2B88E84B-B814-42E5-8BB4-F392D0003F28}"/>
    <cellStyle name="Normal 4 4 2 4 2 3" xfId="5173" xr:uid="{00000000-0005-0000-0000-000042150000}"/>
    <cellStyle name="Normal 4 4 2 4 2 3 2" xfId="13623" xr:uid="{9B27B8A4-9029-4CF3-BB09-97AA9F0AED18}"/>
    <cellStyle name="Normal 4 4 2 4 2 4" xfId="17851" xr:uid="{9AC692C3-4600-49FC-966A-8B151A6A06A6}"/>
    <cellStyle name="Normal 4 4 2 4 2 5" xfId="18681" xr:uid="{24EADEFA-80D1-4B19-BC3C-0372F3DAB0C5}"/>
    <cellStyle name="Normal 4 4 2 4 2 6" xfId="19510" xr:uid="{05DA8110-F941-4181-8A1F-A469E8952933}"/>
    <cellStyle name="Normal 4 4 2 4 2 7" xfId="9405" xr:uid="{4B943F15-922B-4F52-BE9B-58B204D1638F}"/>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9AFF56E7-BC31-42E7-A881-0C766CB758FC}"/>
    <cellStyle name="Normal 4 4 2 4 3 2 3" xfId="11963" xr:uid="{0653F897-1E6D-4CEB-9B27-BFDE80371FE1}"/>
    <cellStyle name="Normal 4 4 2 4 3 3" xfId="5586" xr:uid="{00000000-0005-0000-0000-000046150000}"/>
    <cellStyle name="Normal 4 4 2 4 3 3 2" xfId="14036" xr:uid="{8CF97680-7FA2-4810-A839-0ADE12299FBC}"/>
    <cellStyle name="Normal 4 4 2 4 3 4" xfId="9818" xr:uid="{A6C78E65-3755-4A31-8E5C-348067019B4C}"/>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3CC1D297-F3BB-4152-A744-1FEBDD989237}"/>
    <cellStyle name="Normal 4 4 2 4 4 2 3" xfId="12376" xr:uid="{92F483D9-D6C7-4DA5-B90D-1C75E9BD8A12}"/>
    <cellStyle name="Normal 4 4 2 4 4 3" xfId="5999" xr:uid="{00000000-0005-0000-0000-00004A150000}"/>
    <cellStyle name="Normal 4 4 2 4 4 3 2" xfId="14449" xr:uid="{AC1F7E50-1781-4062-8D25-5AD74C3DBD16}"/>
    <cellStyle name="Normal 4 4 2 4 4 4" xfId="10231" xr:uid="{67A09463-DE4A-4106-8467-35553D341C44}"/>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0420A86D-9C79-40D3-8493-5F70418AD3E8}"/>
    <cellStyle name="Normal 4 4 2 4 5 2 3" xfId="12789" xr:uid="{A9F43BB7-AB58-4521-B60F-04AEF181955B}"/>
    <cellStyle name="Normal 4 4 2 4 5 3" xfId="6412" xr:uid="{00000000-0005-0000-0000-00004E150000}"/>
    <cellStyle name="Normal 4 4 2 4 5 3 2" xfId="14862" xr:uid="{87CB8678-E277-4591-A374-0B2E8C3778B6}"/>
    <cellStyle name="Normal 4 4 2 4 5 4" xfId="10644" xr:uid="{48BE82FA-54E5-4D51-B028-D7F601C743B4}"/>
    <cellStyle name="Normal 4 4 2 4 6" xfId="2542" xr:uid="{00000000-0005-0000-0000-00004F150000}"/>
    <cellStyle name="Normal 4 4 2 4 6 2" xfId="6825" xr:uid="{00000000-0005-0000-0000-000050150000}"/>
    <cellStyle name="Normal 4 4 2 4 6 2 2" xfId="15275" xr:uid="{F4449C3E-590E-4630-953A-58B67EBB479B}"/>
    <cellStyle name="Normal 4 4 2 4 6 3" xfId="11057" xr:uid="{C5175ACD-85A0-43FA-BB86-5098F9D59FCD}"/>
    <cellStyle name="Normal 4 4 2 4 7" xfId="4760" xr:uid="{00000000-0005-0000-0000-000051150000}"/>
    <cellStyle name="Normal 4 4 2 4 7 2" xfId="13210" xr:uid="{6C71DA54-74F4-40EB-9822-B6CBBBDC20FA}"/>
    <cellStyle name="Normal 4 4 2 4 8" xfId="17432" xr:uid="{249B686B-1829-4332-9F73-A9717A1BEB39}"/>
    <cellStyle name="Normal 4 4 2 4 9" xfId="18265" xr:uid="{7BC78B07-8A81-4D8E-93A5-3DE184333AAB}"/>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C2BF4510-182D-47BD-B39C-39AB0158E497}"/>
    <cellStyle name="Normal 4 4 2 5 2 3" xfId="11543" xr:uid="{1BBAC353-6FC3-4CC9-9C4D-13A6BEB9FA84}"/>
    <cellStyle name="Normal 4 4 2 5 3" xfId="5166" xr:uid="{00000000-0005-0000-0000-000055150000}"/>
    <cellStyle name="Normal 4 4 2 5 3 2" xfId="13616" xr:uid="{E2002034-B41C-4151-B93D-4211E9BD0989}"/>
    <cellStyle name="Normal 4 4 2 5 4" xfId="17844" xr:uid="{AE80BD95-CB90-42C5-9C7F-F3267F5E46B9}"/>
    <cellStyle name="Normal 4 4 2 5 5" xfId="18674" xr:uid="{C8345F8B-1793-4E7F-95B9-3A22EADCADBB}"/>
    <cellStyle name="Normal 4 4 2 5 6" xfId="19503" xr:uid="{97C3A2A9-B660-43FD-9928-0747EEB1F42D}"/>
    <cellStyle name="Normal 4 4 2 5 7" xfId="9398" xr:uid="{1A4D0A45-5417-4D01-ABC3-BA16D50337E7}"/>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605EBDBD-5649-4B05-BD4E-DFCB396ABBF1}"/>
    <cellStyle name="Normal 4 4 2 6 2 3" xfId="11956" xr:uid="{1F63C059-7218-44C9-B38F-A0E90D9A2ABD}"/>
    <cellStyle name="Normal 4 4 2 6 3" xfId="5579" xr:uid="{00000000-0005-0000-0000-000059150000}"/>
    <cellStyle name="Normal 4 4 2 6 3 2" xfId="14029" xr:uid="{FE2D41C2-7AA4-4C0E-B5AA-64A2AE3B9FFB}"/>
    <cellStyle name="Normal 4 4 2 6 4" xfId="9811" xr:uid="{2A127EB9-612C-4449-9E67-D9EC8AD5A292}"/>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7328274B-D387-4CF5-83B0-EB28F36B6442}"/>
    <cellStyle name="Normal 4 4 2 7 2 3" xfId="12369" xr:uid="{E4EC69EA-0FF2-44AF-9E89-51A3E4E602F5}"/>
    <cellStyle name="Normal 4 4 2 7 3" xfId="5992" xr:uid="{00000000-0005-0000-0000-00005D150000}"/>
    <cellStyle name="Normal 4 4 2 7 3 2" xfId="14442" xr:uid="{65D7CE6B-D9A4-4635-8CB9-F4B5011FE1A0}"/>
    <cellStyle name="Normal 4 4 2 7 4" xfId="10224" xr:uid="{244D4467-1975-49E2-B430-A7FFC00CDEEC}"/>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CD93F6D7-F45A-4D4C-89A3-D5B3982B4D71}"/>
    <cellStyle name="Normal 4 4 2 8 2 3" xfId="12782" xr:uid="{B9110B4E-4D00-46CF-997A-C854EEC24EEE}"/>
    <cellStyle name="Normal 4 4 2 8 3" xfId="6405" xr:uid="{00000000-0005-0000-0000-000061150000}"/>
    <cellStyle name="Normal 4 4 2 8 3 2" xfId="14855" xr:uid="{999938A5-42B2-4516-B528-93A1F5F8E9A4}"/>
    <cellStyle name="Normal 4 4 2 8 4" xfId="10637" xr:uid="{9400D620-A6C6-48D8-BF9A-33A1FCDC60FD}"/>
    <cellStyle name="Normal 4 4 2 9" xfId="2535" xr:uid="{00000000-0005-0000-0000-000062150000}"/>
    <cellStyle name="Normal 4 4 2 9 2" xfId="6818" xr:uid="{00000000-0005-0000-0000-000063150000}"/>
    <cellStyle name="Normal 4 4 2 9 2 2" xfId="15268" xr:uid="{47150F69-4DD2-48AD-B8C5-A0851B52B5AF}"/>
    <cellStyle name="Normal 4 4 2 9 3" xfId="11050" xr:uid="{A6449D80-6C75-4DFB-B780-97B16B73A27B}"/>
    <cellStyle name="Normal 4 4 3" xfId="387" xr:uid="{00000000-0005-0000-0000-000064150000}"/>
    <cellStyle name="Normal 4 4 3 10" xfId="17433" xr:uid="{70B0BD75-7029-486A-B8C6-0F5687EF062F}"/>
    <cellStyle name="Normal 4 4 3 11" xfId="18266" xr:uid="{10EEAE98-80A1-4A74-8A51-5D0CC445F5AD}"/>
    <cellStyle name="Normal 4 4 3 12" xfId="19095" xr:uid="{AD6D19CD-ADAD-4E0A-9DFB-A025CBFFE22F}"/>
    <cellStyle name="Normal 4 4 3 13" xfId="8993" xr:uid="{C28894CD-2EC9-4313-A055-01238EB2B9FC}"/>
    <cellStyle name="Normal 4 4 3 2" xfId="388" xr:uid="{00000000-0005-0000-0000-000065150000}"/>
    <cellStyle name="Normal 4 4 3 2 10" xfId="18267" xr:uid="{1DF054DE-0C40-4BCD-8F7F-CBAB8524AAB8}"/>
    <cellStyle name="Normal 4 4 3 2 11" xfId="19096" xr:uid="{332B5860-C61C-4CB5-A241-1EAA6F26A940}"/>
    <cellStyle name="Normal 4 4 3 2 12" xfId="8994" xr:uid="{5C54AE3B-BB2B-46CD-9FAE-C64D7F578907}"/>
    <cellStyle name="Normal 4 4 3 2 2" xfId="389" xr:uid="{00000000-0005-0000-0000-000066150000}"/>
    <cellStyle name="Normal 4 4 3 2 2 10" xfId="19097" xr:uid="{4BA242E5-2449-4D28-A0C0-B748D6CD3181}"/>
    <cellStyle name="Normal 4 4 3 2 2 11" xfId="8995" xr:uid="{8066D12B-4221-479E-A7B8-B80412347147}"/>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BF4D80E0-2FBF-4DE5-9658-BBAE849ECEBA}"/>
    <cellStyle name="Normal 4 4 3 2 2 2 2 3" xfId="11553" xr:uid="{AFED1FD6-7700-4CBD-95F4-A06F61FC1FFD}"/>
    <cellStyle name="Normal 4 4 3 2 2 2 3" xfId="5176" xr:uid="{00000000-0005-0000-0000-00006A150000}"/>
    <cellStyle name="Normal 4 4 3 2 2 2 3 2" xfId="13626" xr:uid="{E609DBCA-F766-46AE-ADAC-D0CD7F3678C3}"/>
    <cellStyle name="Normal 4 4 3 2 2 2 4" xfId="17854" xr:uid="{0DE352A1-60BC-4334-AEA8-573A35957D41}"/>
    <cellStyle name="Normal 4 4 3 2 2 2 5" xfId="18684" xr:uid="{067355A4-9B73-470A-82A9-F83BF69F84B7}"/>
    <cellStyle name="Normal 4 4 3 2 2 2 6" xfId="19513" xr:uid="{35DE7D6B-EB4F-48F4-A1B2-C796F7D3EA60}"/>
    <cellStyle name="Normal 4 4 3 2 2 2 7" xfId="9408" xr:uid="{1977176F-B3D3-4961-9028-E79CF6A8F762}"/>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73174E84-AD96-49B3-BBCB-E7D76876EA4F}"/>
    <cellStyle name="Normal 4 4 3 2 2 3 2 3" xfId="11966" xr:uid="{47153D66-137F-4020-91EA-AA4E1A521808}"/>
    <cellStyle name="Normal 4 4 3 2 2 3 3" xfId="5589" xr:uid="{00000000-0005-0000-0000-00006E150000}"/>
    <cellStyle name="Normal 4 4 3 2 2 3 3 2" xfId="14039" xr:uid="{302AD733-914C-41F6-B117-2ED9AFB3DF77}"/>
    <cellStyle name="Normal 4 4 3 2 2 3 4" xfId="9821" xr:uid="{45767686-647F-49DB-BD92-EAACB0EE146E}"/>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DACE5B4F-BF22-47F3-8355-457944DD5036}"/>
    <cellStyle name="Normal 4 4 3 2 2 4 2 3" xfId="12379" xr:uid="{552DFCB7-6074-4116-BC0B-4E1D59BE9619}"/>
    <cellStyle name="Normal 4 4 3 2 2 4 3" xfId="6002" xr:uid="{00000000-0005-0000-0000-000072150000}"/>
    <cellStyle name="Normal 4 4 3 2 2 4 3 2" xfId="14452" xr:uid="{8CB7D1B8-FFBC-4186-9D60-4E762D041E6A}"/>
    <cellStyle name="Normal 4 4 3 2 2 4 4" xfId="10234" xr:uid="{00F4CF37-CC2B-470F-9835-3F3D0623B468}"/>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A39A3F12-9637-418A-A555-65DDA0E2C76B}"/>
    <cellStyle name="Normal 4 4 3 2 2 5 2 3" xfId="12792" xr:uid="{D37C4149-6F74-4E46-AABB-974E384E3972}"/>
    <cellStyle name="Normal 4 4 3 2 2 5 3" xfId="6415" xr:uid="{00000000-0005-0000-0000-000076150000}"/>
    <cellStyle name="Normal 4 4 3 2 2 5 3 2" xfId="14865" xr:uid="{1078AEE6-9CC3-4C4B-9AF1-86933DED4FCA}"/>
    <cellStyle name="Normal 4 4 3 2 2 5 4" xfId="10647" xr:uid="{0ED114F4-59BD-4EF2-9D17-D1AC51F63FC9}"/>
    <cellStyle name="Normal 4 4 3 2 2 6" xfId="2545" xr:uid="{00000000-0005-0000-0000-000077150000}"/>
    <cellStyle name="Normal 4 4 3 2 2 6 2" xfId="6828" xr:uid="{00000000-0005-0000-0000-000078150000}"/>
    <cellStyle name="Normal 4 4 3 2 2 6 2 2" xfId="15278" xr:uid="{24C08C49-338B-427C-AE3F-A8CA819DDDC9}"/>
    <cellStyle name="Normal 4 4 3 2 2 6 3" xfId="11060" xr:uid="{F211DA9B-1AA5-4EE3-8CD7-BC812213A29E}"/>
    <cellStyle name="Normal 4 4 3 2 2 7" xfId="4763" xr:uid="{00000000-0005-0000-0000-000079150000}"/>
    <cellStyle name="Normal 4 4 3 2 2 7 2" xfId="13213" xr:uid="{E7D6AC99-B8C3-497C-AA29-0520E6C9326F}"/>
    <cellStyle name="Normal 4 4 3 2 2 8" xfId="17435" xr:uid="{177DF684-BBFD-49AA-B731-440EE88678C0}"/>
    <cellStyle name="Normal 4 4 3 2 2 9" xfId="18268" xr:uid="{249720EF-66A1-4578-A809-575A1CC9CD57}"/>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EBCD6C9C-0C97-44A9-A9CA-1CA22D1F5005}"/>
    <cellStyle name="Normal 4 4 3 2 3 2 3" xfId="11552" xr:uid="{5F513E9C-6C62-4FDB-B3A8-BB201540DBD4}"/>
    <cellStyle name="Normal 4 4 3 2 3 3" xfId="5175" xr:uid="{00000000-0005-0000-0000-00007D150000}"/>
    <cellStyle name="Normal 4 4 3 2 3 3 2" xfId="13625" xr:uid="{D563E28E-706E-4A30-AA7A-BB282960FF6F}"/>
    <cellStyle name="Normal 4 4 3 2 3 4" xfId="17853" xr:uid="{22933A55-E907-4547-97A5-DBC09A471CE0}"/>
    <cellStyle name="Normal 4 4 3 2 3 5" xfId="18683" xr:uid="{226E0B1A-B024-47F9-A104-D45283E174D3}"/>
    <cellStyle name="Normal 4 4 3 2 3 6" xfId="19512" xr:uid="{871395A8-0DCF-4508-B361-0CCF6C18989F}"/>
    <cellStyle name="Normal 4 4 3 2 3 7" xfId="9407" xr:uid="{D9256FB3-D4C7-4544-8604-72FA5874B85D}"/>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0770FEC6-F24E-4E50-B194-943E7FBF8D73}"/>
    <cellStyle name="Normal 4 4 3 2 4 2 3" xfId="11965" xr:uid="{EDF9D2BB-BA2C-4561-9908-50802B95E9FC}"/>
    <cellStyle name="Normal 4 4 3 2 4 3" xfId="5588" xr:uid="{00000000-0005-0000-0000-000081150000}"/>
    <cellStyle name="Normal 4 4 3 2 4 3 2" xfId="14038" xr:uid="{0F24725B-AFD5-4DE9-AB6A-58ED761EA568}"/>
    <cellStyle name="Normal 4 4 3 2 4 4" xfId="9820" xr:uid="{A5D25C82-A3AF-4A8B-95A2-0C9C85D885C4}"/>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1245D1E9-A3C8-447D-934D-C17BB84C4AD9}"/>
    <cellStyle name="Normal 4 4 3 2 5 2 3" xfId="12378" xr:uid="{12F587F3-72E9-46E9-AD79-841D3230A41D}"/>
    <cellStyle name="Normal 4 4 3 2 5 3" xfId="6001" xr:uid="{00000000-0005-0000-0000-000085150000}"/>
    <cellStyle name="Normal 4 4 3 2 5 3 2" xfId="14451" xr:uid="{129389EF-8A75-44F2-A5E9-F8672DF0CD8B}"/>
    <cellStyle name="Normal 4 4 3 2 5 4" xfId="10233" xr:uid="{A9FBEB12-E318-47B4-AF88-CE037DB6461D}"/>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2896FED6-B45A-43D7-8F34-991154A650A6}"/>
    <cellStyle name="Normal 4 4 3 2 6 2 3" xfId="12791" xr:uid="{03B4DAC2-9051-462C-A21C-3BBE2CBD29C4}"/>
    <cellStyle name="Normal 4 4 3 2 6 3" xfId="6414" xr:uid="{00000000-0005-0000-0000-000089150000}"/>
    <cellStyle name="Normal 4 4 3 2 6 3 2" xfId="14864" xr:uid="{1301D790-318F-4DE8-91E2-FAC54DB4EBDB}"/>
    <cellStyle name="Normal 4 4 3 2 6 4" xfId="10646" xr:uid="{ECD4AF2F-FA16-4FAD-AFB0-2134CDB7D11F}"/>
    <cellStyle name="Normal 4 4 3 2 7" xfId="2544" xr:uid="{00000000-0005-0000-0000-00008A150000}"/>
    <cellStyle name="Normal 4 4 3 2 7 2" xfId="6827" xr:uid="{00000000-0005-0000-0000-00008B150000}"/>
    <cellStyle name="Normal 4 4 3 2 7 2 2" xfId="15277" xr:uid="{AEC28BB7-A1B5-4347-8C86-12571AB898C0}"/>
    <cellStyle name="Normal 4 4 3 2 7 3" xfId="11059" xr:uid="{926F4F2B-49D1-456D-9329-0E23EFA2A887}"/>
    <cellStyle name="Normal 4 4 3 2 8" xfId="4762" xr:uid="{00000000-0005-0000-0000-00008C150000}"/>
    <cellStyle name="Normal 4 4 3 2 8 2" xfId="13212" xr:uid="{BBD6F0A8-52DF-403A-8E14-8BEA43845B3D}"/>
    <cellStyle name="Normal 4 4 3 2 9" xfId="17434" xr:uid="{1A5E7096-66EE-4EE6-8A9E-F78FD9F29FD1}"/>
    <cellStyle name="Normal 4 4 3 3" xfId="390" xr:uid="{00000000-0005-0000-0000-00008D150000}"/>
    <cellStyle name="Normal 4 4 3 3 10" xfId="19098" xr:uid="{B676BFCE-70B5-4DAA-8721-A055FA85D06B}"/>
    <cellStyle name="Normal 4 4 3 3 11" xfId="8996" xr:uid="{9EA0B06A-414D-4BF0-A821-FBECE5CC3AA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D8736A6E-8A3C-4831-BA99-7ADBBB749879}"/>
    <cellStyle name="Normal 4 4 3 3 2 2 3" xfId="11554" xr:uid="{9056C26A-0EEA-4034-8670-951AECDABE21}"/>
    <cellStyle name="Normal 4 4 3 3 2 3" xfId="5177" xr:uid="{00000000-0005-0000-0000-000091150000}"/>
    <cellStyle name="Normal 4 4 3 3 2 3 2" xfId="13627" xr:uid="{16E8E795-3A25-4F29-93CA-9CB981F9D58F}"/>
    <cellStyle name="Normal 4 4 3 3 2 4" xfId="17855" xr:uid="{5BD834EE-912D-4C11-8E77-B05345118F8A}"/>
    <cellStyle name="Normal 4 4 3 3 2 5" xfId="18685" xr:uid="{0F1E4A20-FF99-4F2B-840E-684A25121FDB}"/>
    <cellStyle name="Normal 4 4 3 3 2 6" xfId="19514" xr:uid="{6B70CB07-8E4B-42F4-B9D0-81B63F392121}"/>
    <cellStyle name="Normal 4 4 3 3 2 7" xfId="9409" xr:uid="{7F7BF0CC-B962-4974-BEAD-802078069AEE}"/>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91CA0AAD-F638-4F94-B863-6877FE1B0E93}"/>
    <cellStyle name="Normal 4 4 3 3 3 2 3" xfId="11967" xr:uid="{0F77DEFB-0BA9-41B7-9AA3-530E35B92435}"/>
    <cellStyle name="Normal 4 4 3 3 3 3" xfId="5590" xr:uid="{00000000-0005-0000-0000-000095150000}"/>
    <cellStyle name="Normal 4 4 3 3 3 3 2" xfId="14040" xr:uid="{CDD3BC29-787D-4A58-88C5-094640975D36}"/>
    <cellStyle name="Normal 4 4 3 3 3 4" xfId="9822" xr:uid="{993697F7-89D7-459F-97B3-563B87826ED2}"/>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ECB97FD0-AFB4-45E8-9CAA-934E185A22EB}"/>
    <cellStyle name="Normal 4 4 3 3 4 2 3" xfId="12380" xr:uid="{F55C37EA-063F-49FA-891F-3B992D44CBF1}"/>
    <cellStyle name="Normal 4 4 3 3 4 3" xfId="6003" xr:uid="{00000000-0005-0000-0000-000099150000}"/>
    <cellStyle name="Normal 4 4 3 3 4 3 2" xfId="14453" xr:uid="{FF0469D4-590B-49D2-83F3-49208717A95E}"/>
    <cellStyle name="Normal 4 4 3 3 4 4" xfId="10235" xr:uid="{E87DCFBD-CDA4-4891-B7CB-382033FA99E0}"/>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AEBC474B-5490-4D65-A7EE-C6C3E959FA6A}"/>
    <cellStyle name="Normal 4 4 3 3 5 2 3" xfId="12793" xr:uid="{83913A83-A31D-4D35-B7D4-3230181B5771}"/>
    <cellStyle name="Normal 4 4 3 3 5 3" xfId="6416" xr:uid="{00000000-0005-0000-0000-00009D150000}"/>
    <cellStyle name="Normal 4 4 3 3 5 3 2" xfId="14866" xr:uid="{052BAEFD-2BE8-4871-AC31-2CC199F4FC58}"/>
    <cellStyle name="Normal 4 4 3 3 5 4" xfId="10648" xr:uid="{DC54E007-442B-4654-B29B-E3B5A4076F8E}"/>
    <cellStyle name="Normal 4 4 3 3 6" xfId="2546" xr:uid="{00000000-0005-0000-0000-00009E150000}"/>
    <cellStyle name="Normal 4 4 3 3 6 2" xfId="6829" xr:uid="{00000000-0005-0000-0000-00009F150000}"/>
    <cellStyle name="Normal 4 4 3 3 6 2 2" xfId="15279" xr:uid="{08438878-6979-4BE5-B6A2-CB019A481B81}"/>
    <cellStyle name="Normal 4 4 3 3 6 3" xfId="11061" xr:uid="{886A68B7-F939-40C2-86D4-2A67D9669C66}"/>
    <cellStyle name="Normal 4 4 3 3 7" xfId="4764" xr:uid="{00000000-0005-0000-0000-0000A0150000}"/>
    <cellStyle name="Normal 4 4 3 3 7 2" xfId="13214" xr:uid="{C3E43912-F485-4EFB-AD5B-98EDDB13701A}"/>
    <cellStyle name="Normal 4 4 3 3 8" xfId="17436" xr:uid="{89C3FB94-DEFA-43B7-89A7-771C060FA025}"/>
    <cellStyle name="Normal 4 4 3 3 9" xfId="18269" xr:uid="{74C17819-B83A-4517-883B-38434F43B2E1}"/>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AC2C8978-BC6C-452C-916D-E0D23CD1D66D}"/>
    <cellStyle name="Normal 4 4 3 4 2 3" xfId="11551" xr:uid="{5AAE745E-F559-4003-A4B0-868744876ED7}"/>
    <cellStyle name="Normal 4 4 3 4 3" xfId="5174" xr:uid="{00000000-0005-0000-0000-0000A4150000}"/>
    <cellStyle name="Normal 4 4 3 4 3 2" xfId="13624" xr:uid="{EE98F424-048F-4DE4-A752-05BF4ADFF27D}"/>
    <cellStyle name="Normal 4 4 3 4 4" xfId="17852" xr:uid="{36A1477F-1E6A-47E9-A6C0-80B3496D204C}"/>
    <cellStyle name="Normal 4 4 3 4 5" xfId="18682" xr:uid="{F7D22840-88E4-44FF-94CB-34B9CFBD5692}"/>
    <cellStyle name="Normal 4 4 3 4 6" xfId="19511" xr:uid="{97FEE446-06B0-4C15-80A5-1420A9160BFC}"/>
    <cellStyle name="Normal 4 4 3 4 7" xfId="9406" xr:uid="{02A92A95-B407-4E10-B028-492731A7C42D}"/>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529AFA0C-47F8-4D25-B475-C199C0558045}"/>
    <cellStyle name="Normal 4 4 3 5 2 3" xfId="11964" xr:uid="{7C3995CA-15DC-4596-899F-6F4A8BF8C510}"/>
    <cellStyle name="Normal 4 4 3 5 3" xfId="5587" xr:uid="{00000000-0005-0000-0000-0000A8150000}"/>
    <cellStyle name="Normal 4 4 3 5 3 2" xfId="14037" xr:uid="{CD909CBA-5174-43F6-A786-83F32EAC6037}"/>
    <cellStyle name="Normal 4 4 3 5 4" xfId="9819" xr:uid="{9ED27C3D-84AC-4A9D-9A2D-63ED98316C75}"/>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E553D509-893E-419F-B6A9-3544DFAC35CD}"/>
    <cellStyle name="Normal 4 4 3 6 2 3" xfId="12377" xr:uid="{CAF8BC4E-361C-465D-BC6C-CD6F0556CD58}"/>
    <cellStyle name="Normal 4 4 3 6 3" xfId="6000" xr:uid="{00000000-0005-0000-0000-0000AC150000}"/>
    <cellStyle name="Normal 4 4 3 6 3 2" xfId="14450" xr:uid="{33DE5557-2E0C-48E1-8F84-01C723C7B88B}"/>
    <cellStyle name="Normal 4 4 3 6 4" xfId="10232" xr:uid="{048AAB44-CE04-4A6C-B9DA-444958546E5B}"/>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AC796288-A403-4578-AEE3-922D9E2D8096}"/>
    <cellStyle name="Normal 4 4 3 7 2 3" xfId="12790" xr:uid="{96845A34-76E4-4286-A092-264D798E2636}"/>
    <cellStyle name="Normal 4 4 3 7 3" xfId="6413" xr:uid="{00000000-0005-0000-0000-0000B0150000}"/>
    <cellStyle name="Normal 4 4 3 7 3 2" xfId="14863" xr:uid="{2E57DAC9-C74D-44C4-A172-681CAE1F4940}"/>
    <cellStyle name="Normal 4 4 3 7 4" xfId="10645" xr:uid="{6190550B-7ADB-4F3D-8352-680B0AC923F9}"/>
    <cellStyle name="Normal 4 4 3 8" xfId="2543" xr:uid="{00000000-0005-0000-0000-0000B1150000}"/>
    <cellStyle name="Normal 4 4 3 8 2" xfId="6826" xr:uid="{00000000-0005-0000-0000-0000B2150000}"/>
    <cellStyle name="Normal 4 4 3 8 2 2" xfId="15276" xr:uid="{C9B0964D-1906-49CA-A862-B1E2CD1CFCB2}"/>
    <cellStyle name="Normal 4 4 3 8 3" xfId="11058" xr:uid="{9D94F01F-5DBF-431C-8C7A-293DA44A0199}"/>
    <cellStyle name="Normal 4 4 3 9" xfId="4761" xr:uid="{00000000-0005-0000-0000-0000B3150000}"/>
    <cellStyle name="Normal 4 4 3 9 2" xfId="13211" xr:uid="{C1CE68E4-7C92-43AC-A60C-6936496FB82A}"/>
    <cellStyle name="Normal 4 4 4" xfId="391" xr:uid="{00000000-0005-0000-0000-0000B4150000}"/>
    <cellStyle name="Normal 4 4 4 10" xfId="18270" xr:uid="{0DA09534-BEA1-43A8-95BD-C7E13007E0FB}"/>
    <cellStyle name="Normal 4 4 4 11" xfId="19099" xr:uid="{447C1DA6-A7DD-4671-BF4A-0D3E1BA1D6DD}"/>
    <cellStyle name="Normal 4 4 4 12" xfId="8997" xr:uid="{F55AB32A-7394-495A-B6BD-F40027DBF811}"/>
    <cellStyle name="Normal 4 4 4 2" xfId="392" xr:uid="{00000000-0005-0000-0000-0000B5150000}"/>
    <cellStyle name="Normal 4 4 4 2 10" xfId="19100" xr:uid="{A64FBC86-7F06-4812-9883-6FF101E269CB}"/>
    <cellStyle name="Normal 4 4 4 2 11" xfId="8998" xr:uid="{985F5057-CF0F-407D-9B9B-074C171AED02}"/>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35BE22BB-86F3-4692-AD4C-C7A4BFBE2058}"/>
    <cellStyle name="Normal 4 4 4 2 2 2 3" xfId="11556" xr:uid="{C3323797-584C-4C30-AD19-86496CA5DF5B}"/>
    <cellStyle name="Normal 4 4 4 2 2 3" xfId="5179" xr:uid="{00000000-0005-0000-0000-0000B9150000}"/>
    <cellStyle name="Normal 4 4 4 2 2 3 2" xfId="13629" xr:uid="{A5AE08E9-D546-4E6E-B3E6-739DC581C652}"/>
    <cellStyle name="Normal 4 4 4 2 2 4" xfId="17857" xr:uid="{D4FB83D9-00FC-44F1-85D6-5B64CCA296E0}"/>
    <cellStyle name="Normal 4 4 4 2 2 5" xfId="18687" xr:uid="{EA3631F2-731F-4FA8-BC1E-1D1979B69106}"/>
    <cellStyle name="Normal 4 4 4 2 2 6" xfId="19516" xr:uid="{6EDFB0A8-16AC-4999-ABC9-CCA3DD1C14AF}"/>
    <cellStyle name="Normal 4 4 4 2 2 7" xfId="9411" xr:uid="{D7CD3A26-848B-49DA-893E-89345CC6E294}"/>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13F956A3-BA11-4542-9C60-F4339A578CD2}"/>
    <cellStyle name="Normal 4 4 4 2 3 2 3" xfId="11969" xr:uid="{BDB0B2D5-7F8F-4A4F-86A8-04DE07CF30F2}"/>
    <cellStyle name="Normal 4 4 4 2 3 3" xfId="5592" xr:uid="{00000000-0005-0000-0000-0000BD150000}"/>
    <cellStyle name="Normal 4 4 4 2 3 3 2" xfId="14042" xr:uid="{75D51D09-CE6F-4E93-B8D7-663384CBE4C9}"/>
    <cellStyle name="Normal 4 4 4 2 3 4" xfId="9824" xr:uid="{76B797E1-9D13-4891-BB51-6E8FA81276A6}"/>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328A0515-927A-46E8-A047-1DFECD66698C}"/>
    <cellStyle name="Normal 4 4 4 2 4 2 3" xfId="12382" xr:uid="{23D6E478-7346-484F-858B-CE493CAFA746}"/>
    <cellStyle name="Normal 4 4 4 2 4 3" xfId="6005" xr:uid="{00000000-0005-0000-0000-0000C1150000}"/>
    <cellStyle name="Normal 4 4 4 2 4 3 2" xfId="14455" xr:uid="{6ADE2835-5ADA-4894-BE2B-E4C9B0D04F2E}"/>
    <cellStyle name="Normal 4 4 4 2 4 4" xfId="10237" xr:uid="{C7BC3FB2-D983-451E-A09B-69AF67FA82D9}"/>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2902BF39-8C96-4AA9-92AD-0FFD4B4D3E5F}"/>
    <cellStyle name="Normal 4 4 4 2 5 2 3" xfId="12795" xr:uid="{FC606169-6E29-417E-91FA-CFA7A1632896}"/>
    <cellStyle name="Normal 4 4 4 2 5 3" xfId="6418" xr:uid="{00000000-0005-0000-0000-0000C5150000}"/>
    <cellStyle name="Normal 4 4 4 2 5 3 2" xfId="14868" xr:uid="{26E1B6ED-4B8C-43C2-8C66-12339EE0A7EB}"/>
    <cellStyle name="Normal 4 4 4 2 5 4" xfId="10650" xr:uid="{12A6FE04-5604-4510-820F-AD06F99BE761}"/>
    <cellStyle name="Normal 4 4 4 2 6" xfId="2548" xr:uid="{00000000-0005-0000-0000-0000C6150000}"/>
    <cellStyle name="Normal 4 4 4 2 6 2" xfId="6831" xr:uid="{00000000-0005-0000-0000-0000C7150000}"/>
    <cellStyle name="Normal 4 4 4 2 6 2 2" xfId="15281" xr:uid="{6AA9D2E7-4196-4811-8D7B-011900F0364B}"/>
    <cellStyle name="Normal 4 4 4 2 6 3" xfId="11063" xr:uid="{2C661F79-B4FD-4A3B-BA15-F8679067CC75}"/>
    <cellStyle name="Normal 4 4 4 2 7" xfId="4766" xr:uid="{00000000-0005-0000-0000-0000C8150000}"/>
    <cellStyle name="Normal 4 4 4 2 7 2" xfId="13216" xr:uid="{B61D04DB-E6F3-4D35-AA52-8C8B4E125209}"/>
    <cellStyle name="Normal 4 4 4 2 8" xfId="17438" xr:uid="{1BFE6783-F00F-488D-9944-8B7EDA0D9FF3}"/>
    <cellStyle name="Normal 4 4 4 2 9" xfId="18271" xr:uid="{315B8085-37FE-4C24-BB83-C153AD8AF2C2}"/>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A8E0ADAE-883E-4597-BEA6-76FE110CF198}"/>
    <cellStyle name="Normal 4 4 4 3 2 3" xfId="11555" xr:uid="{6818A492-6FA2-4D02-8F1F-1506F553C940}"/>
    <cellStyle name="Normal 4 4 4 3 3" xfId="5178" xr:uid="{00000000-0005-0000-0000-0000CC150000}"/>
    <cellStyle name="Normal 4 4 4 3 3 2" xfId="13628" xr:uid="{6AEF948B-8B76-4D94-AFB6-E9925BBE9F6E}"/>
    <cellStyle name="Normal 4 4 4 3 4" xfId="17856" xr:uid="{8F23B5F7-C336-451C-9B97-1B1AC10E54A0}"/>
    <cellStyle name="Normal 4 4 4 3 5" xfId="18686" xr:uid="{637D3334-DFC3-4FC0-A15F-B739196B5508}"/>
    <cellStyle name="Normal 4 4 4 3 6" xfId="19515" xr:uid="{1A4ADA8F-CFFB-4201-BA06-59EA6B40BDA9}"/>
    <cellStyle name="Normal 4 4 4 3 7" xfId="9410" xr:uid="{2B81DBD4-356A-4935-93BC-9BA5B7C3BCDE}"/>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39E73F0A-FAF1-49F3-B65F-2D51E614FBBC}"/>
    <cellStyle name="Normal 4 4 4 4 2 3" xfId="11968" xr:uid="{5ACD9A38-C983-4294-9D29-1DC328B77310}"/>
    <cellStyle name="Normal 4 4 4 4 3" xfId="5591" xr:uid="{00000000-0005-0000-0000-0000D0150000}"/>
    <cellStyle name="Normal 4 4 4 4 3 2" xfId="14041" xr:uid="{2CE9DB0E-2A89-4BD3-82D4-BD85A7B84EB2}"/>
    <cellStyle name="Normal 4 4 4 4 4" xfId="9823" xr:uid="{2B36F41C-7BFD-4C3B-B6AA-863E0D9821B5}"/>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00D8A478-BB59-4BDF-9505-8745DF40E90A}"/>
    <cellStyle name="Normal 4 4 4 5 2 3" xfId="12381" xr:uid="{A4112443-DA35-4203-ADDB-5E128F163695}"/>
    <cellStyle name="Normal 4 4 4 5 3" xfId="6004" xr:uid="{00000000-0005-0000-0000-0000D4150000}"/>
    <cellStyle name="Normal 4 4 4 5 3 2" xfId="14454" xr:uid="{93EBF6A8-4D57-464E-B54F-0914DC255020}"/>
    <cellStyle name="Normal 4 4 4 5 4" xfId="10236" xr:uid="{2905609D-4BD2-4600-B375-A6741DE111F4}"/>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F5B3AF7F-156C-4EB3-B0AE-E464834E8040}"/>
    <cellStyle name="Normal 4 4 4 6 2 3" xfId="12794" xr:uid="{FA5962FC-D803-4A45-9C41-508A5A06997D}"/>
    <cellStyle name="Normal 4 4 4 6 3" xfId="6417" xr:uid="{00000000-0005-0000-0000-0000D8150000}"/>
    <cellStyle name="Normal 4 4 4 6 3 2" xfId="14867" xr:uid="{1828B6DE-60CE-4D79-A73F-F2A1E08E5030}"/>
    <cellStyle name="Normal 4 4 4 6 4" xfId="10649" xr:uid="{F7E267A6-A801-452C-B59D-E3D1872DCCB0}"/>
    <cellStyle name="Normal 4 4 4 7" xfId="2547" xr:uid="{00000000-0005-0000-0000-0000D9150000}"/>
    <cellStyle name="Normal 4 4 4 7 2" xfId="6830" xr:uid="{00000000-0005-0000-0000-0000DA150000}"/>
    <cellStyle name="Normal 4 4 4 7 2 2" xfId="15280" xr:uid="{65C4218B-A425-4179-B0E2-9FF5F0BEF1D5}"/>
    <cellStyle name="Normal 4 4 4 7 3" xfId="11062" xr:uid="{7B41C155-8456-4B7E-BBCC-29EB4AF320E7}"/>
    <cellStyle name="Normal 4 4 4 8" xfId="4765" xr:uid="{00000000-0005-0000-0000-0000DB150000}"/>
    <cellStyle name="Normal 4 4 4 8 2" xfId="13215" xr:uid="{94CF740C-1FEC-4CE0-867D-FB93131E5007}"/>
    <cellStyle name="Normal 4 4 4 9" xfId="17437" xr:uid="{9448C7CA-6577-41BF-9EC4-B6FE135B1A0C}"/>
    <cellStyle name="Normal 4 4 5" xfId="393" xr:uid="{00000000-0005-0000-0000-0000DC150000}"/>
    <cellStyle name="Normal 4 4 5 10" xfId="19101" xr:uid="{5B4490ED-E652-4C33-AA95-4E7D0CBC3126}"/>
    <cellStyle name="Normal 4 4 5 11" xfId="8999" xr:uid="{D60559BF-7B84-44DF-AF9E-665E6CE3662E}"/>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204D7779-99AF-44ED-822F-CDC1F2538AAA}"/>
    <cellStyle name="Normal 4 4 5 2 2 3" xfId="11557" xr:uid="{9381112E-66E4-46FA-AC1D-868D76F4BC38}"/>
    <cellStyle name="Normal 4 4 5 2 3" xfId="5180" xr:uid="{00000000-0005-0000-0000-0000E0150000}"/>
    <cellStyle name="Normal 4 4 5 2 3 2" xfId="13630" xr:uid="{233C6730-35FD-4CD7-A016-A3DDEE459DDE}"/>
    <cellStyle name="Normal 4 4 5 2 4" xfId="17858" xr:uid="{278127B5-E1D0-4253-9B66-DF70C232C7A1}"/>
    <cellStyle name="Normal 4 4 5 2 5" xfId="18688" xr:uid="{74639222-0615-46BD-86E9-FBD2241FC46B}"/>
    <cellStyle name="Normal 4 4 5 2 6" xfId="19517" xr:uid="{077B0759-536C-4958-83B4-06FCF6C7BBB1}"/>
    <cellStyle name="Normal 4 4 5 2 7" xfId="9412" xr:uid="{C7B520F5-E575-4CDF-8D7B-CE5BBB8B7A1C}"/>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68BCF8F2-14C2-43DC-A7F5-CB90FB1B863A}"/>
    <cellStyle name="Normal 4 4 5 3 2 3" xfId="11970" xr:uid="{61CB8B02-7BE6-461F-AA85-D842316A5D3C}"/>
    <cellStyle name="Normal 4 4 5 3 3" xfId="5593" xr:uid="{00000000-0005-0000-0000-0000E4150000}"/>
    <cellStyle name="Normal 4 4 5 3 3 2" xfId="14043" xr:uid="{C6C6CEA3-98C2-43BB-A304-74962ED31C98}"/>
    <cellStyle name="Normal 4 4 5 3 4" xfId="9825" xr:uid="{29440240-1C90-4DB6-AF36-9F24B38B9D9F}"/>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3636211C-8F15-44E9-9482-042CB93BCB5A}"/>
    <cellStyle name="Normal 4 4 5 4 2 3" xfId="12383" xr:uid="{B72F3A39-28AE-4962-A43B-6310DD6720A9}"/>
    <cellStyle name="Normal 4 4 5 4 3" xfId="6006" xr:uid="{00000000-0005-0000-0000-0000E8150000}"/>
    <cellStyle name="Normal 4 4 5 4 3 2" xfId="14456" xr:uid="{6A5F5631-93C1-4F72-A710-B9FE981980FC}"/>
    <cellStyle name="Normal 4 4 5 4 4" xfId="10238" xr:uid="{EC7E26BA-D3A8-463D-8282-65E4EE8504E7}"/>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C2D23B27-4C0C-495B-A0D1-425BDA4C4D5F}"/>
    <cellStyle name="Normal 4 4 5 5 2 3" xfId="12796" xr:uid="{2DDB65E5-DF45-4439-95CF-EA0D93511A7B}"/>
    <cellStyle name="Normal 4 4 5 5 3" xfId="6419" xr:uid="{00000000-0005-0000-0000-0000EC150000}"/>
    <cellStyle name="Normal 4 4 5 5 3 2" xfId="14869" xr:uid="{90C8ED20-1DA9-4A1C-A53E-E0A533DBC31E}"/>
    <cellStyle name="Normal 4 4 5 5 4" xfId="10651" xr:uid="{ADCCF7E4-65C2-4754-979A-669D66CAB915}"/>
    <cellStyle name="Normal 4 4 5 6" xfId="2549" xr:uid="{00000000-0005-0000-0000-0000ED150000}"/>
    <cellStyle name="Normal 4 4 5 6 2" xfId="6832" xr:uid="{00000000-0005-0000-0000-0000EE150000}"/>
    <cellStyle name="Normal 4 4 5 6 2 2" xfId="15282" xr:uid="{A0D28D15-03D5-4BDF-BE90-DACE275D07F9}"/>
    <cellStyle name="Normal 4 4 5 6 3" xfId="11064" xr:uid="{0F33187B-8327-439A-AB49-A5CF623B2277}"/>
    <cellStyle name="Normal 4 4 5 7" xfId="4767" xr:uid="{00000000-0005-0000-0000-0000EF150000}"/>
    <cellStyle name="Normal 4 4 5 7 2" xfId="13217" xr:uid="{644AEB6C-5E1D-4270-8CC3-7E1E74D88408}"/>
    <cellStyle name="Normal 4 4 5 8" xfId="17439" xr:uid="{AF393243-A2A6-4D5C-A123-11F8CF720770}"/>
    <cellStyle name="Normal 4 4 5 9" xfId="18272" xr:uid="{698FF620-ED28-4D4E-85D6-EA4B02C14D22}"/>
    <cellStyle name="Normal 4 4 6" xfId="853" xr:uid="{00000000-0005-0000-0000-0000F0150000}"/>
    <cellStyle name="Normal 4 4 6 2" xfId="3088" xr:uid="{00000000-0005-0000-0000-0000F1150000}"/>
    <cellStyle name="Normal 4 4 6 2 2" xfId="7310" xr:uid="{00000000-0005-0000-0000-0000F2150000}"/>
    <cellStyle name="Normal 4 4 6 2 2 2" xfId="15760" xr:uid="{74C944E4-792B-4A88-8BA0-B0949783D545}"/>
    <cellStyle name="Normal 4 4 6 2 3" xfId="11542" xr:uid="{C3C39675-36BB-4635-B09D-6AE08A47CBA8}"/>
    <cellStyle name="Normal 4 4 6 3" xfId="5165" xr:uid="{00000000-0005-0000-0000-0000F3150000}"/>
    <cellStyle name="Normal 4 4 6 3 2" xfId="13615" xr:uid="{D969B308-BBA6-4B62-B0BE-F27D8A8C02A2}"/>
    <cellStyle name="Normal 4 4 6 4" xfId="17843" xr:uid="{DEE879FF-5A4B-4A91-B1E2-E8571D4CC968}"/>
    <cellStyle name="Normal 4 4 6 5" xfId="18673" xr:uid="{6B6D5546-A1D4-4689-8857-CD5EB406CFB7}"/>
    <cellStyle name="Normal 4 4 6 6" xfId="19502" xr:uid="{7F047649-1E40-483A-869A-E61D278D566A}"/>
    <cellStyle name="Normal 4 4 6 7" xfId="9397" xr:uid="{638375AE-1171-4749-8AFD-ED924F650CF3}"/>
    <cellStyle name="Normal 4 4 7" xfId="1271" xr:uid="{00000000-0005-0000-0000-0000F4150000}"/>
    <cellStyle name="Normal 4 4 7 2" xfId="3501" xr:uid="{00000000-0005-0000-0000-0000F5150000}"/>
    <cellStyle name="Normal 4 4 7 2 2" xfId="7723" xr:uid="{00000000-0005-0000-0000-0000F6150000}"/>
    <cellStyle name="Normal 4 4 7 2 2 2" xfId="16173" xr:uid="{CD5227EA-C64E-4B9D-A192-6E3B10B87F82}"/>
    <cellStyle name="Normal 4 4 7 2 3" xfId="11955" xr:uid="{F4661BE1-354B-43A3-8792-0EE1E06EAF98}"/>
    <cellStyle name="Normal 4 4 7 3" xfId="5578" xr:uid="{00000000-0005-0000-0000-0000F7150000}"/>
    <cellStyle name="Normal 4 4 7 3 2" xfId="14028" xr:uid="{92A82603-FCC9-46A5-A971-87567781FD8F}"/>
    <cellStyle name="Normal 4 4 7 4" xfId="9810" xr:uid="{4DCE0CBA-DF50-4298-854D-B06B61F2FD1F}"/>
    <cellStyle name="Normal 4 4 8" xfId="1684" xr:uid="{00000000-0005-0000-0000-0000F8150000}"/>
    <cellStyle name="Normal 4 4 8 2" xfId="3914" xr:uid="{00000000-0005-0000-0000-0000F9150000}"/>
    <cellStyle name="Normal 4 4 8 2 2" xfId="8136" xr:uid="{00000000-0005-0000-0000-0000FA150000}"/>
    <cellStyle name="Normal 4 4 8 2 2 2" xfId="16586" xr:uid="{C9CAF5F6-8DAC-436A-8457-F94CE7BD8C2C}"/>
    <cellStyle name="Normal 4 4 8 2 3" xfId="12368" xr:uid="{DBFED1C4-0C50-4906-A3BE-99EAD8D8FC52}"/>
    <cellStyle name="Normal 4 4 8 3" xfId="5991" xr:uid="{00000000-0005-0000-0000-0000FB150000}"/>
    <cellStyle name="Normal 4 4 8 3 2" xfId="14441" xr:uid="{E2B2A671-DBAC-4BA9-9C2E-2FDA50FD6557}"/>
    <cellStyle name="Normal 4 4 8 4" xfId="10223" xr:uid="{14328618-3BE6-4F6E-9212-574F6BCB9B21}"/>
    <cellStyle name="Normal 4 4 9" xfId="2098" xr:uid="{00000000-0005-0000-0000-0000FC150000}"/>
    <cellStyle name="Normal 4 4 9 2" xfId="4327" xr:uid="{00000000-0005-0000-0000-0000FD150000}"/>
    <cellStyle name="Normal 4 4 9 2 2" xfId="8549" xr:uid="{00000000-0005-0000-0000-0000FE150000}"/>
    <cellStyle name="Normal 4 4 9 2 2 2" xfId="16999" xr:uid="{B27BFDDB-DD64-40DB-9FEC-F647818C5B5D}"/>
    <cellStyle name="Normal 4 4 9 2 3" xfId="12781" xr:uid="{188EB796-3D60-44CF-8B8B-069755CA3DDC}"/>
    <cellStyle name="Normal 4 4 9 3" xfId="6404" xr:uid="{00000000-0005-0000-0000-0000FF150000}"/>
    <cellStyle name="Normal 4 4 9 3 2" xfId="14854" xr:uid="{82884E8B-5628-4AE3-A98A-F5D3B2059FAA}"/>
    <cellStyle name="Normal 4 4 9 4" xfId="10636" xr:uid="{CC2689AA-431E-4A6F-857F-62A542B7660A}"/>
    <cellStyle name="Normal 4 5" xfId="394" xr:uid="{00000000-0005-0000-0000-000000160000}"/>
    <cellStyle name="Normal 4 6" xfId="395" xr:uid="{00000000-0005-0000-0000-000001160000}"/>
    <cellStyle name="Normal 4 6 10" xfId="4768" xr:uid="{00000000-0005-0000-0000-000002160000}"/>
    <cellStyle name="Normal 4 6 10 2" xfId="13218" xr:uid="{C08114C5-8DE1-47C1-BC86-AFBDD829DEA8}"/>
    <cellStyle name="Normal 4 6 11" xfId="17440" xr:uid="{33039AFD-E240-49F8-A337-F5843C658AAF}"/>
    <cellStyle name="Normal 4 6 12" xfId="18273" xr:uid="{853C3F61-3C1D-4F0E-9B11-68F36AD6B468}"/>
    <cellStyle name="Normal 4 6 13" xfId="19102" xr:uid="{E903381F-7F0E-4026-A443-8C1C4AF0ACB1}"/>
    <cellStyle name="Normal 4 6 14" xfId="9000" xr:uid="{E5994712-1868-4378-8CA2-7B3A2F8EA36A}"/>
    <cellStyle name="Normal 4 6 2" xfId="396" xr:uid="{00000000-0005-0000-0000-000003160000}"/>
    <cellStyle name="Normal 4 6 2 10" xfId="17441" xr:uid="{991669FA-A621-4A93-B2E3-14F1536FF5DD}"/>
    <cellStyle name="Normal 4 6 2 11" xfId="18274" xr:uid="{7E59EA41-DE3F-4E45-952A-37D8106E8D93}"/>
    <cellStyle name="Normal 4 6 2 12" xfId="19103" xr:uid="{8B1DF697-5ADC-46AF-8B74-0DDB76902B8C}"/>
    <cellStyle name="Normal 4 6 2 13" xfId="9001" xr:uid="{2E3FA151-F2DD-43A4-9317-75CFEA90A6A6}"/>
    <cellStyle name="Normal 4 6 2 2" xfId="397" xr:uid="{00000000-0005-0000-0000-000004160000}"/>
    <cellStyle name="Normal 4 6 2 2 10" xfId="18275" xr:uid="{068B34CD-2DF1-4FEA-B5CF-66DC2AD2626A}"/>
    <cellStyle name="Normal 4 6 2 2 11" xfId="19104" xr:uid="{62724EAF-EC3A-4DFF-8D41-FB8EADC4B920}"/>
    <cellStyle name="Normal 4 6 2 2 12" xfId="9002" xr:uid="{530FDC0E-CC6C-4EA6-9EB0-12EB7B9BD344}"/>
    <cellStyle name="Normal 4 6 2 2 2" xfId="398" xr:uid="{00000000-0005-0000-0000-000005160000}"/>
    <cellStyle name="Normal 4 6 2 2 2 10" xfId="19105" xr:uid="{0E451D90-6D64-485F-9957-99882EC7C8AD}"/>
    <cellStyle name="Normal 4 6 2 2 2 11" xfId="9003" xr:uid="{396AB844-789E-46AA-91E2-BD0BD5D59CBA}"/>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DAE20895-B92A-4717-9CC6-27D5C1C9E4E7}"/>
    <cellStyle name="Normal 4 6 2 2 2 2 2 3" xfId="11561" xr:uid="{3D3DDA04-44E8-456D-B05E-E1462FE4A95D}"/>
    <cellStyle name="Normal 4 6 2 2 2 2 3" xfId="5184" xr:uid="{00000000-0005-0000-0000-000009160000}"/>
    <cellStyle name="Normal 4 6 2 2 2 2 3 2" xfId="13634" xr:uid="{9BF0F44E-D898-4071-BD27-18E0AB228E71}"/>
    <cellStyle name="Normal 4 6 2 2 2 2 4" xfId="17862" xr:uid="{8BA65B54-34FC-4644-A4F7-1A9268451DDE}"/>
    <cellStyle name="Normal 4 6 2 2 2 2 5" xfId="18692" xr:uid="{38C9FFE5-634F-401B-A7B5-08D99A8570B8}"/>
    <cellStyle name="Normal 4 6 2 2 2 2 6" xfId="19521" xr:uid="{DF34E171-2DA9-48EC-AF0B-B5FF40038DB0}"/>
    <cellStyle name="Normal 4 6 2 2 2 2 7" xfId="9416" xr:uid="{A0331C69-0651-4CFF-BB41-32072E39828E}"/>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60DF13D8-E2F4-4923-86B3-F114DB6DD3BD}"/>
    <cellStyle name="Normal 4 6 2 2 2 3 2 3" xfId="11974" xr:uid="{2CB7C802-4EB9-4E3E-B429-F1193175EB40}"/>
    <cellStyle name="Normal 4 6 2 2 2 3 3" xfId="5597" xr:uid="{00000000-0005-0000-0000-00000D160000}"/>
    <cellStyle name="Normal 4 6 2 2 2 3 3 2" xfId="14047" xr:uid="{7D04849E-16A1-4840-9B4A-431CB6780684}"/>
    <cellStyle name="Normal 4 6 2 2 2 3 4" xfId="9829" xr:uid="{0C45C33F-0C9E-46EC-87A6-04B28E4DF234}"/>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067CBE8B-3C8A-4146-9A57-98426B8E8C9B}"/>
    <cellStyle name="Normal 4 6 2 2 2 4 2 3" xfId="12387" xr:uid="{9367677F-EFE0-40D4-A9F6-A4B70BEE3791}"/>
    <cellStyle name="Normal 4 6 2 2 2 4 3" xfId="6010" xr:uid="{00000000-0005-0000-0000-000011160000}"/>
    <cellStyle name="Normal 4 6 2 2 2 4 3 2" xfId="14460" xr:uid="{425F1F6C-A7DD-4766-8382-5527D2339EB7}"/>
    <cellStyle name="Normal 4 6 2 2 2 4 4" xfId="10242" xr:uid="{C58AE29C-C0B2-4390-BC50-8929EC5F8C27}"/>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B2BF255D-1932-48CA-BAE1-2933DECEAAAA}"/>
    <cellStyle name="Normal 4 6 2 2 2 5 2 3" xfId="12800" xr:uid="{99F5325F-2E46-4A22-B551-51B267A67748}"/>
    <cellStyle name="Normal 4 6 2 2 2 5 3" xfId="6423" xr:uid="{00000000-0005-0000-0000-000015160000}"/>
    <cellStyle name="Normal 4 6 2 2 2 5 3 2" xfId="14873" xr:uid="{38A2D29C-5DD8-40F4-B647-823C28921470}"/>
    <cellStyle name="Normal 4 6 2 2 2 5 4" xfId="10655" xr:uid="{437F3E3C-A605-4F4D-BBD5-942B5506824A}"/>
    <cellStyle name="Normal 4 6 2 2 2 6" xfId="2553" xr:uid="{00000000-0005-0000-0000-000016160000}"/>
    <cellStyle name="Normal 4 6 2 2 2 6 2" xfId="6836" xr:uid="{00000000-0005-0000-0000-000017160000}"/>
    <cellStyle name="Normal 4 6 2 2 2 6 2 2" xfId="15286" xr:uid="{7DF58C0D-9B33-421E-8BCD-347FC9D779FE}"/>
    <cellStyle name="Normal 4 6 2 2 2 6 3" xfId="11068" xr:uid="{0679A988-0298-48E4-B8DD-CAAC18E3A23D}"/>
    <cellStyle name="Normal 4 6 2 2 2 7" xfId="4771" xr:uid="{00000000-0005-0000-0000-000018160000}"/>
    <cellStyle name="Normal 4 6 2 2 2 7 2" xfId="13221" xr:uid="{69D3370B-9057-4617-98C2-765538406E67}"/>
    <cellStyle name="Normal 4 6 2 2 2 8" xfId="17443" xr:uid="{285FB42B-7C97-4F53-8B83-C1E7AB3381A4}"/>
    <cellStyle name="Normal 4 6 2 2 2 9" xfId="18276" xr:uid="{AC378659-29EF-46F0-9FC9-95E83617832C}"/>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3C804349-A345-4942-9286-C6212356B79E}"/>
    <cellStyle name="Normal 4 6 2 2 3 2 3" xfId="11560" xr:uid="{CF4B1FC6-D062-4460-A1E8-D38D135E8AF3}"/>
    <cellStyle name="Normal 4 6 2 2 3 3" xfId="5183" xr:uid="{00000000-0005-0000-0000-00001C160000}"/>
    <cellStyle name="Normal 4 6 2 2 3 3 2" xfId="13633" xr:uid="{68DA8B12-ED0B-4604-8869-AB78F833ACD6}"/>
    <cellStyle name="Normal 4 6 2 2 3 4" xfId="17861" xr:uid="{3CD6F292-2977-456C-85AB-43CC1EF1970D}"/>
    <cellStyle name="Normal 4 6 2 2 3 5" xfId="18691" xr:uid="{F780B4FA-8BC4-4325-83A0-79BFDD6219AE}"/>
    <cellStyle name="Normal 4 6 2 2 3 6" xfId="19520" xr:uid="{60503089-A1A9-4DFF-BACC-4E05635BE66B}"/>
    <cellStyle name="Normal 4 6 2 2 3 7" xfId="9415" xr:uid="{3071050A-3E5A-4229-8CEC-696E87E25750}"/>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9E5FD3C3-0628-49FD-BE8E-8523F6D16399}"/>
    <cellStyle name="Normal 4 6 2 2 4 2 3" xfId="11973" xr:uid="{8691EE62-7570-4EE3-9BB4-D665725D9799}"/>
    <cellStyle name="Normal 4 6 2 2 4 3" xfId="5596" xr:uid="{00000000-0005-0000-0000-000020160000}"/>
    <cellStyle name="Normal 4 6 2 2 4 3 2" xfId="14046" xr:uid="{6651840D-028F-40EA-B64B-DC7E767C70F6}"/>
    <cellStyle name="Normal 4 6 2 2 4 4" xfId="9828" xr:uid="{618DDCBA-101D-48F8-A799-D67552DDEF14}"/>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36832D78-17EE-45E3-8DD7-3F92D9AA9BDD}"/>
    <cellStyle name="Normal 4 6 2 2 5 2 3" xfId="12386" xr:uid="{70A9DBD7-75C3-493F-8D15-1561145F0BF6}"/>
    <cellStyle name="Normal 4 6 2 2 5 3" xfId="6009" xr:uid="{00000000-0005-0000-0000-000024160000}"/>
    <cellStyle name="Normal 4 6 2 2 5 3 2" xfId="14459" xr:uid="{D56FC706-7FC9-41B5-868B-D775154F6F8C}"/>
    <cellStyle name="Normal 4 6 2 2 5 4" xfId="10241" xr:uid="{3832FCB0-74E3-40B3-9825-13E2D4200B16}"/>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D054F013-34D8-4E2C-AF65-45280456F786}"/>
    <cellStyle name="Normal 4 6 2 2 6 2 3" xfId="12799" xr:uid="{201B39EE-60E1-4654-840A-2B550A0CAE4B}"/>
    <cellStyle name="Normal 4 6 2 2 6 3" xfId="6422" xr:uid="{00000000-0005-0000-0000-000028160000}"/>
    <cellStyle name="Normal 4 6 2 2 6 3 2" xfId="14872" xr:uid="{1F2C15B0-F331-48BA-958A-0D185BAED5A5}"/>
    <cellStyle name="Normal 4 6 2 2 6 4" xfId="10654" xr:uid="{01CA8E35-64CC-4A3E-9C4D-A30F5BEAA975}"/>
    <cellStyle name="Normal 4 6 2 2 7" xfId="2552" xr:uid="{00000000-0005-0000-0000-000029160000}"/>
    <cellStyle name="Normal 4 6 2 2 7 2" xfId="6835" xr:uid="{00000000-0005-0000-0000-00002A160000}"/>
    <cellStyle name="Normal 4 6 2 2 7 2 2" xfId="15285" xr:uid="{14128900-8569-4631-979A-F40B42C879D7}"/>
    <cellStyle name="Normal 4 6 2 2 7 3" xfId="11067" xr:uid="{33F00D78-A987-4636-9A19-4BEC8F4681CD}"/>
    <cellStyle name="Normal 4 6 2 2 8" xfId="4770" xr:uid="{00000000-0005-0000-0000-00002B160000}"/>
    <cellStyle name="Normal 4 6 2 2 8 2" xfId="13220" xr:uid="{7986AA81-DA0F-4970-B7FC-47CB0341604C}"/>
    <cellStyle name="Normal 4 6 2 2 9" xfId="17442" xr:uid="{71553730-6821-4E33-924D-05FCFC630FAF}"/>
    <cellStyle name="Normal 4 6 2 3" xfId="399" xr:uid="{00000000-0005-0000-0000-00002C160000}"/>
    <cellStyle name="Normal 4 6 2 3 10" xfId="19106" xr:uid="{FBB23983-B270-4D4C-BCE5-706F56AB0FC1}"/>
    <cellStyle name="Normal 4 6 2 3 11" xfId="9004" xr:uid="{DECC046C-B93A-481A-87BF-5D28684E300D}"/>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7F4411D3-8E8D-43F2-9973-D2F8BD2049BE}"/>
    <cellStyle name="Normal 4 6 2 3 2 2 3" xfId="11562" xr:uid="{16D777A4-E0D0-4FD1-B47C-5527A2CCED1B}"/>
    <cellStyle name="Normal 4 6 2 3 2 3" xfId="5185" xr:uid="{00000000-0005-0000-0000-000030160000}"/>
    <cellStyle name="Normal 4 6 2 3 2 3 2" xfId="13635" xr:uid="{D9B0EEB0-C754-4C72-A784-D0190AD99B68}"/>
    <cellStyle name="Normal 4 6 2 3 2 4" xfId="17863" xr:uid="{F37857C5-1731-48C2-BDEE-2C907A6B6DA7}"/>
    <cellStyle name="Normal 4 6 2 3 2 5" xfId="18693" xr:uid="{B9F0C8B8-DE42-42D7-A63B-998F5B428EEF}"/>
    <cellStyle name="Normal 4 6 2 3 2 6" xfId="19522" xr:uid="{23D14916-0235-4B3E-BCD7-F36C2D5EC3CC}"/>
    <cellStyle name="Normal 4 6 2 3 2 7" xfId="9417" xr:uid="{74F4FDB8-E572-4252-B517-DCCEE5D63C0D}"/>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E85E7246-529F-4D36-BA0A-709AED0BDBB1}"/>
    <cellStyle name="Normal 4 6 2 3 3 2 3" xfId="11975" xr:uid="{4D1AD6AA-5E61-40DA-A8DE-3CCF39379235}"/>
    <cellStyle name="Normal 4 6 2 3 3 3" xfId="5598" xr:uid="{00000000-0005-0000-0000-000034160000}"/>
    <cellStyle name="Normal 4 6 2 3 3 3 2" xfId="14048" xr:uid="{47DCA590-E02E-40C1-B7A5-27223AA5B1AE}"/>
    <cellStyle name="Normal 4 6 2 3 3 4" xfId="9830" xr:uid="{F10E7D56-D9FE-43C9-9EBE-2F03D7342ADE}"/>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00B744F0-585A-4B15-B092-5DC0F3BFED0A}"/>
    <cellStyle name="Normal 4 6 2 3 4 2 3" xfId="12388" xr:uid="{C3A85F0B-D8FA-42D3-9C85-5963D08FBFA0}"/>
    <cellStyle name="Normal 4 6 2 3 4 3" xfId="6011" xr:uid="{00000000-0005-0000-0000-000038160000}"/>
    <cellStyle name="Normal 4 6 2 3 4 3 2" xfId="14461" xr:uid="{78DE909F-E34E-4733-8A1A-B5AFE465BE28}"/>
    <cellStyle name="Normal 4 6 2 3 4 4" xfId="10243" xr:uid="{453717D7-110F-411D-94E9-B050302952C2}"/>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E5CE5FE4-BA4A-495F-A55B-7164AE6EEF6A}"/>
    <cellStyle name="Normal 4 6 2 3 5 2 3" xfId="12801" xr:uid="{055650D8-AC94-4C6C-A50C-3177F41BB58A}"/>
    <cellStyle name="Normal 4 6 2 3 5 3" xfId="6424" xr:uid="{00000000-0005-0000-0000-00003C160000}"/>
    <cellStyle name="Normal 4 6 2 3 5 3 2" xfId="14874" xr:uid="{EE5C9EE8-DA6D-40BC-B8FA-E491B68D221C}"/>
    <cellStyle name="Normal 4 6 2 3 5 4" xfId="10656" xr:uid="{AE15E7C3-D7C4-4054-8AEE-DB0B98C43377}"/>
    <cellStyle name="Normal 4 6 2 3 6" xfId="2554" xr:uid="{00000000-0005-0000-0000-00003D160000}"/>
    <cellStyle name="Normal 4 6 2 3 6 2" xfId="6837" xr:uid="{00000000-0005-0000-0000-00003E160000}"/>
    <cellStyle name="Normal 4 6 2 3 6 2 2" xfId="15287" xr:uid="{4A77E2DC-8F55-46FC-AA67-084B79418579}"/>
    <cellStyle name="Normal 4 6 2 3 6 3" xfId="11069" xr:uid="{E2B16DE7-6AE0-460D-801F-0144CE719137}"/>
    <cellStyle name="Normal 4 6 2 3 7" xfId="4772" xr:uid="{00000000-0005-0000-0000-00003F160000}"/>
    <cellStyle name="Normal 4 6 2 3 7 2" xfId="13222" xr:uid="{B8332C39-6066-495E-B29C-F6E2E9F51774}"/>
    <cellStyle name="Normal 4 6 2 3 8" xfId="17444" xr:uid="{6E9F5A9B-596B-432C-8760-0FEE784E1561}"/>
    <cellStyle name="Normal 4 6 2 3 9" xfId="18277" xr:uid="{CF927CB2-D9F6-4637-8C09-54C1CB6F77BB}"/>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D5C78799-85DD-4F59-95A2-60C1F8718CA0}"/>
    <cellStyle name="Normal 4 6 2 4 2 3" xfId="11559" xr:uid="{D6E05FD3-A4C8-4852-BE97-4AF839338747}"/>
    <cellStyle name="Normal 4 6 2 4 3" xfId="5182" xr:uid="{00000000-0005-0000-0000-000043160000}"/>
    <cellStyle name="Normal 4 6 2 4 3 2" xfId="13632" xr:uid="{FCFAB541-36D5-45F7-A4BD-383F4688223E}"/>
    <cellStyle name="Normal 4 6 2 4 4" xfId="17860" xr:uid="{A1B6FB73-9D6A-4FDC-B53B-4F1315395CBE}"/>
    <cellStyle name="Normal 4 6 2 4 5" xfId="18690" xr:uid="{2B9ADAA6-1C43-4A18-8C82-75893210EF09}"/>
    <cellStyle name="Normal 4 6 2 4 6" xfId="19519" xr:uid="{A41ADA90-E099-4928-A562-150870518CC5}"/>
    <cellStyle name="Normal 4 6 2 4 7" xfId="9414" xr:uid="{80A593A9-DDF4-4DD4-9D98-96C97985699B}"/>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48EA5801-F171-49E0-9D59-A8DA467FA66B}"/>
    <cellStyle name="Normal 4 6 2 5 2 3" xfId="11972" xr:uid="{9FBEB2C4-E8B7-4F87-8346-B17EE42C9EBD}"/>
    <cellStyle name="Normal 4 6 2 5 3" xfId="5595" xr:uid="{00000000-0005-0000-0000-000047160000}"/>
    <cellStyle name="Normal 4 6 2 5 3 2" xfId="14045" xr:uid="{4C7DB6AE-36DC-4BE0-99DB-51069125D920}"/>
    <cellStyle name="Normal 4 6 2 5 4" xfId="9827" xr:uid="{CA9FB1CF-4BAD-46CF-89E3-47BFEA8B097A}"/>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15802093-A906-4FEA-9CDE-37625C887123}"/>
    <cellStyle name="Normal 4 6 2 6 2 3" xfId="12385" xr:uid="{2F336640-405C-465B-A2A7-F8D3071BAD1A}"/>
    <cellStyle name="Normal 4 6 2 6 3" xfId="6008" xr:uid="{00000000-0005-0000-0000-00004B160000}"/>
    <cellStyle name="Normal 4 6 2 6 3 2" xfId="14458" xr:uid="{0C649DE9-F79C-415C-9EB1-4A7300AF7B4D}"/>
    <cellStyle name="Normal 4 6 2 6 4" xfId="10240" xr:uid="{CF201A03-089D-4B83-AB57-662500A89A99}"/>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74C4677E-3E94-4D77-97F4-4E209BB09443}"/>
    <cellStyle name="Normal 4 6 2 7 2 3" xfId="12798" xr:uid="{D77EC7F1-D52A-49C7-B201-A1BC93652AA4}"/>
    <cellStyle name="Normal 4 6 2 7 3" xfId="6421" xr:uid="{00000000-0005-0000-0000-00004F160000}"/>
    <cellStyle name="Normal 4 6 2 7 3 2" xfId="14871" xr:uid="{5020FC62-DD1C-4314-A4AC-72BB8A4379FE}"/>
    <cellStyle name="Normal 4 6 2 7 4" xfId="10653" xr:uid="{C41D7F15-08EB-4DB7-99CC-A7D39C1B0635}"/>
    <cellStyle name="Normal 4 6 2 8" xfId="2551" xr:uid="{00000000-0005-0000-0000-000050160000}"/>
    <cellStyle name="Normal 4 6 2 8 2" xfId="6834" xr:uid="{00000000-0005-0000-0000-000051160000}"/>
    <cellStyle name="Normal 4 6 2 8 2 2" xfId="15284" xr:uid="{23B37A09-1CF8-4DE8-8CE4-D12E571B69D5}"/>
    <cellStyle name="Normal 4 6 2 8 3" xfId="11066" xr:uid="{056F369E-DF12-4CCB-90DE-1F380424B6F9}"/>
    <cellStyle name="Normal 4 6 2 9" xfId="4769" xr:uid="{00000000-0005-0000-0000-000052160000}"/>
    <cellStyle name="Normal 4 6 2 9 2" xfId="13219" xr:uid="{597CC6F5-71CF-47F1-9E99-23586DDDD627}"/>
    <cellStyle name="Normal 4 6 3" xfId="400" xr:uid="{00000000-0005-0000-0000-000053160000}"/>
    <cellStyle name="Normal 4 6 3 10" xfId="18278" xr:uid="{6E88CCCB-254F-4C2B-B3A8-AEFDFF35146A}"/>
    <cellStyle name="Normal 4 6 3 11" xfId="19107" xr:uid="{74AFB238-6789-459C-9A15-F24CDC2A04FB}"/>
    <cellStyle name="Normal 4 6 3 12" xfId="9005" xr:uid="{D82D5781-BAFF-4120-9F28-140F4C986D5D}"/>
    <cellStyle name="Normal 4 6 3 2" xfId="401" xr:uid="{00000000-0005-0000-0000-000054160000}"/>
    <cellStyle name="Normal 4 6 3 2 10" xfId="19108" xr:uid="{2FABD0AD-5444-4888-A8CA-A6753CAABCDF}"/>
    <cellStyle name="Normal 4 6 3 2 11" xfId="9006" xr:uid="{237D0E08-85E6-40E7-B7A6-4183FCFCEF1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2BD50E02-5ED7-45B3-8249-3DD587ED47C9}"/>
    <cellStyle name="Normal 4 6 3 2 2 2 3" xfId="11564" xr:uid="{624B1221-913F-4F90-8649-81A68C62B8B1}"/>
    <cellStyle name="Normal 4 6 3 2 2 3" xfId="5187" xr:uid="{00000000-0005-0000-0000-000058160000}"/>
    <cellStyle name="Normal 4 6 3 2 2 3 2" xfId="13637" xr:uid="{256349AE-C665-41A5-ABC5-938264F10B8C}"/>
    <cellStyle name="Normal 4 6 3 2 2 4" xfId="17865" xr:uid="{E6EE74E2-99E6-426B-8387-2777CA6C6966}"/>
    <cellStyle name="Normal 4 6 3 2 2 5" xfId="18695" xr:uid="{DD00339F-45B2-4574-8DD6-2BFECEE99A99}"/>
    <cellStyle name="Normal 4 6 3 2 2 6" xfId="19524" xr:uid="{678B67B5-F9A6-42D8-BA48-CC393782292D}"/>
    <cellStyle name="Normal 4 6 3 2 2 7" xfId="9419" xr:uid="{4317483F-C90D-4965-859A-4B029DC89C3E}"/>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CFF9D4FF-74CE-4867-A337-C5080708AFAC}"/>
    <cellStyle name="Normal 4 6 3 2 3 2 3" xfId="11977" xr:uid="{9EA9F02A-E875-434D-AC79-AD9AE44C1E22}"/>
    <cellStyle name="Normal 4 6 3 2 3 3" xfId="5600" xr:uid="{00000000-0005-0000-0000-00005C160000}"/>
    <cellStyle name="Normal 4 6 3 2 3 3 2" xfId="14050" xr:uid="{94BD9B8E-6B78-4672-9DD3-7F07EFF9F9C2}"/>
    <cellStyle name="Normal 4 6 3 2 3 4" xfId="9832" xr:uid="{29DB17A2-41A2-49F5-AD5F-A15062FC297E}"/>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4749F683-ADB4-4A88-BB3E-47801B6FD8D7}"/>
    <cellStyle name="Normal 4 6 3 2 4 2 3" xfId="12390" xr:uid="{364B69D8-0290-467E-AB51-18C9072C4487}"/>
    <cellStyle name="Normal 4 6 3 2 4 3" xfId="6013" xr:uid="{00000000-0005-0000-0000-000060160000}"/>
    <cellStyle name="Normal 4 6 3 2 4 3 2" xfId="14463" xr:uid="{ABBAF7BB-9F69-4979-A803-C11F706AED02}"/>
    <cellStyle name="Normal 4 6 3 2 4 4" xfId="10245" xr:uid="{9B94430F-4E5F-4DE9-B312-3FCB89A47DED}"/>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087FE2DA-4FD8-4BB9-A7EF-6C37E24F2DE4}"/>
    <cellStyle name="Normal 4 6 3 2 5 2 3" xfId="12803" xr:uid="{137DF86B-53FB-4130-80D1-25B66CFBEFDB}"/>
    <cellStyle name="Normal 4 6 3 2 5 3" xfId="6426" xr:uid="{00000000-0005-0000-0000-000064160000}"/>
    <cellStyle name="Normal 4 6 3 2 5 3 2" xfId="14876" xr:uid="{E423830F-246D-4B67-8425-0FE2DE992FB8}"/>
    <cellStyle name="Normal 4 6 3 2 5 4" xfId="10658" xr:uid="{D1D4F87B-A404-4ABB-B345-5BFFAE15AB1C}"/>
    <cellStyle name="Normal 4 6 3 2 6" xfId="2556" xr:uid="{00000000-0005-0000-0000-000065160000}"/>
    <cellStyle name="Normal 4 6 3 2 6 2" xfId="6839" xr:uid="{00000000-0005-0000-0000-000066160000}"/>
    <cellStyle name="Normal 4 6 3 2 6 2 2" xfId="15289" xr:uid="{BC6293FE-DEAE-44B6-AFBF-FBC579830143}"/>
    <cellStyle name="Normal 4 6 3 2 6 3" xfId="11071" xr:uid="{411B7741-6374-436E-AEC4-D3EE6FB831CE}"/>
    <cellStyle name="Normal 4 6 3 2 7" xfId="4774" xr:uid="{00000000-0005-0000-0000-000067160000}"/>
    <cellStyle name="Normal 4 6 3 2 7 2" xfId="13224" xr:uid="{246D2688-CD8A-4FF4-8711-3A41E74E4D21}"/>
    <cellStyle name="Normal 4 6 3 2 8" xfId="17446" xr:uid="{E65E966E-8E64-46A0-8F07-BF0F04F7038A}"/>
    <cellStyle name="Normal 4 6 3 2 9" xfId="18279" xr:uid="{0CAA110B-A18B-49DA-A757-2BC471AAEA63}"/>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A34041C2-0855-4AF8-8BA4-6576B53144A3}"/>
    <cellStyle name="Normal 4 6 3 3 2 3" xfId="11563" xr:uid="{9C894C63-A2BE-40EB-93D5-FD388201CD8D}"/>
    <cellStyle name="Normal 4 6 3 3 3" xfId="5186" xr:uid="{00000000-0005-0000-0000-00006B160000}"/>
    <cellStyle name="Normal 4 6 3 3 3 2" xfId="13636" xr:uid="{70A5CA29-360E-4798-81AD-03C58F3B5B6E}"/>
    <cellStyle name="Normal 4 6 3 3 4" xfId="17864" xr:uid="{AC924494-47D0-4833-BF6F-3897FD7F2259}"/>
    <cellStyle name="Normal 4 6 3 3 5" xfId="18694" xr:uid="{8862E659-217C-4A91-9B42-D5871659E157}"/>
    <cellStyle name="Normal 4 6 3 3 6" xfId="19523" xr:uid="{3067A9F5-532E-4B4B-B71F-F68EA159C616}"/>
    <cellStyle name="Normal 4 6 3 3 7" xfId="9418" xr:uid="{01D56B0D-8AA7-46DF-BEEA-847CC942BC06}"/>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1803AAF9-2452-4B69-AFD3-88FB2E5E9BBD}"/>
    <cellStyle name="Normal 4 6 3 4 2 3" xfId="11976" xr:uid="{19B15E0A-3EA2-4078-97A7-D867F469BA4C}"/>
    <cellStyle name="Normal 4 6 3 4 3" xfId="5599" xr:uid="{00000000-0005-0000-0000-00006F160000}"/>
    <cellStyle name="Normal 4 6 3 4 3 2" xfId="14049" xr:uid="{687B1C2E-671C-4E35-BC33-B8F1D84A47E0}"/>
    <cellStyle name="Normal 4 6 3 4 4" xfId="9831" xr:uid="{F3F22CBD-96E4-45C2-B4AC-42C5864DC667}"/>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802AEDFA-8AB9-44EB-898F-DB68E116E2DA}"/>
    <cellStyle name="Normal 4 6 3 5 2 3" xfId="12389" xr:uid="{CE655DE8-7718-47D7-9483-CE5FC1F0CEBE}"/>
    <cellStyle name="Normal 4 6 3 5 3" xfId="6012" xr:uid="{00000000-0005-0000-0000-000073160000}"/>
    <cellStyle name="Normal 4 6 3 5 3 2" xfId="14462" xr:uid="{AB05B40F-E7FF-4286-A2E0-98A20A845E77}"/>
    <cellStyle name="Normal 4 6 3 5 4" xfId="10244" xr:uid="{03D5D76C-CCF5-4277-A7AC-95DF10AD45FC}"/>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BA454658-4432-4E3B-9245-A79AE162B030}"/>
    <cellStyle name="Normal 4 6 3 6 2 3" xfId="12802" xr:uid="{A90A9AB9-526B-4F1C-8691-4F9308264F4D}"/>
    <cellStyle name="Normal 4 6 3 6 3" xfId="6425" xr:uid="{00000000-0005-0000-0000-000077160000}"/>
    <cellStyle name="Normal 4 6 3 6 3 2" xfId="14875" xr:uid="{DA3CC26A-85AF-4685-B1AF-DCB90E8DDA08}"/>
    <cellStyle name="Normal 4 6 3 6 4" xfId="10657" xr:uid="{BFF4A595-B54C-4A90-A855-0790E2C8DE6A}"/>
    <cellStyle name="Normal 4 6 3 7" xfId="2555" xr:uid="{00000000-0005-0000-0000-000078160000}"/>
    <cellStyle name="Normal 4 6 3 7 2" xfId="6838" xr:uid="{00000000-0005-0000-0000-000079160000}"/>
    <cellStyle name="Normal 4 6 3 7 2 2" xfId="15288" xr:uid="{A2B51E3D-7CEA-4792-A445-E8E6FD3F9E72}"/>
    <cellStyle name="Normal 4 6 3 7 3" xfId="11070" xr:uid="{3094AEB0-FA6E-4A40-8908-7522FD3DCC48}"/>
    <cellStyle name="Normal 4 6 3 8" xfId="4773" xr:uid="{00000000-0005-0000-0000-00007A160000}"/>
    <cellStyle name="Normal 4 6 3 8 2" xfId="13223" xr:uid="{827FEE6C-79FB-453D-9DC8-F7D0CAAF84FE}"/>
    <cellStyle name="Normal 4 6 3 9" xfId="17445" xr:uid="{D50B065C-50C3-4517-9835-78B12A9C1CC1}"/>
    <cellStyle name="Normal 4 6 4" xfId="402" xr:uid="{00000000-0005-0000-0000-00007B160000}"/>
    <cellStyle name="Normal 4 6 4 10" xfId="19109" xr:uid="{CE563039-51F1-4B59-B7D5-590FA0C711A5}"/>
    <cellStyle name="Normal 4 6 4 11" xfId="9007" xr:uid="{AF87C3EE-3C9D-4D6C-950C-660C3B9B27A7}"/>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70E1FC7B-B8D2-46BC-BF78-C125B7290242}"/>
    <cellStyle name="Normal 4 6 4 2 2 3" xfId="11565" xr:uid="{06DD220E-073B-4C94-8477-1748FB58C089}"/>
    <cellStyle name="Normal 4 6 4 2 3" xfId="5188" xr:uid="{00000000-0005-0000-0000-00007F160000}"/>
    <cellStyle name="Normal 4 6 4 2 3 2" xfId="13638" xr:uid="{75ED1EA4-67C6-4C0D-B76B-8E922366CD9B}"/>
    <cellStyle name="Normal 4 6 4 2 4" xfId="17866" xr:uid="{7C99218E-A28E-433B-9EF6-AF51999B1FCD}"/>
    <cellStyle name="Normal 4 6 4 2 5" xfId="18696" xr:uid="{A2545068-1B41-4AA9-A3E7-2D52E1DCE8DD}"/>
    <cellStyle name="Normal 4 6 4 2 6" xfId="19525" xr:uid="{0DCA94CC-5557-4AC1-984D-E02092E17AB0}"/>
    <cellStyle name="Normal 4 6 4 2 7" xfId="9420" xr:uid="{C20275A8-A9AF-4FB5-827D-15EEF3D86787}"/>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EC90107B-160E-4EDB-9D34-37898D2C5CFA}"/>
    <cellStyle name="Normal 4 6 4 3 2 3" xfId="11978" xr:uid="{4A10A1BA-E5CE-49D4-AF03-7D3E5440CE96}"/>
    <cellStyle name="Normal 4 6 4 3 3" xfId="5601" xr:uid="{00000000-0005-0000-0000-000083160000}"/>
    <cellStyle name="Normal 4 6 4 3 3 2" xfId="14051" xr:uid="{EC9EB941-1EB1-4447-8341-8F2FDC67976C}"/>
    <cellStyle name="Normal 4 6 4 3 4" xfId="9833" xr:uid="{0D48E6B7-C10B-4FC6-9C96-03F64A2ACDBF}"/>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72BF688F-6390-4F4C-A15F-D79E413F770B}"/>
    <cellStyle name="Normal 4 6 4 4 2 3" xfId="12391" xr:uid="{80D198D6-9539-482C-9A29-1D123635F1C2}"/>
    <cellStyle name="Normal 4 6 4 4 3" xfId="6014" xr:uid="{00000000-0005-0000-0000-000087160000}"/>
    <cellStyle name="Normal 4 6 4 4 3 2" xfId="14464" xr:uid="{93079222-CA4A-464F-96D2-3B356CE19E44}"/>
    <cellStyle name="Normal 4 6 4 4 4" xfId="10246" xr:uid="{F58BF079-D52F-4EB5-9CE5-3C81537A1AD5}"/>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71A5AC41-ABA4-42BC-BA4F-A01115F8E082}"/>
    <cellStyle name="Normal 4 6 4 5 2 3" xfId="12804" xr:uid="{458F45F9-F05F-4726-B179-582C6FBF9244}"/>
    <cellStyle name="Normal 4 6 4 5 3" xfId="6427" xr:uid="{00000000-0005-0000-0000-00008B160000}"/>
    <cellStyle name="Normal 4 6 4 5 3 2" xfId="14877" xr:uid="{8AF47A5F-C6B9-4EB3-BDBF-8615F05CD589}"/>
    <cellStyle name="Normal 4 6 4 5 4" xfId="10659" xr:uid="{4C4C53A8-3509-479E-BDC7-57259E09CBE1}"/>
    <cellStyle name="Normal 4 6 4 6" xfId="2557" xr:uid="{00000000-0005-0000-0000-00008C160000}"/>
    <cellStyle name="Normal 4 6 4 6 2" xfId="6840" xr:uid="{00000000-0005-0000-0000-00008D160000}"/>
    <cellStyle name="Normal 4 6 4 6 2 2" xfId="15290" xr:uid="{A90C8FBD-3072-4ACD-8ADF-1D6CD07606E3}"/>
    <cellStyle name="Normal 4 6 4 6 3" xfId="11072" xr:uid="{8F5C6526-5019-41AF-ADE2-5AF48B1D5649}"/>
    <cellStyle name="Normal 4 6 4 7" xfId="4775" xr:uid="{00000000-0005-0000-0000-00008E160000}"/>
    <cellStyle name="Normal 4 6 4 7 2" xfId="13225" xr:uid="{4496F6F0-7BD0-4301-A939-1651A8ED50D6}"/>
    <cellStyle name="Normal 4 6 4 8" xfId="17447" xr:uid="{F8F3158C-A508-4730-B069-DB79F3AFEF95}"/>
    <cellStyle name="Normal 4 6 4 9" xfId="18280" xr:uid="{E544E5E6-FBDE-4F3F-A880-714F895AC52F}"/>
    <cellStyle name="Normal 4 6 5" xfId="869" xr:uid="{00000000-0005-0000-0000-00008F160000}"/>
    <cellStyle name="Normal 4 6 5 2" xfId="3104" xr:uid="{00000000-0005-0000-0000-000090160000}"/>
    <cellStyle name="Normal 4 6 5 2 2" xfId="7326" xr:uid="{00000000-0005-0000-0000-000091160000}"/>
    <cellStyle name="Normal 4 6 5 2 2 2" xfId="15776" xr:uid="{B721ACC0-35BD-4BA8-BA35-69B0B9BEDCB3}"/>
    <cellStyle name="Normal 4 6 5 2 3" xfId="11558" xr:uid="{A98AC4B5-A9CB-42E9-A295-F3D050CF6313}"/>
    <cellStyle name="Normal 4 6 5 3" xfId="5181" xr:uid="{00000000-0005-0000-0000-000092160000}"/>
    <cellStyle name="Normal 4 6 5 3 2" xfId="13631" xr:uid="{685992CD-A470-4173-9B0B-3E9C0AD1F6E6}"/>
    <cellStyle name="Normal 4 6 5 4" xfId="17859" xr:uid="{55EFDD55-4FE3-4E2B-B97E-A87DAA35F075}"/>
    <cellStyle name="Normal 4 6 5 5" xfId="18689" xr:uid="{D5AC4CC7-1466-4755-9C03-BA4B47168795}"/>
    <cellStyle name="Normal 4 6 5 6" xfId="19518" xr:uid="{73D03DCD-E426-4DA1-9EBE-E86844465734}"/>
    <cellStyle name="Normal 4 6 5 7" xfId="9413" xr:uid="{A1523B00-3988-4D1F-9E8A-60B814533AB9}"/>
    <cellStyle name="Normal 4 6 6" xfId="1287" xr:uid="{00000000-0005-0000-0000-000093160000}"/>
    <cellStyle name="Normal 4 6 6 2" xfId="3517" xr:uid="{00000000-0005-0000-0000-000094160000}"/>
    <cellStyle name="Normal 4 6 6 2 2" xfId="7739" xr:uid="{00000000-0005-0000-0000-000095160000}"/>
    <cellStyle name="Normal 4 6 6 2 2 2" xfId="16189" xr:uid="{B1E21E0F-35A6-4DD8-AC1A-D60E602DFED3}"/>
    <cellStyle name="Normal 4 6 6 2 3" xfId="11971" xr:uid="{74493E27-E5EE-4D54-A4A4-C7ABCD520BE3}"/>
    <cellStyle name="Normal 4 6 6 3" xfId="5594" xr:uid="{00000000-0005-0000-0000-000096160000}"/>
    <cellStyle name="Normal 4 6 6 3 2" xfId="14044" xr:uid="{9D2E2747-D66C-4CB3-BB6E-58275F61D7A2}"/>
    <cellStyle name="Normal 4 6 6 4" xfId="9826" xr:uid="{351F32D7-2889-4311-AA22-2F86F7917475}"/>
    <cellStyle name="Normal 4 6 7" xfId="1700" xr:uid="{00000000-0005-0000-0000-000097160000}"/>
    <cellStyle name="Normal 4 6 7 2" xfId="3930" xr:uid="{00000000-0005-0000-0000-000098160000}"/>
    <cellStyle name="Normal 4 6 7 2 2" xfId="8152" xr:uid="{00000000-0005-0000-0000-000099160000}"/>
    <cellStyle name="Normal 4 6 7 2 2 2" xfId="16602" xr:uid="{C9327476-0884-494E-8C0D-1E8491E54572}"/>
    <cellStyle name="Normal 4 6 7 2 3" xfId="12384" xr:uid="{3884C72D-616F-40A0-8F02-6EA177EB4A06}"/>
    <cellStyle name="Normal 4 6 7 3" xfId="6007" xr:uid="{00000000-0005-0000-0000-00009A160000}"/>
    <cellStyle name="Normal 4 6 7 3 2" xfId="14457" xr:uid="{CDCCF3FB-251B-4145-984A-FF0784BA05C8}"/>
    <cellStyle name="Normal 4 6 7 4" xfId="10239" xr:uid="{1C5862EA-BDFE-4B34-8963-B16D5FAE468D}"/>
    <cellStyle name="Normal 4 6 8" xfId="2114" xr:uid="{00000000-0005-0000-0000-00009B160000}"/>
    <cellStyle name="Normal 4 6 8 2" xfId="4343" xr:uid="{00000000-0005-0000-0000-00009C160000}"/>
    <cellStyle name="Normal 4 6 8 2 2" xfId="8565" xr:uid="{00000000-0005-0000-0000-00009D160000}"/>
    <cellStyle name="Normal 4 6 8 2 2 2" xfId="17015" xr:uid="{E48E13A2-C1B8-41C2-A987-32505F965FDF}"/>
    <cellStyle name="Normal 4 6 8 2 3" xfId="12797" xr:uid="{86EE2005-CC13-4EDB-B555-E216A5EF1A80}"/>
    <cellStyle name="Normal 4 6 8 3" xfId="6420" xr:uid="{00000000-0005-0000-0000-00009E160000}"/>
    <cellStyle name="Normal 4 6 8 3 2" xfId="14870" xr:uid="{0993BE57-D315-455D-98DF-18B64FF5B844}"/>
    <cellStyle name="Normal 4 6 8 4" xfId="10652" xr:uid="{B747F63E-41F0-406D-AAD5-F53380B356F7}"/>
    <cellStyle name="Normal 4 6 9" xfId="2550" xr:uid="{00000000-0005-0000-0000-00009F160000}"/>
    <cellStyle name="Normal 4 6 9 2" xfId="6833" xr:uid="{00000000-0005-0000-0000-0000A0160000}"/>
    <cellStyle name="Normal 4 6 9 2 2" xfId="15283" xr:uid="{AFC207E5-BA6F-4E50-8A7C-C07A507C4B7C}"/>
    <cellStyle name="Normal 4 6 9 3" xfId="11065" xr:uid="{22DE45A1-9ED4-4069-B175-099AA636D24D}"/>
    <cellStyle name="Normal 4 7" xfId="403" xr:uid="{00000000-0005-0000-0000-0000A1160000}"/>
    <cellStyle name="Normal 4 7 10" xfId="18281" xr:uid="{E14F65CC-8AB3-49CE-990A-C25594AD60FB}"/>
    <cellStyle name="Normal 4 7 11" xfId="19110" xr:uid="{586B2AD2-7DE2-41FB-897D-34685670C087}"/>
    <cellStyle name="Normal 4 7 12" xfId="9008" xr:uid="{13F21007-9E87-4296-AE93-47EFD66051B2}"/>
    <cellStyle name="Normal 4 7 2" xfId="404" xr:uid="{00000000-0005-0000-0000-0000A2160000}"/>
    <cellStyle name="Normal 4 7 2 10" xfId="19111" xr:uid="{4C1F9AA3-D7E3-4CF4-8883-7B384E4F1E0E}"/>
    <cellStyle name="Normal 4 7 2 11" xfId="9009" xr:uid="{BE79F5B5-6E6E-4358-BACB-B37F56AAE245}"/>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6FACAFAE-866B-452E-A81F-58901800295D}"/>
    <cellStyle name="Normal 4 7 2 2 2 3" xfId="11567" xr:uid="{E7B1E819-9275-4E67-A40A-CF2B58F19B2C}"/>
    <cellStyle name="Normal 4 7 2 2 3" xfId="5190" xr:uid="{00000000-0005-0000-0000-0000A6160000}"/>
    <cellStyle name="Normal 4 7 2 2 3 2" xfId="13640" xr:uid="{053B7D70-BBE2-4D8A-930B-E891DF46A11A}"/>
    <cellStyle name="Normal 4 7 2 2 4" xfId="17868" xr:uid="{D1A72199-E70B-4931-A9B3-891C84706B54}"/>
    <cellStyle name="Normal 4 7 2 2 5" xfId="18698" xr:uid="{AB640FAB-6213-40C5-84F2-EE8C9D359DD6}"/>
    <cellStyle name="Normal 4 7 2 2 6" xfId="19527" xr:uid="{61B95690-043A-41DE-80E3-B8C09A58DDF5}"/>
    <cellStyle name="Normal 4 7 2 2 7" xfId="9422" xr:uid="{7B90F2C2-6A8E-4072-8765-D0BB80463893}"/>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A7CA2BA2-3424-4B7E-AF5B-BB2FF7A86F0E}"/>
    <cellStyle name="Normal 4 7 2 3 2 3" xfId="11980" xr:uid="{7499B940-05DC-4139-B925-3AFB5B0E7249}"/>
    <cellStyle name="Normal 4 7 2 3 3" xfId="5603" xr:uid="{00000000-0005-0000-0000-0000AA160000}"/>
    <cellStyle name="Normal 4 7 2 3 3 2" xfId="14053" xr:uid="{D495772A-79E6-45D0-AFE4-CF7EF198AEF8}"/>
    <cellStyle name="Normal 4 7 2 3 4" xfId="9835" xr:uid="{B745B594-1D93-4FD0-83B4-C543CF3EEF6A}"/>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35803143-7BF8-4211-B08A-EF57A5C88597}"/>
    <cellStyle name="Normal 4 7 2 4 2 3" xfId="12393" xr:uid="{171FCFEE-223D-4BA1-B74E-9E3E1536FD39}"/>
    <cellStyle name="Normal 4 7 2 4 3" xfId="6016" xr:uid="{00000000-0005-0000-0000-0000AE160000}"/>
    <cellStyle name="Normal 4 7 2 4 3 2" xfId="14466" xr:uid="{D85ACE08-078E-42ED-B21D-661417903C4B}"/>
    <cellStyle name="Normal 4 7 2 4 4" xfId="10248" xr:uid="{3B5EFEF0-D6DB-4586-94AD-10A0CE389512}"/>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B0AF1A87-88E2-4409-9A30-3D305C846F1B}"/>
    <cellStyle name="Normal 4 7 2 5 2 3" xfId="12806" xr:uid="{7740419D-947C-429B-96C4-CE24A04F2BA3}"/>
    <cellStyle name="Normal 4 7 2 5 3" xfId="6429" xr:uid="{00000000-0005-0000-0000-0000B2160000}"/>
    <cellStyle name="Normal 4 7 2 5 3 2" xfId="14879" xr:uid="{BD65CA51-3D24-40ED-9715-3FB5060D7500}"/>
    <cellStyle name="Normal 4 7 2 5 4" xfId="10661" xr:uid="{C2CDB76E-7729-4DA9-A2E9-275DAA95000A}"/>
    <cellStyle name="Normal 4 7 2 6" xfId="2559" xr:uid="{00000000-0005-0000-0000-0000B3160000}"/>
    <cellStyle name="Normal 4 7 2 6 2" xfId="6842" xr:uid="{00000000-0005-0000-0000-0000B4160000}"/>
    <cellStyle name="Normal 4 7 2 6 2 2" xfId="15292" xr:uid="{698C8C30-3F45-4C61-8F09-A60B2C110075}"/>
    <cellStyle name="Normal 4 7 2 6 3" xfId="11074" xr:uid="{3D9D9AC8-2A93-4067-947B-E9E5B01D8120}"/>
    <cellStyle name="Normal 4 7 2 7" xfId="4777" xr:uid="{00000000-0005-0000-0000-0000B5160000}"/>
    <cellStyle name="Normal 4 7 2 7 2" xfId="13227" xr:uid="{73512A71-969E-4621-81F3-9A5CFB981711}"/>
    <cellStyle name="Normal 4 7 2 8" xfId="17449" xr:uid="{ED0E4E6C-D47C-4CA9-8C86-2A81402060B6}"/>
    <cellStyle name="Normal 4 7 2 9" xfId="18282" xr:uid="{82A7DB4B-7A78-4464-B034-EE34FE6FCD94}"/>
    <cellStyle name="Normal 4 7 3" xfId="877" xr:uid="{00000000-0005-0000-0000-0000B6160000}"/>
    <cellStyle name="Normal 4 7 3 2" xfId="3112" xr:uid="{00000000-0005-0000-0000-0000B7160000}"/>
    <cellStyle name="Normal 4 7 3 2 2" xfId="7334" xr:uid="{00000000-0005-0000-0000-0000B8160000}"/>
    <cellStyle name="Normal 4 7 3 2 2 2" xfId="15784" xr:uid="{601D7888-5F0A-4EC4-84ED-5E7134578A5D}"/>
    <cellStyle name="Normal 4 7 3 2 3" xfId="11566" xr:uid="{B4526AF0-8712-4F34-B6BD-36E5A00A0D55}"/>
    <cellStyle name="Normal 4 7 3 3" xfId="5189" xr:uid="{00000000-0005-0000-0000-0000B9160000}"/>
    <cellStyle name="Normal 4 7 3 3 2" xfId="13639" xr:uid="{5866F6CD-6ED0-47B2-875A-00F6305E3183}"/>
    <cellStyle name="Normal 4 7 3 4" xfId="17867" xr:uid="{4546C56A-3ADC-43F1-AF53-5933235F1604}"/>
    <cellStyle name="Normal 4 7 3 5" xfId="18697" xr:uid="{DADB0847-8473-46A0-9DAA-8C29D2B06DAF}"/>
    <cellStyle name="Normal 4 7 3 6" xfId="19526" xr:uid="{322F4061-AF78-4AAA-AD7F-8D286C43BB57}"/>
    <cellStyle name="Normal 4 7 3 7" xfId="9421" xr:uid="{9BF788BD-4C21-4129-B191-18A7877D74F6}"/>
    <cellStyle name="Normal 4 7 4" xfId="1295" xr:uid="{00000000-0005-0000-0000-0000BA160000}"/>
    <cellStyle name="Normal 4 7 4 2" xfId="3525" xr:uid="{00000000-0005-0000-0000-0000BB160000}"/>
    <cellStyle name="Normal 4 7 4 2 2" xfId="7747" xr:uid="{00000000-0005-0000-0000-0000BC160000}"/>
    <cellStyle name="Normal 4 7 4 2 2 2" xfId="16197" xr:uid="{703EBF14-08E5-403C-923D-CB230909FE6D}"/>
    <cellStyle name="Normal 4 7 4 2 3" xfId="11979" xr:uid="{DF5460D0-C9EA-4E3D-81F1-00A8B8B1C73B}"/>
    <cellStyle name="Normal 4 7 4 3" xfId="5602" xr:uid="{00000000-0005-0000-0000-0000BD160000}"/>
    <cellStyle name="Normal 4 7 4 3 2" xfId="14052" xr:uid="{5E5E740B-0D4F-43FB-B59E-1F39FA9DA41C}"/>
    <cellStyle name="Normal 4 7 4 4" xfId="9834" xr:uid="{E21D54F3-A2E0-4E52-B15D-3EC95E51F165}"/>
    <cellStyle name="Normal 4 7 5" xfId="1708" xr:uid="{00000000-0005-0000-0000-0000BE160000}"/>
    <cellStyle name="Normal 4 7 5 2" xfId="3938" xr:uid="{00000000-0005-0000-0000-0000BF160000}"/>
    <cellStyle name="Normal 4 7 5 2 2" xfId="8160" xr:uid="{00000000-0005-0000-0000-0000C0160000}"/>
    <cellStyle name="Normal 4 7 5 2 2 2" xfId="16610" xr:uid="{040C479D-9CA9-4F2E-B665-2114B865010F}"/>
    <cellStyle name="Normal 4 7 5 2 3" xfId="12392" xr:uid="{59DC3197-8D36-4C4A-B799-0AFEBBE494B2}"/>
    <cellStyle name="Normal 4 7 5 3" xfId="6015" xr:uid="{00000000-0005-0000-0000-0000C1160000}"/>
    <cellStyle name="Normal 4 7 5 3 2" xfId="14465" xr:uid="{B45EE2B2-C280-48E3-B357-83C08F09CB04}"/>
    <cellStyle name="Normal 4 7 5 4" xfId="10247" xr:uid="{DC7172BF-09ED-4C17-B62A-76297B40D379}"/>
    <cellStyle name="Normal 4 7 6" xfId="2122" xr:uid="{00000000-0005-0000-0000-0000C2160000}"/>
    <cellStyle name="Normal 4 7 6 2" xfId="4351" xr:uid="{00000000-0005-0000-0000-0000C3160000}"/>
    <cellStyle name="Normal 4 7 6 2 2" xfId="8573" xr:uid="{00000000-0005-0000-0000-0000C4160000}"/>
    <cellStyle name="Normal 4 7 6 2 2 2" xfId="17023" xr:uid="{E1271E1B-EA0A-4CCB-9D96-7D7551EFD52C}"/>
    <cellStyle name="Normal 4 7 6 2 3" xfId="12805" xr:uid="{3F2A65F7-0362-485F-A645-A503060D4256}"/>
    <cellStyle name="Normal 4 7 6 3" xfId="6428" xr:uid="{00000000-0005-0000-0000-0000C5160000}"/>
    <cellStyle name="Normal 4 7 6 3 2" xfId="14878" xr:uid="{49B683BB-EA23-4F3A-90DE-7446BE2E7206}"/>
    <cellStyle name="Normal 4 7 6 4" xfId="10660" xr:uid="{5D0C0412-EC6B-4846-B731-E81778952C08}"/>
    <cellStyle name="Normal 4 7 7" xfId="2558" xr:uid="{00000000-0005-0000-0000-0000C6160000}"/>
    <cellStyle name="Normal 4 7 7 2" xfId="6841" xr:uid="{00000000-0005-0000-0000-0000C7160000}"/>
    <cellStyle name="Normal 4 7 7 2 2" xfId="15291" xr:uid="{1F178FB0-E727-4A3D-B850-9514B91CD23D}"/>
    <cellStyle name="Normal 4 7 7 3" xfId="11073" xr:uid="{D90AB7A9-0456-4033-8471-1684DF495183}"/>
    <cellStyle name="Normal 4 7 8" xfId="4776" xr:uid="{00000000-0005-0000-0000-0000C8160000}"/>
    <cellStyle name="Normal 4 7 8 2" xfId="13226" xr:uid="{56AEFC84-A999-4819-B7EF-F181DF2E5CC5}"/>
    <cellStyle name="Normal 4 7 9" xfId="17448" xr:uid="{861F1823-9938-4E65-A07F-4B379BCA3474}"/>
    <cellStyle name="Normal 4 8" xfId="405" xr:uid="{00000000-0005-0000-0000-0000C9160000}"/>
    <cellStyle name="Normal 4 8 10" xfId="19112" xr:uid="{53BD01FB-6097-41F2-AF6A-A075649E3529}"/>
    <cellStyle name="Normal 4 8 11" xfId="9010" xr:uid="{1B422678-8346-4924-AF5C-14095FE3B78A}"/>
    <cellStyle name="Normal 4 8 2" xfId="879" xr:uid="{00000000-0005-0000-0000-0000CA160000}"/>
    <cellStyle name="Normal 4 8 2 2" xfId="3114" xr:uid="{00000000-0005-0000-0000-0000CB160000}"/>
    <cellStyle name="Normal 4 8 2 2 2" xfId="7336" xr:uid="{00000000-0005-0000-0000-0000CC160000}"/>
    <cellStyle name="Normal 4 8 2 2 2 2" xfId="15786" xr:uid="{EB2DD27A-A06C-4948-864B-732C34D70486}"/>
    <cellStyle name="Normal 4 8 2 2 3" xfId="11568" xr:uid="{26D28DA5-9132-4F31-A2E1-ED6055746260}"/>
    <cellStyle name="Normal 4 8 2 3" xfId="5191" xr:uid="{00000000-0005-0000-0000-0000CD160000}"/>
    <cellStyle name="Normal 4 8 2 3 2" xfId="13641" xr:uid="{51BA5AD4-EBFC-41F8-A406-BDF96B4065A7}"/>
    <cellStyle name="Normal 4 8 2 4" xfId="17869" xr:uid="{030AD414-8C3B-4800-A70E-C5763117E17B}"/>
    <cellStyle name="Normal 4 8 2 5" xfId="18699" xr:uid="{F69951CB-D321-4B12-952C-81A130B1AC20}"/>
    <cellStyle name="Normal 4 8 2 6" xfId="19528" xr:uid="{63AECBBF-66FE-46B8-9E45-7A0CAE8436FA}"/>
    <cellStyle name="Normal 4 8 2 7" xfId="9423" xr:uid="{95774F7A-EF78-48B3-B4CE-E924E883FD15}"/>
    <cellStyle name="Normal 4 8 3" xfId="1297" xr:uid="{00000000-0005-0000-0000-0000CE160000}"/>
    <cellStyle name="Normal 4 8 3 2" xfId="3527" xr:uid="{00000000-0005-0000-0000-0000CF160000}"/>
    <cellStyle name="Normal 4 8 3 2 2" xfId="7749" xr:uid="{00000000-0005-0000-0000-0000D0160000}"/>
    <cellStyle name="Normal 4 8 3 2 2 2" xfId="16199" xr:uid="{85457851-F7EB-44FD-821C-2D3E0E95604F}"/>
    <cellStyle name="Normal 4 8 3 2 3" xfId="11981" xr:uid="{740BC97F-84A6-4E5B-878B-7EC1F3D49EB2}"/>
    <cellStyle name="Normal 4 8 3 3" xfId="5604" xr:uid="{00000000-0005-0000-0000-0000D1160000}"/>
    <cellStyle name="Normal 4 8 3 3 2" xfId="14054" xr:uid="{B9B49622-4611-4032-AC71-7F93667E0469}"/>
    <cellStyle name="Normal 4 8 3 4" xfId="9836" xr:uid="{434B085C-9079-4A74-9246-08E8BD82821D}"/>
    <cellStyle name="Normal 4 8 4" xfId="1710" xr:uid="{00000000-0005-0000-0000-0000D2160000}"/>
    <cellStyle name="Normal 4 8 4 2" xfId="3940" xr:uid="{00000000-0005-0000-0000-0000D3160000}"/>
    <cellStyle name="Normal 4 8 4 2 2" xfId="8162" xr:uid="{00000000-0005-0000-0000-0000D4160000}"/>
    <cellStyle name="Normal 4 8 4 2 2 2" xfId="16612" xr:uid="{483813F8-2BD9-4309-B40A-799CAFBF4A75}"/>
    <cellStyle name="Normal 4 8 4 2 3" xfId="12394" xr:uid="{75385377-0956-47A6-B0A3-A38065627764}"/>
    <cellStyle name="Normal 4 8 4 3" xfId="6017" xr:uid="{00000000-0005-0000-0000-0000D5160000}"/>
    <cellStyle name="Normal 4 8 4 3 2" xfId="14467" xr:uid="{E1081DFE-41E8-4FBA-8EB8-52080D7E9FE6}"/>
    <cellStyle name="Normal 4 8 4 4" xfId="10249" xr:uid="{A64E6599-31FC-4CE2-8426-E64C2EFAC25C}"/>
    <cellStyle name="Normal 4 8 5" xfId="2124" xr:uid="{00000000-0005-0000-0000-0000D6160000}"/>
    <cellStyle name="Normal 4 8 5 2" xfId="4353" xr:uid="{00000000-0005-0000-0000-0000D7160000}"/>
    <cellStyle name="Normal 4 8 5 2 2" xfId="8575" xr:uid="{00000000-0005-0000-0000-0000D8160000}"/>
    <cellStyle name="Normal 4 8 5 2 2 2" xfId="17025" xr:uid="{BFC0925C-BD01-40F2-BA97-EEF2F2A811FD}"/>
    <cellStyle name="Normal 4 8 5 2 3" xfId="12807" xr:uid="{B7648CFE-819E-41AD-9FC2-A6CEEC56FA06}"/>
    <cellStyle name="Normal 4 8 5 3" xfId="6430" xr:uid="{00000000-0005-0000-0000-0000D9160000}"/>
    <cellStyle name="Normal 4 8 5 3 2" xfId="14880" xr:uid="{4D4F2E6C-E436-4AE1-A3ED-21DFF7735DAD}"/>
    <cellStyle name="Normal 4 8 5 4" xfId="10662" xr:uid="{E04CAE9F-A167-4820-AB6A-44DE6F1FD060}"/>
    <cellStyle name="Normal 4 8 6" xfId="2560" xr:uid="{00000000-0005-0000-0000-0000DA160000}"/>
    <cellStyle name="Normal 4 8 6 2" xfId="6843" xr:uid="{00000000-0005-0000-0000-0000DB160000}"/>
    <cellStyle name="Normal 4 8 6 2 2" xfId="15293" xr:uid="{A454B60B-51EC-4E70-900B-43992D4E25B6}"/>
    <cellStyle name="Normal 4 8 6 3" xfId="11075" xr:uid="{8F27F1C5-BC00-4BDE-81F2-771C87CC3904}"/>
    <cellStyle name="Normal 4 8 7" xfId="4778" xr:uid="{00000000-0005-0000-0000-0000DC160000}"/>
    <cellStyle name="Normal 4 8 7 2" xfId="13228" xr:uid="{90BC77FD-D85C-45C3-BB9D-BD9C07D3F6EB}"/>
    <cellStyle name="Normal 4 8 8" xfId="17450" xr:uid="{DE7BAA9C-7245-4DB6-9C62-DCEE24173EA0}"/>
    <cellStyle name="Normal 4 8 9" xfId="18283" xr:uid="{78EB5C05-9D1F-405A-91E0-A31BF10BA3A3}"/>
    <cellStyle name="Normal 4 9" xfId="4715" xr:uid="{00000000-0005-0000-0000-0000DD160000}"/>
    <cellStyle name="Normal 4 9 2" xfId="13165" xr:uid="{47C49035-B1E9-44FF-9EA3-DFC542949213}"/>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1203EFDC-F35F-4E0F-8F6F-2CEA43FE925A}"/>
    <cellStyle name="Normal 5 10 2 3" xfId="12395" xr:uid="{EEA0BF24-E2C8-4FCF-980B-D12263890766}"/>
    <cellStyle name="Normal 5 10 3" xfId="6018" xr:uid="{00000000-0005-0000-0000-0000E2160000}"/>
    <cellStyle name="Normal 5 10 3 2" xfId="14468" xr:uid="{61D64E95-B674-4D9F-AC2F-4E741E8B5638}"/>
    <cellStyle name="Normal 5 10 4" xfId="10250" xr:uid="{25C5E37C-F5F0-45C2-99B5-64DC93D37D6E}"/>
    <cellStyle name="Normal 5 11" xfId="2125" xr:uid="{00000000-0005-0000-0000-0000E3160000}"/>
    <cellStyle name="Normal 5 11 2" xfId="4354" xr:uid="{00000000-0005-0000-0000-0000E4160000}"/>
    <cellStyle name="Normal 5 11 2 2" xfId="8576" xr:uid="{00000000-0005-0000-0000-0000E5160000}"/>
    <cellStyle name="Normal 5 11 2 2 2" xfId="17026" xr:uid="{DE1E9B66-783E-4765-B25B-3E23E822C04B}"/>
    <cellStyle name="Normal 5 11 2 3" xfId="12808" xr:uid="{B767824E-EDF1-436F-81B3-1E9CF96824D4}"/>
    <cellStyle name="Normal 5 11 3" xfId="6431" xr:uid="{00000000-0005-0000-0000-0000E6160000}"/>
    <cellStyle name="Normal 5 11 3 2" xfId="14881" xr:uid="{5A905DA9-125D-49E6-9736-55FFA21463E4}"/>
    <cellStyle name="Normal 5 11 4" xfId="10663" xr:uid="{8CF1BE85-E2FD-4474-A67B-792EFC53F3EB}"/>
    <cellStyle name="Normal 5 12" xfId="2561" xr:uid="{00000000-0005-0000-0000-0000E7160000}"/>
    <cellStyle name="Normal 5 12 2" xfId="6844" xr:uid="{00000000-0005-0000-0000-0000E8160000}"/>
    <cellStyle name="Normal 5 12 2 2" xfId="15294" xr:uid="{E4821505-4CB8-4CAC-87F0-4FF557986CB8}"/>
    <cellStyle name="Normal 5 12 3" xfId="11076" xr:uid="{9E585DD2-F535-416F-842E-8FBA1FAB12E1}"/>
    <cellStyle name="Normal 5 13" xfId="4779" xr:uid="{00000000-0005-0000-0000-0000E9160000}"/>
    <cellStyle name="Normal 5 13 2" xfId="13229" xr:uid="{F9C054B7-AFA5-42BD-89ED-A4DC44845590}"/>
    <cellStyle name="Normal 5 14" xfId="17451" xr:uid="{661AAE60-E2FA-40C9-9EC8-08114AE7F18B}"/>
    <cellStyle name="Normal 5 15" xfId="18284" xr:uid="{D4B32A2F-43CF-4208-B14F-2DE6241FF839}"/>
    <cellStyle name="Normal 5 16" xfId="19113" xr:uid="{C7DA0060-ABC4-45CE-B79B-35574511BEDD}"/>
    <cellStyle name="Normal 5 17" xfId="9011" xr:uid="{7DEA27F5-DAB3-458A-98E5-BB2EEB7C9176}"/>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89C0A8F8-3262-41B1-92E9-3FA973424D7F}"/>
    <cellStyle name="Normal 5 2 10 2 3" xfId="12809" xr:uid="{E101424F-5CD8-4C81-A72C-2A89E1B9960D}"/>
    <cellStyle name="Normal 5 2 10 3" xfId="6432" xr:uid="{00000000-0005-0000-0000-0000EE160000}"/>
    <cellStyle name="Normal 5 2 10 3 2" xfId="14882" xr:uid="{B0327D70-FF32-4096-90A2-A98195C618F1}"/>
    <cellStyle name="Normal 5 2 10 4" xfId="10664" xr:uid="{2A35D6AD-24CD-4CCB-B143-CEB0DFB96936}"/>
    <cellStyle name="Normal 5 2 11" xfId="2562" xr:uid="{00000000-0005-0000-0000-0000EF160000}"/>
    <cellStyle name="Normal 5 2 11 2" xfId="6845" xr:uid="{00000000-0005-0000-0000-0000F0160000}"/>
    <cellStyle name="Normal 5 2 11 2 2" xfId="15295" xr:uid="{B767C82D-0D28-4B96-9C32-81C4F49B50C3}"/>
    <cellStyle name="Normal 5 2 11 3" xfId="11077" xr:uid="{10994B1B-B357-4E4F-B32A-971E389F9448}"/>
    <cellStyle name="Normal 5 2 12" xfId="4780" xr:uid="{00000000-0005-0000-0000-0000F1160000}"/>
    <cellStyle name="Normal 5 2 12 2" xfId="13230" xr:uid="{7EC59C68-F630-4DE7-ADB1-09AB550CDBBE}"/>
    <cellStyle name="Normal 5 2 13" xfId="17452" xr:uid="{5E368235-E9F2-423F-B317-A32E21393149}"/>
    <cellStyle name="Normal 5 2 14" xfId="18285" xr:uid="{2874B46E-94C2-4F31-82C6-48BF9182CC78}"/>
    <cellStyle name="Normal 5 2 15" xfId="19114" xr:uid="{796E9504-0094-4CEF-9CE5-0C1AED8FBBFE}"/>
    <cellStyle name="Normal 5 2 16" xfId="9012" xr:uid="{90F4FB9F-7E29-44A8-B547-A6309DF7F3D5}"/>
    <cellStyle name="Normal 5 2 2" xfId="408" xr:uid="{00000000-0005-0000-0000-0000F2160000}"/>
    <cellStyle name="Normal 5 2 2 10" xfId="2563" xr:uid="{00000000-0005-0000-0000-0000F3160000}"/>
    <cellStyle name="Normal 5 2 2 10 2" xfId="6846" xr:uid="{00000000-0005-0000-0000-0000F4160000}"/>
    <cellStyle name="Normal 5 2 2 10 2 2" xfId="15296" xr:uid="{2DB26FB9-4D45-4A92-AB25-A5C166E6BAAB}"/>
    <cellStyle name="Normal 5 2 2 10 3" xfId="11078" xr:uid="{31AF8554-D7EA-4D1A-B07E-1293BA89AA6A}"/>
    <cellStyle name="Normal 5 2 2 11" xfId="4781" xr:uid="{00000000-0005-0000-0000-0000F5160000}"/>
    <cellStyle name="Normal 5 2 2 11 2" xfId="13231" xr:uid="{8A1EA907-19CF-4B7A-BA03-F8C47329FE7E}"/>
    <cellStyle name="Normal 5 2 2 12" xfId="17453" xr:uid="{2D0E6D62-4E85-44E4-AC5C-CF638670B5F9}"/>
    <cellStyle name="Normal 5 2 2 13" xfId="18286" xr:uid="{D4BCAD7C-0678-4AB1-8C73-31BA03E92530}"/>
    <cellStyle name="Normal 5 2 2 14" xfId="19115" xr:uid="{6CAC0216-D066-4F4F-A5EB-88589FDB603D}"/>
    <cellStyle name="Normal 5 2 2 15" xfId="9013" xr:uid="{93C2B89D-2982-4D3F-8860-98D0B72E7C0E}"/>
    <cellStyle name="Normal 5 2 2 2" xfId="409" xr:uid="{00000000-0005-0000-0000-0000F6160000}"/>
    <cellStyle name="Normal 5 2 2 2 10" xfId="4782" xr:uid="{00000000-0005-0000-0000-0000F7160000}"/>
    <cellStyle name="Normal 5 2 2 2 10 2" xfId="13232" xr:uid="{C83EA36D-E631-49F7-A540-94B35FB244C9}"/>
    <cellStyle name="Normal 5 2 2 2 11" xfId="17454" xr:uid="{864794D3-FAC9-4B84-B40A-D8C96F871B77}"/>
    <cellStyle name="Normal 5 2 2 2 12" xfId="18287" xr:uid="{8FC80CFB-35FA-4647-8846-18ACEE8DBD6F}"/>
    <cellStyle name="Normal 5 2 2 2 13" xfId="19116" xr:uid="{E9B0011E-7D30-4475-B7C2-6729BAB35586}"/>
    <cellStyle name="Normal 5 2 2 2 14" xfId="9014" xr:uid="{B298E0DA-C037-4804-B4DF-D27D0C765C82}"/>
    <cellStyle name="Normal 5 2 2 2 2" xfId="410" xr:uid="{00000000-0005-0000-0000-0000F8160000}"/>
    <cellStyle name="Normal 5 2 2 2 2 10" xfId="17455" xr:uid="{AD265895-5C42-43C3-83B3-B695D7963C19}"/>
    <cellStyle name="Normal 5 2 2 2 2 11" xfId="18288" xr:uid="{F8E93BA9-A895-4F02-9B8E-5D50BC1548E7}"/>
    <cellStyle name="Normal 5 2 2 2 2 12" xfId="19117" xr:uid="{B2B1B34F-07B9-48FE-A2E0-50BF8B83E5D6}"/>
    <cellStyle name="Normal 5 2 2 2 2 13" xfId="9015" xr:uid="{8E789FA0-5B77-4D6D-A358-D50F06C7E8C5}"/>
    <cellStyle name="Normal 5 2 2 2 2 2" xfId="411" xr:uid="{00000000-0005-0000-0000-0000F9160000}"/>
    <cellStyle name="Normal 5 2 2 2 2 2 10" xfId="18289" xr:uid="{0CE4C336-3371-4386-83AA-D683F1A7D21B}"/>
    <cellStyle name="Normal 5 2 2 2 2 2 11" xfId="19118" xr:uid="{2E16275A-85CC-44CB-8F93-B8F9135A9AFD}"/>
    <cellStyle name="Normal 5 2 2 2 2 2 12" xfId="9016" xr:uid="{DAF68C0D-C62E-4F63-8127-0A00877A4CA6}"/>
    <cellStyle name="Normal 5 2 2 2 2 2 2" xfId="412" xr:uid="{00000000-0005-0000-0000-0000FA160000}"/>
    <cellStyle name="Normal 5 2 2 2 2 2 2 10" xfId="19119" xr:uid="{C244FFDE-7899-42A7-8481-05CDB89F54B6}"/>
    <cellStyle name="Normal 5 2 2 2 2 2 2 11" xfId="9017" xr:uid="{FB97E8A2-8947-4D89-9A94-9CD962CA0AEA}"/>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F39C8595-34F9-47A0-8B46-89FEB1CA7089}"/>
    <cellStyle name="Normal 5 2 2 2 2 2 2 2 2 3" xfId="11575" xr:uid="{D5D63593-EE30-4CA2-8C07-A092EED0F456}"/>
    <cellStyle name="Normal 5 2 2 2 2 2 2 2 3" xfId="5198" xr:uid="{00000000-0005-0000-0000-0000FE160000}"/>
    <cellStyle name="Normal 5 2 2 2 2 2 2 2 3 2" xfId="13648" xr:uid="{5881B151-99EC-4887-9F2E-AE6F38D1675F}"/>
    <cellStyle name="Normal 5 2 2 2 2 2 2 2 4" xfId="17876" xr:uid="{8930CBD2-309A-4AF3-94CB-3DFC219DB6AC}"/>
    <cellStyle name="Normal 5 2 2 2 2 2 2 2 5" xfId="18706" xr:uid="{3DC6D3D7-F32B-43DA-8A80-03057EFE16B2}"/>
    <cellStyle name="Normal 5 2 2 2 2 2 2 2 6" xfId="19535" xr:uid="{57B8A255-C2D6-4515-B2E5-191EFE29B801}"/>
    <cellStyle name="Normal 5 2 2 2 2 2 2 2 7" xfId="9430" xr:uid="{17F8C899-AAFC-4574-8074-58AB8D4DDFF5}"/>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0B02618B-06AE-4389-95B6-C029FFE9F0DD}"/>
    <cellStyle name="Normal 5 2 2 2 2 2 2 3 2 3" xfId="11988" xr:uid="{CC4A52E2-1A4F-4D59-91DF-55CE8BCE4C4C}"/>
    <cellStyle name="Normal 5 2 2 2 2 2 2 3 3" xfId="5611" xr:uid="{00000000-0005-0000-0000-000002170000}"/>
    <cellStyle name="Normal 5 2 2 2 2 2 2 3 3 2" xfId="14061" xr:uid="{14B69A4F-81AF-47B7-A8CA-B993C2C1711C}"/>
    <cellStyle name="Normal 5 2 2 2 2 2 2 3 4" xfId="9843" xr:uid="{C432367B-55ED-4C0E-8916-B628366DA97D}"/>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25ABC55A-9C0C-4E0F-9F2D-6E14D4B69FA9}"/>
    <cellStyle name="Normal 5 2 2 2 2 2 2 4 2 3" xfId="12401" xr:uid="{9A182D65-7CC4-4451-BB54-F61E0639AC72}"/>
    <cellStyle name="Normal 5 2 2 2 2 2 2 4 3" xfId="6024" xr:uid="{00000000-0005-0000-0000-000006170000}"/>
    <cellStyle name="Normal 5 2 2 2 2 2 2 4 3 2" xfId="14474" xr:uid="{0094A1C4-FCF5-4EDF-AD7A-AB3469E87EF7}"/>
    <cellStyle name="Normal 5 2 2 2 2 2 2 4 4" xfId="10256" xr:uid="{8952F723-7CD2-46E5-8EED-8849466D5179}"/>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A0B186AF-C102-44C0-9FB8-010BFDD213B6}"/>
    <cellStyle name="Normal 5 2 2 2 2 2 2 5 2 3" xfId="12814" xr:uid="{6C1D8691-684A-4F59-9EC2-8408A5DA081B}"/>
    <cellStyle name="Normal 5 2 2 2 2 2 2 5 3" xfId="6437" xr:uid="{00000000-0005-0000-0000-00000A170000}"/>
    <cellStyle name="Normal 5 2 2 2 2 2 2 5 3 2" xfId="14887" xr:uid="{034B0B53-D960-4047-8306-E6BB5F81D0BC}"/>
    <cellStyle name="Normal 5 2 2 2 2 2 2 5 4" xfId="10669" xr:uid="{CE4E38CE-3C1E-4EFE-8B4F-10C0DEF0738C}"/>
    <cellStyle name="Normal 5 2 2 2 2 2 2 6" xfId="2567" xr:uid="{00000000-0005-0000-0000-00000B170000}"/>
    <cellStyle name="Normal 5 2 2 2 2 2 2 6 2" xfId="6850" xr:uid="{00000000-0005-0000-0000-00000C170000}"/>
    <cellStyle name="Normal 5 2 2 2 2 2 2 6 2 2" xfId="15300" xr:uid="{74099268-78F4-4B67-A819-30029CC2941F}"/>
    <cellStyle name="Normal 5 2 2 2 2 2 2 6 3" xfId="11082" xr:uid="{7C56C41A-A604-41AB-A5AF-CC30161AA513}"/>
    <cellStyle name="Normal 5 2 2 2 2 2 2 7" xfId="4785" xr:uid="{00000000-0005-0000-0000-00000D170000}"/>
    <cellStyle name="Normal 5 2 2 2 2 2 2 7 2" xfId="13235" xr:uid="{F54260EF-7A77-467C-A713-562D516EC998}"/>
    <cellStyle name="Normal 5 2 2 2 2 2 2 8" xfId="17457" xr:uid="{AB40EAB0-1AF8-44F3-973F-7A240A31E071}"/>
    <cellStyle name="Normal 5 2 2 2 2 2 2 9" xfId="18290" xr:uid="{BFAB24B8-9AD1-46D1-B1CE-7D1CC1C329CC}"/>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1D3DA93C-8AD9-45D3-8C8C-ABBDF7DFD881}"/>
    <cellStyle name="Normal 5 2 2 2 2 2 3 2 3" xfId="11574" xr:uid="{50C88C1F-AF14-40F5-B78E-8FEE577F6BA8}"/>
    <cellStyle name="Normal 5 2 2 2 2 2 3 3" xfId="5197" xr:uid="{00000000-0005-0000-0000-000011170000}"/>
    <cellStyle name="Normal 5 2 2 2 2 2 3 3 2" xfId="13647" xr:uid="{9908B550-A560-4224-B99C-847F7981656C}"/>
    <cellStyle name="Normal 5 2 2 2 2 2 3 4" xfId="17875" xr:uid="{88DE90C9-812D-43F2-843F-B1B797467EAB}"/>
    <cellStyle name="Normal 5 2 2 2 2 2 3 5" xfId="18705" xr:uid="{7A206006-B855-4E3B-A4C2-887886BA6FA2}"/>
    <cellStyle name="Normal 5 2 2 2 2 2 3 6" xfId="19534" xr:uid="{43A1A2F4-943B-4629-B756-D9C628E92BBF}"/>
    <cellStyle name="Normal 5 2 2 2 2 2 3 7" xfId="9429" xr:uid="{6410603D-A55C-45DF-9760-F62B228D74ED}"/>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EAC0077E-FD09-4B3C-9887-384E26DB5ED5}"/>
    <cellStyle name="Normal 5 2 2 2 2 2 4 2 3" xfId="11987" xr:uid="{44BA2D4F-A740-4D28-909C-93FB2E6C0875}"/>
    <cellStyle name="Normal 5 2 2 2 2 2 4 3" xfId="5610" xr:uid="{00000000-0005-0000-0000-000015170000}"/>
    <cellStyle name="Normal 5 2 2 2 2 2 4 3 2" xfId="14060" xr:uid="{442096D9-8292-49C9-B608-04190808B197}"/>
    <cellStyle name="Normal 5 2 2 2 2 2 4 4" xfId="9842" xr:uid="{FFC907A5-AE4D-4260-B851-12761F796745}"/>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1E541D68-E81E-426D-A067-F819B8A2F8E0}"/>
    <cellStyle name="Normal 5 2 2 2 2 2 5 2 3" xfId="12400" xr:uid="{97EC2F49-402F-446E-A579-48810D17F851}"/>
    <cellStyle name="Normal 5 2 2 2 2 2 5 3" xfId="6023" xr:uid="{00000000-0005-0000-0000-000019170000}"/>
    <cellStyle name="Normal 5 2 2 2 2 2 5 3 2" xfId="14473" xr:uid="{386F1F1E-3ED5-4BEF-9630-6EB50959443A}"/>
    <cellStyle name="Normal 5 2 2 2 2 2 5 4" xfId="10255" xr:uid="{7E3DEEAD-ED02-445C-A193-BA6831D08C3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FEAB8D9B-14AE-40E5-B0D3-3040B896809D}"/>
    <cellStyle name="Normal 5 2 2 2 2 2 6 2 3" xfId="12813" xr:uid="{571AD13E-4B7F-476B-90D3-5650AC75F703}"/>
    <cellStyle name="Normal 5 2 2 2 2 2 6 3" xfId="6436" xr:uid="{00000000-0005-0000-0000-00001D170000}"/>
    <cellStyle name="Normal 5 2 2 2 2 2 6 3 2" xfId="14886" xr:uid="{370575CA-8B17-4CB6-8C38-F07AE46FCF09}"/>
    <cellStyle name="Normal 5 2 2 2 2 2 6 4" xfId="10668" xr:uid="{BC798291-9375-4238-865E-50A21B3CFCC8}"/>
    <cellStyle name="Normal 5 2 2 2 2 2 7" xfId="2566" xr:uid="{00000000-0005-0000-0000-00001E170000}"/>
    <cellStyle name="Normal 5 2 2 2 2 2 7 2" xfId="6849" xr:uid="{00000000-0005-0000-0000-00001F170000}"/>
    <cellStyle name="Normal 5 2 2 2 2 2 7 2 2" xfId="15299" xr:uid="{31EEF3F1-059E-4B6C-B26E-88F116D616BE}"/>
    <cellStyle name="Normal 5 2 2 2 2 2 7 3" xfId="11081" xr:uid="{A8CE31C6-D07B-452B-A957-A928082CDA87}"/>
    <cellStyle name="Normal 5 2 2 2 2 2 8" xfId="4784" xr:uid="{00000000-0005-0000-0000-000020170000}"/>
    <cellStyle name="Normal 5 2 2 2 2 2 8 2" xfId="13234" xr:uid="{D1A2FB8A-24C3-4DFF-B0D5-4F39D43431AE}"/>
    <cellStyle name="Normal 5 2 2 2 2 2 9" xfId="17456" xr:uid="{25B76A15-F416-45D0-997D-20D0AA24D5A4}"/>
    <cellStyle name="Normal 5 2 2 2 2 3" xfId="413" xr:uid="{00000000-0005-0000-0000-000021170000}"/>
    <cellStyle name="Normal 5 2 2 2 2 3 10" xfId="19120" xr:uid="{D3EE14F6-F135-4539-97AD-4C6FA8C7F336}"/>
    <cellStyle name="Normal 5 2 2 2 2 3 11" xfId="9018" xr:uid="{5DFB101B-F876-4FB0-9D4F-62683A881BE4}"/>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44007172-B7C2-4BC5-AE5C-E1D2D2FFF63F}"/>
    <cellStyle name="Normal 5 2 2 2 2 3 2 2 3" xfId="11576" xr:uid="{3116A8FF-D7AE-4938-9AFB-3C71EBAE0827}"/>
    <cellStyle name="Normal 5 2 2 2 2 3 2 3" xfId="5199" xr:uid="{00000000-0005-0000-0000-000025170000}"/>
    <cellStyle name="Normal 5 2 2 2 2 3 2 3 2" xfId="13649" xr:uid="{8A90323D-2C6D-4A91-A5E2-573C5BACF44D}"/>
    <cellStyle name="Normal 5 2 2 2 2 3 2 4" xfId="17877" xr:uid="{2D752E11-42EC-4EBF-A3F9-4DB39C5DBA5F}"/>
    <cellStyle name="Normal 5 2 2 2 2 3 2 5" xfId="18707" xr:uid="{1C91A1D0-A3D4-429D-97EF-EBC7520DE2F4}"/>
    <cellStyle name="Normal 5 2 2 2 2 3 2 6" xfId="19536" xr:uid="{EFF590E5-6481-4029-906A-D3F0D78CF268}"/>
    <cellStyle name="Normal 5 2 2 2 2 3 2 7" xfId="9431" xr:uid="{3C969316-DBD1-42FA-A674-6D880D8224A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4AB959FF-D3A8-4A15-BCDF-97FD1C29E01F}"/>
    <cellStyle name="Normal 5 2 2 2 2 3 3 2 3" xfId="11989" xr:uid="{7DE950E8-B778-4AAB-9E61-562204C361C8}"/>
    <cellStyle name="Normal 5 2 2 2 2 3 3 3" xfId="5612" xr:uid="{00000000-0005-0000-0000-000029170000}"/>
    <cellStyle name="Normal 5 2 2 2 2 3 3 3 2" xfId="14062" xr:uid="{8BDD8668-2712-4901-92C7-6DC6DA17B7A1}"/>
    <cellStyle name="Normal 5 2 2 2 2 3 3 4" xfId="9844" xr:uid="{D35C0D51-4DF5-4A29-9CC6-9E69F4EEC219}"/>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9209EA4D-DCEC-427E-96A7-E8A7FCE5F093}"/>
    <cellStyle name="Normal 5 2 2 2 2 3 4 2 3" xfId="12402" xr:uid="{99CA300F-0F05-4437-9051-06C0F5AB1DBA}"/>
    <cellStyle name="Normal 5 2 2 2 2 3 4 3" xfId="6025" xr:uid="{00000000-0005-0000-0000-00002D170000}"/>
    <cellStyle name="Normal 5 2 2 2 2 3 4 3 2" xfId="14475" xr:uid="{679E6E97-DADB-43E9-AE95-7C8CF1CDE4EA}"/>
    <cellStyle name="Normal 5 2 2 2 2 3 4 4" xfId="10257" xr:uid="{0A6A0015-FA3E-4DCD-A3A4-960EED8CCE7B}"/>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3D8933D6-C664-4323-A604-B3D7AD288F68}"/>
    <cellStyle name="Normal 5 2 2 2 2 3 5 2 3" xfId="12815" xr:uid="{94EA5FA7-4709-4161-A3E6-2C4C54AF7446}"/>
    <cellStyle name="Normal 5 2 2 2 2 3 5 3" xfId="6438" xr:uid="{00000000-0005-0000-0000-000031170000}"/>
    <cellStyle name="Normal 5 2 2 2 2 3 5 3 2" xfId="14888" xr:uid="{54ECDA50-73DC-46EB-8AB8-8D3540A92646}"/>
    <cellStyle name="Normal 5 2 2 2 2 3 5 4" xfId="10670" xr:uid="{9C13829F-65CE-44CF-AC4E-B5D1125175DC}"/>
    <cellStyle name="Normal 5 2 2 2 2 3 6" xfId="2568" xr:uid="{00000000-0005-0000-0000-000032170000}"/>
    <cellStyle name="Normal 5 2 2 2 2 3 6 2" xfId="6851" xr:uid="{00000000-0005-0000-0000-000033170000}"/>
    <cellStyle name="Normal 5 2 2 2 2 3 6 2 2" xfId="15301" xr:uid="{AD77028C-BEFB-463E-A002-DCEE8D324AB5}"/>
    <cellStyle name="Normal 5 2 2 2 2 3 6 3" xfId="11083" xr:uid="{7B72B363-2AF7-4A20-A5DF-E07286D1070D}"/>
    <cellStyle name="Normal 5 2 2 2 2 3 7" xfId="4786" xr:uid="{00000000-0005-0000-0000-000034170000}"/>
    <cellStyle name="Normal 5 2 2 2 2 3 7 2" xfId="13236" xr:uid="{A6EE69DE-BE3E-4141-9DFF-E74AE6FBCC4C}"/>
    <cellStyle name="Normal 5 2 2 2 2 3 8" xfId="17458" xr:uid="{81F6C869-EE20-40B9-A550-16D54271A3CF}"/>
    <cellStyle name="Normal 5 2 2 2 2 3 9" xfId="18291" xr:uid="{23231B6F-53DA-4ECB-88AD-1276065F1697}"/>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5A2B86B9-C12B-4322-97AC-23775A4FA41E}"/>
    <cellStyle name="Normal 5 2 2 2 2 4 2 3" xfId="11573" xr:uid="{F9A6515D-616E-4706-BF59-0A1C441C1A7D}"/>
    <cellStyle name="Normal 5 2 2 2 2 4 3" xfId="5196" xr:uid="{00000000-0005-0000-0000-000038170000}"/>
    <cellStyle name="Normal 5 2 2 2 2 4 3 2" xfId="13646" xr:uid="{897398F2-0661-484C-8B69-3BE6A98CB561}"/>
    <cellStyle name="Normal 5 2 2 2 2 4 4" xfId="17874" xr:uid="{2055CD26-AE74-4022-88C5-4EDF7810F6E7}"/>
    <cellStyle name="Normal 5 2 2 2 2 4 5" xfId="18704" xr:uid="{9145A97E-0844-4346-B67F-FD3DD90CC5D4}"/>
    <cellStyle name="Normal 5 2 2 2 2 4 6" xfId="19533" xr:uid="{B45FCD04-6407-4436-B097-98610CC2D3CB}"/>
    <cellStyle name="Normal 5 2 2 2 2 4 7" xfId="9428" xr:uid="{44902496-A1AA-4150-AE0E-070EFB25BE7B}"/>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76EB99F5-91B6-4C1D-AFA4-62ACAE8A3781}"/>
    <cellStyle name="Normal 5 2 2 2 2 5 2 3" xfId="11986" xr:uid="{5B69E5F1-CC46-47AA-8CA1-CA918CFB8323}"/>
    <cellStyle name="Normal 5 2 2 2 2 5 3" xfId="5609" xr:uid="{00000000-0005-0000-0000-00003C170000}"/>
    <cellStyle name="Normal 5 2 2 2 2 5 3 2" xfId="14059" xr:uid="{5F621FDE-0E72-481B-9615-7859E942BB1F}"/>
    <cellStyle name="Normal 5 2 2 2 2 5 4" xfId="9841" xr:uid="{5FE9C57A-C6D7-498E-A832-AEA5AE2FFBC4}"/>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768460B2-1B0C-4F1E-8DCA-0A4BA2B98954}"/>
    <cellStyle name="Normal 5 2 2 2 2 6 2 3" xfId="12399" xr:uid="{F7941477-7AA4-4D4D-B5F4-E87136FD3187}"/>
    <cellStyle name="Normal 5 2 2 2 2 6 3" xfId="6022" xr:uid="{00000000-0005-0000-0000-000040170000}"/>
    <cellStyle name="Normal 5 2 2 2 2 6 3 2" xfId="14472" xr:uid="{9F646B29-E22B-4CC0-8239-2BAD208FF1AA}"/>
    <cellStyle name="Normal 5 2 2 2 2 6 4" xfId="10254" xr:uid="{06A1B5B8-C60D-4DD8-B4CE-FF7C37178128}"/>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6CFFC60B-7547-4C0B-B629-9C47B7F7A51C}"/>
    <cellStyle name="Normal 5 2 2 2 2 7 2 3" xfId="12812" xr:uid="{0E90C224-4894-41CD-BE37-F44BE9E5FFB9}"/>
    <cellStyle name="Normal 5 2 2 2 2 7 3" xfId="6435" xr:uid="{00000000-0005-0000-0000-000044170000}"/>
    <cellStyle name="Normal 5 2 2 2 2 7 3 2" xfId="14885" xr:uid="{1F4CDBBD-EAB2-4277-8310-A31FC6EC6108}"/>
    <cellStyle name="Normal 5 2 2 2 2 7 4" xfId="10667" xr:uid="{044C48D5-EA1E-4014-81C8-54BBC9CA3ADB}"/>
    <cellStyle name="Normal 5 2 2 2 2 8" xfId="2565" xr:uid="{00000000-0005-0000-0000-000045170000}"/>
    <cellStyle name="Normal 5 2 2 2 2 8 2" xfId="6848" xr:uid="{00000000-0005-0000-0000-000046170000}"/>
    <cellStyle name="Normal 5 2 2 2 2 8 2 2" xfId="15298" xr:uid="{DA9A9725-EB69-4BAA-A7BE-605672A7382E}"/>
    <cellStyle name="Normal 5 2 2 2 2 8 3" xfId="11080" xr:uid="{D8D3E4F8-A4BF-4DBD-8767-F719FAA96FC0}"/>
    <cellStyle name="Normal 5 2 2 2 2 9" xfId="4783" xr:uid="{00000000-0005-0000-0000-000047170000}"/>
    <cellStyle name="Normal 5 2 2 2 2 9 2" xfId="13233" xr:uid="{399464D1-1A5F-4851-81A2-D2C6F962F20A}"/>
    <cellStyle name="Normal 5 2 2 2 3" xfId="414" xr:uid="{00000000-0005-0000-0000-000048170000}"/>
    <cellStyle name="Normal 5 2 2 2 3 10" xfId="18292" xr:uid="{57C68AE5-3536-4F12-A037-E543AC2C5949}"/>
    <cellStyle name="Normal 5 2 2 2 3 11" xfId="19121" xr:uid="{7A8BF722-E59A-4139-A81C-407F79DF5398}"/>
    <cellStyle name="Normal 5 2 2 2 3 12" xfId="9019" xr:uid="{523C0D2D-1F1F-4C70-A72A-93DFBFB4C8D6}"/>
    <cellStyle name="Normal 5 2 2 2 3 2" xfId="415" xr:uid="{00000000-0005-0000-0000-000049170000}"/>
    <cellStyle name="Normal 5 2 2 2 3 2 10" xfId="19122" xr:uid="{C17D7BA5-562A-4692-A4F1-D15B45A03244}"/>
    <cellStyle name="Normal 5 2 2 2 3 2 11" xfId="9020" xr:uid="{F754A896-9C34-407F-99FD-532335977539}"/>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31CCD00F-1115-45FD-A7F7-8852EF5761B2}"/>
    <cellStyle name="Normal 5 2 2 2 3 2 2 2 3" xfId="11578" xr:uid="{1547C310-94A8-4127-B227-C76C983AB4C6}"/>
    <cellStyle name="Normal 5 2 2 2 3 2 2 3" xfId="5201" xr:uid="{00000000-0005-0000-0000-00004D170000}"/>
    <cellStyle name="Normal 5 2 2 2 3 2 2 3 2" xfId="13651" xr:uid="{44B6E2C6-53BD-462D-9CAB-88784507E4E3}"/>
    <cellStyle name="Normal 5 2 2 2 3 2 2 4" xfId="17879" xr:uid="{F9499408-1D8E-438F-9DD2-54A75BCED7A4}"/>
    <cellStyle name="Normal 5 2 2 2 3 2 2 5" xfId="18709" xr:uid="{6FC35127-D605-47F2-BFC7-F42D0ED13815}"/>
    <cellStyle name="Normal 5 2 2 2 3 2 2 6" xfId="19538" xr:uid="{0D7EFD04-B396-4600-9D43-1459B7235160}"/>
    <cellStyle name="Normal 5 2 2 2 3 2 2 7" xfId="9433" xr:uid="{7CCFA354-734E-4308-8EEA-F657560769DE}"/>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60CBE7E1-DA7F-4A32-8F4C-76FC738C5854}"/>
    <cellStyle name="Normal 5 2 2 2 3 2 3 2 3" xfId="11991" xr:uid="{3372A56B-922B-4148-9A38-F0E94A66D23A}"/>
    <cellStyle name="Normal 5 2 2 2 3 2 3 3" xfId="5614" xr:uid="{00000000-0005-0000-0000-000051170000}"/>
    <cellStyle name="Normal 5 2 2 2 3 2 3 3 2" xfId="14064" xr:uid="{67F2DE68-FCCB-45F9-AD8C-8DDA80F2D538}"/>
    <cellStyle name="Normal 5 2 2 2 3 2 3 4" xfId="9846" xr:uid="{ECC06258-E7CF-4289-B711-976D4B374E11}"/>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829BD71C-B15F-433D-B92D-8F74DB486969}"/>
    <cellStyle name="Normal 5 2 2 2 3 2 4 2 3" xfId="12404" xr:uid="{EFDA50C6-721A-4617-8AC6-0CAB5BCA7F1E}"/>
    <cellStyle name="Normal 5 2 2 2 3 2 4 3" xfId="6027" xr:uid="{00000000-0005-0000-0000-000055170000}"/>
    <cellStyle name="Normal 5 2 2 2 3 2 4 3 2" xfId="14477" xr:uid="{07C32FAF-B376-4086-B5A2-2CC6ED09A480}"/>
    <cellStyle name="Normal 5 2 2 2 3 2 4 4" xfId="10259" xr:uid="{E6B441FA-4B20-4962-9ACA-0504C78598CF}"/>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D71F15A4-2A27-40C7-9D9A-39EA6DBB47E1}"/>
    <cellStyle name="Normal 5 2 2 2 3 2 5 2 3" xfId="12817" xr:uid="{1EDAE640-859B-46E8-970E-4BBC413CC8B6}"/>
    <cellStyle name="Normal 5 2 2 2 3 2 5 3" xfId="6440" xr:uid="{00000000-0005-0000-0000-000059170000}"/>
    <cellStyle name="Normal 5 2 2 2 3 2 5 3 2" xfId="14890" xr:uid="{5D03EDF3-BA00-446C-8E02-E7CDFA4E74E0}"/>
    <cellStyle name="Normal 5 2 2 2 3 2 5 4" xfId="10672" xr:uid="{941AB358-4746-4920-A1DC-F782FCC4A30B}"/>
    <cellStyle name="Normal 5 2 2 2 3 2 6" xfId="2570" xr:uid="{00000000-0005-0000-0000-00005A170000}"/>
    <cellStyle name="Normal 5 2 2 2 3 2 6 2" xfId="6853" xr:uid="{00000000-0005-0000-0000-00005B170000}"/>
    <cellStyle name="Normal 5 2 2 2 3 2 6 2 2" xfId="15303" xr:uid="{38C4CCC1-D69B-491D-AC34-47F42558810E}"/>
    <cellStyle name="Normal 5 2 2 2 3 2 6 3" xfId="11085" xr:uid="{C067A250-DFD3-4CF7-9EF7-6D1A7EBF6367}"/>
    <cellStyle name="Normal 5 2 2 2 3 2 7" xfId="4788" xr:uid="{00000000-0005-0000-0000-00005C170000}"/>
    <cellStyle name="Normal 5 2 2 2 3 2 7 2" xfId="13238" xr:uid="{44A56C67-F024-4D7C-8678-3D82FE9C0AF9}"/>
    <cellStyle name="Normal 5 2 2 2 3 2 8" xfId="17460" xr:uid="{3A9E2A8D-C760-43E5-AB21-A34D73C49FBF}"/>
    <cellStyle name="Normal 5 2 2 2 3 2 9" xfId="18293" xr:uid="{ADFA5E9C-A099-4E3B-8502-F16555B1BBB4}"/>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776C51EE-A45C-4E2C-A7F3-E8D1B6235AA6}"/>
    <cellStyle name="Normal 5 2 2 2 3 3 2 3" xfId="11577" xr:uid="{16385EDA-CD5B-4896-BC95-C85ADF9AF76D}"/>
    <cellStyle name="Normal 5 2 2 2 3 3 3" xfId="5200" xr:uid="{00000000-0005-0000-0000-000060170000}"/>
    <cellStyle name="Normal 5 2 2 2 3 3 3 2" xfId="13650" xr:uid="{6A3A285A-D13A-43AC-98A1-242C3CE807DD}"/>
    <cellStyle name="Normal 5 2 2 2 3 3 4" xfId="17878" xr:uid="{57C75919-85B3-41D4-ACE7-F15B83659C3E}"/>
    <cellStyle name="Normal 5 2 2 2 3 3 5" xfId="18708" xr:uid="{C9E95585-EC27-4C9D-8F92-2DE2E9C63963}"/>
    <cellStyle name="Normal 5 2 2 2 3 3 6" xfId="19537" xr:uid="{8D4B37CD-3A16-4ED2-A09F-C91C4CD6A978}"/>
    <cellStyle name="Normal 5 2 2 2 3 3 7" xfId="9432" xr:uid="{24522A14-21FF-454F-8B87-D0E79999B27A}"/>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27237C66-0EF8-4B84-8C6B-ABC14E011443}"/>
    <cellStyle name="Normal 5 2 2 2 3 4 2 3" xfId="11990" xr:uid="{D16DD178-63BB-435C-902E-F8D7FDB6B87A}"/>
    <cellStyle name="Normal 5 2 2 2 3 4 3" xfId="5613" xr:uid="{00000000-0005-0000-0000-000064170000}"/>
    <cellStyle name="Normal 5 2 2 2 3 4 3 2" xfId="14063" xr:uid="{60D11044-4E13-4DF1-BF7E-0A1E66A7D62C}"/>
    <cellStyle name="Normal 5 2 2 2 3 4 4" xfId="9845" xr:uid="{B098CB2F-26F1-4661-88EB-4D5D8742E96E}"/>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A00498FE-A5BF-4D37-86D3-FA3E44AE575F}"/>
    <cellStyle name="Normal 5 2 2 2 3 5 2 3" xfId="12403" xr:uid="{A5C7E6D2-164E-4366-8AAC-68B6F31E1E69}"/>
    <cellStyle name="Normal 5 2 2 2 3 5 3" xfId="6026" xr:uid="{00000000-0005-0000-0000-000068170000}"/>
    <cellStyle name="Normal 5 2 2 2 3 5 3 2" xfId="14476" xr:uid="{078C809D-B7AE-4D56-B81B-947BD2D395ED}"/>
    <cellStyle name="Normal 5 2 2 2 3 5 4" xfId="10258" xr:uid="{ED1E2192-9155-4F53-80FD-6216CC2E9067}"/>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485685A0-F74A-472E-ACED-FAF3983BC4F3}"/>
    <cellStyle name="Normal 5 2 2 2 3 6 2 3" xfId="12816" xr:uid="{FECBB3F2-0C08-4EDD-B114-C2067198D613}"/>
    <cellStyle name="Normal 5 2 2 2 3 6 3" xfId="6439" xr:uid="{00000000-0005-0000-0000-00006C170000}"/>
    <cellStyle name="Normal 5 2 2 2 3 6 3 2" xfId="14889" xr:uid="{EBAFBBB7-B84A-413E-9562-4B70968D3992}"/>
    <cellStyle name="Normal 5 2 2 2 3 6 4" xfId="10671" xr:uid="{FEEDB2CF-2A78-483A-85D0-55F4675CDB44}"/>
    <cellStyle name="Normal 5 2 2 2 3 7" xfId="2569" xr:uid="{00000000-0005-0000-0000-00006D170000}"/>
    <cellStyle name="Normal 5 2 2 2 3 7 2" xfId="6852" xr:uid="{00000000-0005-0000-0000-00006E170000}"/>
    <cellStyle name="Normal 5 2 2 2 3 7 2 2" xfId="15302" xr:uid="{D817CD01-5922-4550-A25C-025C3A04CACA}"/>
    <cellStyle name="Normal 5 2 2 2 3 7 3" xfId="11084" xr:uid="{C1A725E4-248A-47E4-99D3-8E0BAAC20140}"/>
    <cellStyle name="Normal 5 2 2 2 3 8" xfId="4787" xr:uid="{00000000-0005-0000-0000-00006F170000}"/>
    <cellStyle name="Normal 5 2 2 2 3 8 2" xfId="13237" xr:uid="{E8C44D6C-0F69-4611-898C-23E5A05CAE4D}"/>
    <cellStyle name="Normal 5 2 2 2 3 9" xfId="17459" xr:uid="{D032F1DA-78A2-4951-8A9D-BDC2521507AD}"/>
    <cellStyle name="Normal 5 2 2 2 4" xfId="416" xr:uid="{00000000-0005-0000-0000-000070170000}"/>
    <cellStyle name="Normal 5 2 2 2 4 10" xfId="19123" xr:uid="{AC126BDF-6BF1-408B-85BC-67FAB5E46C33}"/>
    <cellStyle name="Normal 5 2 2 2 4 11" xfId="9021" xr:uid="{FA0C6C43-9D8E-4E09-A46A-4642DA1F21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66057AD8-1D36-46F5-9925-530048634950}"/>
    <cellStyle name="Normal 5 2 2 2 4 2 2 3" xfId="11579" xr:uid="{72F734CC-BA8E-4750-A71D-02AD0D241ABF}"/>
    <cellStyle name="Normal 5 2 2 2 4 2 3" xfId="5202" xr:uid="{00000000-0005-0000-0000-000074170000}"/>
    <cellStyle name="Normal 5 2 2 2 4 2 3 2" xfId="13652" xr:uid="{9763BDF3-0031-4CB6-B881-56DFBB2EDB64}"/>
    <cellStyle name="Normal 5 2 2 2 4 2 4" xfId="17880" xr:uid="{1CA6C87F-CDB7-487A-9555-09CEA06ADDCC}"/>
    <cellStyle name="Normal 5 2 2 2 4 2 5" xfId="18710" xr:uid="{A39E2FC8-6679-478D-A4F1-C1B1928213A6}"/>
    <cellStyle name="Normal 5 2 2 2 4 2 6" xfId="19539" xr:uid="{6E4FE61A-86E8-4AB5-B902-76A501A6AF21}"/>
    <cellStyle name="Normal 5 2 2 2 4 2 7" xfId="9434" xr:uid="{4D377090-99E5-4E8A-9C96-8370013E68C3}"/>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EF4A8BAB-59B8-4C0F-A25A-5F1EAAAB8821}"/>
    <cellStyle name="Normal 5 2 2 2 4 3 2 3" xfId="11992" xr:uid="{6F0B192E-2C9D-4A20-9663-2EB6E0A8857C}"/>
    <cellStyle name="Normal 5 2 2 2 4 3 3" xfId="5615" xr:uid="{00000000-0005-0000-0000-000078170000}"/>
    <cellStyle name="Normal 5 2 2 2 4 3 3 2" xfId="14065" xr:uid="{C93366BA-8EE2-4AC4-9032-FA24194B1CE2}"/>
    <cellStyle name="Normal 5 2 2 2 4 3 4" xfId="9847" xr:uid="{E85997BB-6A57-49D2-A051-2A1B275B256A}"/>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6568F7D2-841A-4FFB-B928-D23833E7CCEF}"/>
    <cellStyle name="Normal 5 2 2 2 4 4 2 3" xfId="12405" xr:uid="{C526C089-D8FA-49F0-A0CD-E5DBB78A9333}"/>
    <cellStyle name="Normal 5 2 2 2 4 4 3" xfId="6028" xr:uid="{00000000-0005-0000-0000-00007C170000}"/>
    <cellStyle name="Normal 5 2 2 2 4 4 3 2" xfId="14478" xr:uid="{6D7BB130-7425-449A-80A0-7AC71D3F1F0C}"/>
    <cellStyle name="Normal 5 2 2 2 4 4 4" xfId="10260" xr:uid="{3DD8A140-1F72-4070-98E6-53D725F8649B}"/>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34584BD6-DFC1-4A62-8E5B-A3A5C289013E}"/>
    <cellStyle name="Normal 5 2 2 2 4 5 2 3" xfId="12818" xr:uid="{5CE01F4E-11C5-440C-A6C9-3A39237D8F7D}"/>
    <cellStyle name="Normal 5 2 2 2 4 5 3" xfId="6441" xr:uid="{00000000-0005-0000-0000-000080170000}"/>
    <cellStyle name="Normal 5 2 2 2 4 5 3 2" xfId="14891" xr:uid="{FACBBFB6-D930-4C92-9AF2-0D09E435489B}"/>
    <cellStyle name="Normal 5 2 2 2 4 5 4" xfId="10673" xr:uid="{D1484FC4-30C4-46BB-84EA-3BE3FD2E992A}"/>
    <cellStyle name="Normal 5 2 2 2 4 6" xfId="2571" xr:uid="{00000000-0005-0000-0000-000081170000}"/>
    <cellStyle name="Normal 5 2 2 2 4 6 2" xfId="6854" xr:uid="{00000000-0005-0000-0000-000082170000}"/>
    <cellStyle name="Normal 5 2 2 2 4 6 2 2" xfId="15304" xr:uid="{88707B54-D4F0-4B22-BAC0-844EED20C28D}"/>
    <cellStyle name="Normal 5 2 2 2 4 6 3" xfId="11086" xr:uid="{05BD5EA9-F96A-4E51-A9EA-6613D1FEF11F}"/>
    <cellStyle name="Normal 5 2 2 2 4 7" xfId="4789" xr:uid="{00000000-0005-0000-0000-000083170000}"/>
    <cellStyle name="Normal 5 2 2 2 4 7 2" xfId="13239" xr:uid="{BB5B97F8-C825-4F22-99F0-BA562B75D0F6}"/>
    <cellStyle name="Normal 5 2 2 2 4 8" xfId="17461" xr:uid="{C0A37904-3DE8-492B-829C-0F768C74437A}"/>
    <cellStyle name="Normal 5 2 2 2 4 9" xfId="18294" xr:uid="{048E22F2-BF68-4CCA-96AF-4436E798C021}"/>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D11265BF-2664-4AF9-BC12-8ABA21890BE6}"/>
    <cellStyle name="Normal 5 2 2 2 5 2 3" xfId="11572" xr:uid="{96B27FAE-0AB9-4D4F-8D5F-4A9D827946D8}"/>
    <cellStyle name="Normal 5 2 2 2 5 3" xfId="5195" xr:uid="{00000000-0005-0000-0000-000087170000}"/>
    <cellStyle name="Normal 5 2 2 2 5 3 2" xfId="13645" xr:uid="{27DBC180-86C7-4F6E-99D2-B967BE0340AE}"/>
    <cellStyle name="Normal 5 2 2 2 5 4" xfId="17873" xr:uid="{FD8ADA5C-5C91-4F49-A36A-FB2F24B5A7E3}"/>
    <cellStyle name="Normal 5 2 2 2 5 5" xfId="18703" xr:uid="{D36E3C38-1460-4D02-AFE1-5A2B1FE1EF4B}"/>
    <cellStyle name="Normal 5 2 2 2 5 6" xfId="19532" xr:uid="{1BFFF3D2-4BDA-4792-AE55-5946DC1CD24C}"/>
    <cellStyle name="Normal 5 2 2 2 5 7" xfId="9427" xr:uid="{E766F98C-E4DE-4D4B-AFBC-CAC660233AC6}"/>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1B3F3C40-D646-4240-8E52-88784512D6A8}"/>
    <cellStyle name="Normal 5 2 2 2 6 2 3" xfId="11985" xr:uid="{D8DDC18D-04AE-4C4B-87E2-B13C1D74311D}"/>
    <cellStyle name="Normal 5 2 2 2 6 3" xfId="5608" xr:uid="{00000000-0005-0000-0000-00008B170000}"/>
    <cellStyle name="Normal 5 2 2 2 6 3 2" xfId="14058" xr:uid="{B634618E-17B4-42BE-BAE2-6CC38412D029}"/>
    <cellStyle name="Normal 5 2 2 2 6 4" xfId="9840" xr:uid="{CC1AA4A7-B7BC-49A0-A265-587B0435AA9A}"/>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18F7FCE3-1065-4782-AF89-02631C78846D}"/>
    <cellStyle name="Normal 5 2 2 2 7 2 3" xfId="12398" xr:uid="{0E2FED03-DD69-492E-8A3E-5BEE8101DEF9}"/>
    <cellStyle name="Normal 5 2 2 2 7 3" xfId="6021" xr:uid="{00000000-0005-0000-0000-00008F170000}"/>
    <cellStyle name="Normal 5 2 2 2 7 3 2" xfId="14471" xr:uid="{BDEF4D76-3AFC-4737-A87E-E59C7D83DC10}"/>
    <cellStyle name="Normal 5 2 2 2 7 4" xfId="10253" xr:uid="{C52FE52B-8D01-4371-855C-BE2646B61776}"/>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13AA6A7E-DA52-4C9A-A497-AD85CC12FA04}"/>
    <cellStyle name="Normal 5 2 2 2 8 2 3" xfId="12811" xr:uid="{1F148FE0-0021-4851-9D06-2F7D87907BB0}"/>
    <cellStyle name="Normal 5 2 2 2 8 3" xfId="6434" xr:uid="{00000000-0005-0000-0000-000093170000}"/>
    <cellStyle name="Normal 5 2 2 2 8 3 2" xfId="14884" xr:uid="{77025FF4-E20A-4C66-8098-0EB8A7129EAB}"/>
    <cellStyle name="Normal 5 2 2 2 8 4" xfId="10666" xr:uid="{CA3A7231-D77A-4D62-84E5-341CD0297210}"/>
    <cellStyle name="Normal 5 2 2 2 9" xfId="2564" xr:uid="{00000000-0005-0000-0000-000094170000}"/>
    <cellStyle name="Normal 5 2 2 2 9 2" xfId="6847" xr:uid="{00000000-0005-0000-0000-000095170000}"/>
    <cellStyle name="Normal 5 2 2 2 9 2 2" xfId="15297" xr:uid="{FB1DCEFE-D186-40BA-9672-3708698D34F8}"/>
    <cellStyle name="Normal 5 2 2 2 9 3" xfId="11079" xr:uid="{C3CB2DC6-D182-460F-A86B-93217F8A6310}"/>
    <cellStyle name="Normal 5 2 2 3" xfId="417" xr:uid="{00000000-0005-0000-0000-000096170000}"/>
    <cellStyle name="Normal 5 2 2 3 10" xfId="17462" xr:uid="{ECB73A84-DF3E-4E85-AA99-111F164A6756}"/>
    <cellStyle name="Normal 5 2 2 3 11" xfId="18295" xr:uid="{58B588F0-2D41-4F18-98C3-5BF09665EAA0}"/>
    <cellStyle name="Normal 5 2 2 3 12" xfId="19124" xr:uid="{67308303-F8EB-41B9-965E-F38059D3E257}"/>
    <cellStyle name="Normal 5 2 2 3 13" xfId="9022" xr:uid="{1D03A3CF-376B-4E1C-A12E-5070CC214902}"/>
    <cellStyle name="Normal 5 2 2 3 2" xfId="418" xr:uid="{00000000-0005-0000-0000-000097170000}"/>
    <cellStyle name="Normal 5 2 2 3 2 10" xfId="18296" xr:uid="{2F85C484-70C4-450E-92BD-8477EC880C35}"/>
    <cellStyle name="Normal 5 2 2 3 2 11" xfId="19125" xr:uid="{5C9AF2E2-F28A-4272-822A-9215DF5CB4B8}"/>
    <cellStyle name="Normal 5 2 2 3 2 12" xfId="9023" xr:uid="{D3546745-B825-431E-AED8-4A0B66946699}"/>
    <cellStyle name="Normal 5 2 2 3 2 2" xfId="419" xr:uid="{00000000-0005-0000-0000-000098170000}"/>
    <cellStyle name="Normal 5 2 2 3 2 2 10" xfId="19126" xr:uid="{4C5046FE-B7AE-4C7F-BB15-9A272B419592}"/>
    <cellStyle name="Normal 5 2 2 3 2 2 11" xfId="9024" xr:uid="{F55414DF-17CC-4A8B-B6D4-B22BA780621E}"/>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868E0234-3796-4EE5-86EE-9677908D6171}"/>
    <cellStyle name="Normal 5 2 2 3 2 2 2 2 3" xfId="11582" xr:uid="{EC7571A5-31B4-4685-93BE-D70CB15263F0}"/>
    <cellStyle name="Normal 5 2 2 3 2 2 2 3" xfId="5205" xr:uid="{00000000-0005-0000-0000-00009C170000}"/>
    <cellStyle name="Normal 5 2 2 3 2 2 2 3 2" xfId="13655" xr:uid="{37AF3D40-6DE8-4D22-B0AA-E7D6D6972337}"/>
    <cellStyle name="Normal 5 2 2 3 2 2 2 4" xfId="17883" xr:uid="{20498883-A824-4F9C-B69A-C82946FC65E0}"/>
    <cellStyle name="Normal 5 2 2 3 2 2 2 5" xfId="18713" xr:uid="{F56DE49C-1340-4582-8D8B-7E972B74A42D}"/>
    <cellStyle name="Normal 5 2 2 3 2 2 2 6" xfId="19542" xr:uid="{D1212DB3-FE6B-4C13-8FAB-85977C2AC645}"/>
    <cellStyle name="Normal 5 2 2 3 2 2 2 7" xfId="9437" xr:uid="{DF4071BB-E11E-41C9-A08C-48616D0AA2BB}"/>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6028FFE3-B2A3-4F14-A595-22D3D0DB4C1B}"/>
    <cellStyle name="Normal 5 2 2 3 2 2 3 2 3" xfId="11995" xr:uid="{D2348239-64E4-4B78-98AC-925C15C8DC51}"/>
    <cellStyle name="Normal 5 2 2 3 2 2 3 3" xfId="5618" xr:uid="{00000000-0005-0000-0000-0000A0170000}"/>
    <cellStyle name="Normal 5 2 2 3 2 2 3 3 2" xfId="14068" xr:uid="{6D8287A5-33A3-40B1-808D-DB2D78CF0FA6}"/>
    <cellStyle name="Normal 5 2 2 3 2 2 3 4" xfId="9850" xr:uid="{6C28E2EA-DF0E-4F23-B7AE-19182DBF6045}"/>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1DB19B0A-44F6-45C7-85F9-292EFCBBF540}"/>
    <cellStyle name="Normal 5 2 2 3 2 2 4 2 3" xfId="12408" xr:uid="{1260EF54-089F-4F47-87A3-B1592AB0BE7C}"/>
    <cellStyle name="Normal 5 2 2 3 2 2 4 3" xfId="6031" xr:uid="{00000000-0005-0000-0000-0000A4170000}"/>
    <cellStyle name="Normal 5 2 2 3 2 2 4 3 2" xfId="14481" xr:uid="{2D80120C-F2A4-4C94-8E51-D8606C5FC008}"/>
    <cellStyle name="Normal 5 2 2 3 2 2 4 4" xfId="10263" xr:uid="{EA45F29A-9989-4DEE-98E9-5092C46FA626}"/>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EDC37479-F4E0-4AF1-930F-917A31309B49}"/>
    <cellStyle name="Normal 5 2 2 3 2 2 5 2 3" xfId="12821" xr:uid="{D591D640-EA1C-48AB-A340-426580B554C1}"/>
    <cellStyle name="Normal 5 2 2 3 2 2 5 3" xfId="6444" xr:uid="{00000000-0005-0000-0000-0000A8170000}"/>
    <cellStyle name="Normal 5 2 2 3 2 2 5 3 2" xfId="14894" xr:uid="{018A77FA-3695-4CB4-846B-C8738171C118}"/>
    <cellStyle name="Normal 5 2 2 3 2 2 5 4" xfId="10676" xr:uid="{C92B380A-4C8A-4A79-A6C5-BB4A2949543C}"/>
    <cellStyle name="Normal 5 2 2 3 2 2 6" xfId="2574" xr:uid="{00000000-0005-0000-0000-0000A9170000}"/>
    <cellStyle name="Normal 5 2 2 3 2 2 6 2" xfId="6857" xr:uid="{00000000-0005-0000-0000-0000AA170000}"/>
    <cellStyle name="Normal 5 2 2 3 2 2 6 2 2" xfId="15307" xr:uid="{25AA2B33-ED14-45E6-B400-DC9D232F2429}"/>
    <cellStyle name="Normal 5 2 2 3 2 2 6 3" xfId="11089" xr:uid="{7991DCCF-4992-4995-85BA-A50B6AFB9684}"/>
    <cellStyle name="Normal 5 2 2 3 2 2 7" xfId="4792" xr:uid="{00000000-0005-0000-0000-0000AB170000}"/>
    <cellStyle name="Normal 5 2 2 3 2 2 7 2" xfId="13242" xr:uid="{6547127A-692F-46C5-910D-F49D9F1F2550}"/>
    <cellStyle name="Normal 5 2 2 3 2 2 8" xfId="17464" xr:uid="{21363A18-771B-458D-A67F-EA717A68B7DA}"/>
    <cellStyle name="Normal 5 2 2 3 2 2 9" xfId="18297" xr:uid="{B74BF6B7-BE2F-41E2-B3E1-DA85D8C24E13}"/>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26EA39EB-3B1F-4300-898C-7BEB9493ED13}"/>
    <cellStyle name="Normal 5 2 2 3 2 3 2 3" xfId="11581" xr:uid="{E7461649-704A-4AB5-AA63-01723AD8815B}"/>
    <cellStyle name="Normal 5 2 2 3 2 3 3" xfId="5204" xr:uid="{00000000-0005-0000-0000-0000AF170000}"/>
    <cellStyle name="Normal 5 2 2 3 2 3 3 2" xfId="13654" xr:uid="{98D11CE2-0445-44C7-818E-BE470047ABEE}"/>
    <cellStyle name="Normal 5 2 2 3 2 3 4" xfId="17882" xr:uid="{31596E01-A8B5-4440-9C56-78D2CD33B364}"/>
    <cellStyle name="Normal 5 2 2 3 2 3 5" xfId="18712" xr:uid="{D6F55EA9-1C90-4E1A-8951-4A217248F78C}"/>
    <cellStyle name="Normal 5 2 2 3 2 3 6" xfId="19541" xr:uid="{1F21EACE-B599-43C9-8407-0D7E90E16685}"/>
    <cellStyle name="Normal 5 2 2 3 2 3 7" xfId="9436" xr:uid="{B15C47A2-1014-40BF-882C-CF3914E8FB03}"/>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B2AB282F-DEA4-4364-85D2-AF9AE6773CB5}"/>
    <cellStyle name="Normal 5 2 2 3 2 4 2 3" xfId="11994" xr:uid="{C5730F0C-5309-4C28-AFBB-E796A936E60A}"/>
    <cellStyle name="Normal 5 2 2 3 2 4 3" xfId="5617" xr:uid="{00000000-0005-0000-0000-0000B3170000}"/>
    <cellStyle name="Normal 5 2 2 3 2 4 3 2" xfId="14067" xr:uid="{F6FBA1CB-BD7F-4EE2-BC98-EC38A3A7523E}"/>
    <cellStyle name="Normal 5 2 2 3 2 4 4" xfId="9849" xr:uid="{1A15D75D-B5F9-44C3-9B4E-B558C289D69F}"/>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CFD293E7-2D8C-4F2F-A371-4448640156D0}"/>
    <cellStyle name="Normal 5 2 2 3 2 5 2 3" xfId="12407" xr:uid="{87AED3EC-4179-4700-A7BF-62B6BFA646A0}"/>
    <cellStyle name="Normal 5 2 2 3 2 5 3" xfId="6030" xr:uid="{00000000-0005-0000-0000-0000B7170000}"/>
    <cellStyle name="Normal 5 2 2 3 2 5 3 2" xfId="14480" xr:uid="{67F72CD8-F5EB-46FA-BF48-42030494B425}"/>
    <cellStyle name="Normal 5 2 2 3 2 5 4" xfId="10262" xr:uid="{7109184D-DE72-4DF8-AD6C-6F8218666153}"/>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6BB4317B-4BD9-460F-A02A-C957F850C6CB}"/>
    <cellStyle name="Normal 5 2 2 3 2 6 2 3" xfId="12820" xr:uid="{07CBBD76-D9E4-49B1-85F3-0B97BAAC7922}"/>
    <cellStyle name="Normal 5 2 2 3 2 6 3" xfId="6443" xr:uid="{00000000-0005-0000-0000-0000BB170000}"/>
    <cellStyle name="Normal 5 2 2 3 2 6 3 2" xfId="14893" xr:uid="{D65E9342-097F-42C5-9A20-F0352472D12F}"/>
    <cellStyle name="Normal 5 2 2 3 2 6 4" xfId="10675" xr:uid="{EC44F844-6847-4D37-83C5-BB0F7D9C190C}"/>
    <cellStyle name="Normal 5 2 2 3 2 7" xfId="2573" xr:uid="{00000000-0005-0000-0000-0000BC170000}"/>
    <cellStyle name="Normal 5 2 2 3 2 7 2" xfId="6856" xr:uid="{00000000-0005-0000-0000-0000BD170000}"/>
    <cellStyle name="Normal 5 2 2 3 2 7 2 2" xfId="15306" xr:uid="{0B030D8A-B3DD-4BE5-8406-079F6FFE5C19}"/>
    <cellStyle name="Normal 5 2 2 3 2 7 3" xfId="11088" xr:uid="{9797E9CD-48FF-4575-B0AD-A59B04F570AD}"/>
    <cellStyle name="Normal 5 2 2 3 2 8" xfId="4791" xr:uid="{00000000-0005-0000-0000-0000BE170000}"/>
    <cellStyle name="Normal 5 2 2 3 2 8 2" xfId="13241" xr:uid="{37406B8C-B4D8-4609-8DB8-BD1A7D8C32E7}"/>
    <cellStyle name="Normal 5 2 2 3 2 9" xfId="17463" xr:uid="{0463955D-233F-4B54-B363-71816202849F}"/>
    <cellStyle name="Normal 5 2 2 3 3" xfId="420" xr:uid="{00000000-0005-0000-0000-0000BF170000}"/>
    <cellStyle name="Normal 5 2 2 3 3 10" xfId="19127" xr:uid="{EBF7DCF3-B810-463B-93DA-3670FCBA09C1}"/>
    <cellStyle name="Normal 5 2 2 3 3 11" xfId="9025" xr:uid="{4ADD18E7-D34A-43D9-B637-CC25DF68FE25}"/>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3C85A577-6B9E-45FC-811C-73F12BE6890F}"/>
    <cellStyle name="Normal 5 2 2 3 3 2 2 3" xfId="11583" xr:uid="{DF4F3E39-2BD5-4BDE-8E92-3846685BA219}"/>
    <cellStyle name="Normal 5 2 2 3 3 2 3" xfId="5206" xr:uid="{00000000-0005-0000-0000-0000C3170000}"/>
    <cellStyle name="Normal 5 2 2 3 3 2 3 2" xfId="13656" xr:uid="{321A2DF6-F827-418F-846C-D3F7374F7270}"/>
    <cellStyle name="Normal 5 2 2 3 3 2 4" xfId="17884" xr:uid="{28D9C62F-A20D-46B1-A697-7082E50228D2}"/>
    <cellStyle name="Normal 5 2 2 3 3 2 5" xfId="18714" xr:uid="{3E42309A-4D56-4A95-B5A2-9AB0D109D0B0}"/>
    <cellStyle name="Normal 5 2 2 3 3 2 6" xfId="19543" xr:uid="{1013555A-982C-41B0-A35D-0F35FB6B72C0}"/>
    <cellStyle name="Normal 5 2 2 3 3 2 7" xfId="9438" xr:uid="{9A7A45F0-73BD-46A3-AC91-8ED7945881D1}"/>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F686258B-ADB3-4C5E-A300-F8217F857701}"/>
    <cellStyle name="Normal 5 2 2 3 3 3 2 3" xfId="11996" xr:uid="{A8402B92-BED1-4537-837B-C6F5F64ECC36}"/>
    <cellStyle name="Normal 5 2 2 3 3 3 3" xfId="5619" xr:uid="{00000000-0005-0000-0000-0000C7170000}"/>
    <cellStyle name="Normal 5 2 2 3 3 3 3 2" xfId="14069" xr:uid="{DB124546-7CF0-436E-8EE8-4EE55E90920B}"/>
    <cellStyle name="Normal 5 2 2 3 3 3 4" xfId="9851" xr:uid="{C0C2F8D7-0716-4B53-B2D7-E2CDCB3EAFAE}"/>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0F37F61B-0699-4614-B6F7-3A10C7F268A5}"/>
    <cellStyle name="Normal 5 2 2 3 3 4 2 3" xfId="12409" xr:uid="{F72FB98F-9782-403C-BB88-6B6AC846417C}"/>
    <cellStyle name="Normal 5 2 2 3 3 4 3" xfId="6032" xr:uid="{00000000-0005-0000-0000-0000CB170000}"/>
    <cellStyle name="Normal 5 2 2 3 3 4 3 2" xfId="14482" xr:uid="{49EA66B5-926F-48A2-BFF7-668E02A2AD40}"/>
    <cellStyle name="Normal 5 2 2 3 3 4 4" xfId="10264" xr:uid="{9266010F-7721-4356-BCF8-74CFF272DD44}"/>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96215B65-1489-414B-963F-C8E85BA2FAD3}"/>
    <cellStyle name="Normal 5 2 2 3 3 5 2 3" xfId="12822" xr:uid="{9B4C9FFE-AA86-4D8B-A2F0-1FE271BEBA2E}"/>
    <cellStyle name="Normal 5 2 2 3 3 5 3" xfId="6445" xr:uid="{00000000-0005-0000-0000-0000CF170000}"/>
    <cellStyle name="Normal 5 2 2 3 3 5 3 2" xfId="14895" xr:uid="{9E92B082-3646-498C-BFC4-6FDE639B1051}"/>
    <cellStyle name="Normal 5 2 2 3 3 5 4" xfId="10677" xr:uid="{1AE06779-99E4-4AB7-A50E-E3F8853603ED}"/>
    <cellStyle name="Normal 5 2 2 3 3 6" xfId="2575" xr:uid="{00000000-0005-0000-0000-0000D0170000}"/>
    <cellStyle name="Normal 5 2 2 3 3 6 2" xfId="6858" xr:uid="{00000000-0005-0000-0000-0000D1170000}"/>
    <cellStyle name="Normal 5 2 2 3 3 6 2 2" xfId="15308" xr:uid="{834C2DB5-3AC9-4E5E-A19A-20BE155C2B8B}"/>
    <cellStyle name="Normal 5 2 2 3 3 6 3" xfId="11090" xr:uid="{6829E2EC-08AD-4F4E-BDEE-2FFD601CCD36}"/>
    <cellStyle name="Normal 5 2 2 3 3 7" xfId="4793" xr:uid="{00000000-0005-0000-0000-0000D2170000}"/>
    <cellStyle name="Normal 5 2 2 3 3 7 2" xfId="13243" xr:uid="{D0806560-23C3-4899-8FC1-6552AEE07CB8}"/>
    <cellStyle name="Normal 5 2 2 3 3 8" xfId="17465" xr:uid="{CD3959E7-4C92-41FE-9BDC-59A65D16CD65}"/>
    <cellStyle name="Normal 5 2 2 3 3 9" xfId="18298" xr:uid="{01EC885A-D1F6-4FA5-AB9A-295CFA354F9E}"/>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0BD28111-26B8-4328-AA89-EC2793176992}"/>
    <cellStyle name="Normal 5 2 2 3 4 2 3" xfId="11580" xr:uid="{B8D08FF3-C83B-49ED-AF07-48FF42AD9989}"/>
    <cellStyle name="Normal 5 2 2 3 4 3" xfId="5203" xr:uid="{00000000-0005-0000-0000-0000D6170000}"/>
    <cellStyle name="Normal 5 2 2 3 4 3 2" xfId="13653" xr:uid="{BF51F947-8AD1-4C2D-8F2A-6A9A9A2BF044}"/>
    <cellStyle name="Normal 5 2 2 3 4 4" xfId="17881" xr:uid="{1A147FCC-BDFA-406D-AC6C-C5BABC02C987}"/>
    <cellStyle name="Normal 5 2 2 3 4 5" xfId="18711" xr:uid="{E41FD7EC-FE12-4D12-9085-796B050FB24D}"/>
    <cellStyle name="Normal 5 2 2 3 4 6" xfId="19540" xr:uid="{3061A3F1-C9B2-4CFE-A4A3-FE010044EDEF}"/>
    <cellStyle name="Normal 5 2 2 3 4 7" xfId="9435" xr:uid="{E724B228-F0D3-4038-804F-61A2B34E6413}"/>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43180AA4-99FA-466F-BB93-EBB3CFB35170}"/>
    <cellStyle name="Normal 5 2 2 3 5 2 3" xfId="11993" xr:uid="{169EFA08-C233-4A4E-8BE7-7730E3EEBA0D}"/>
    <cellStyle name="Normal 5 2 2 3 5 3" xfId="5616" xr:uid="{00000000-0005-0000-0000-0000DA170000}"/>
    <cellStyle name="Normal 5 2 2 3 5 3 2" xfId="14066" xr:uid="{2AFFCDF2-9417-464B-B248-7F2F54A5C8EB}"/>
    <cellStyle name="Normal 5 2 2 3 5 4" xfId="9848" xr:uid="{41C0EACF-8151-468C-9E55-A08EDC90A439}"/>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8E7D4F61-032D-4F95-978A-1FD9E5A0C8EA}"/>
    <cellStyle name="Normal 5 2 2 3 6 2 3" xfId="12406" xr:uid="{75141955-199E-4472-8F8A-0CD9B95878D2}"/>
    <cellStyle name="Normal 5 2 2 3 6 3" xfId="6029" xr:uid="{00000000-0005-0000-0000-0000DE170000}"/>
    <cellStyle name="Normal 5 2 2 3 6 3 2" xfId="14479" xr:uid="{C24432EC-274C-4782-BD0E-E6CB54F04D89}"/>
    <cellStyle name="Normal 5 2 2 3 6 4" xfId="10261" xr:uid="{08CEC311-69C2-4D25-A3D8-AB4EAFE00A66}"/>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A8A5CC5A-F83F-4F0B-B68B-6D22BE48B5AC}"/>
    <cellStyle name="Normal 5 2 2 3 7 2 3" xfId="12819" xr:uid="{A6237D06-D786-44A6-9487-B50B860762F8}"/>
    <cellStyle name="Normal 5 2 2 3 7 3" xfId="6442" xr:uid="{00000000-0005-0000-0000-0000E2170000}"/>
    <cellStyle name="Normal 5 2 2 3 7 3 2" xfId="14892" xr:uid="{D7646A84-FFFE-4223-897A-888DD0719A84}"/>
    <cellStyle name="Normal 5 2 2 3 7 4" xfId="10674" xr:uid="{08B7F7A5-289C-4E20-B620-B004F1AE6016}"/>
    <cellStyle name="Normal 5 2 2 3 8" xfId="2572" xr:uid="{00000000-0005-0000-0000-0000E3170000}"/>
    <cellStyle name="Normal 5 2 2 3 8 2" xfId="6855" xr:uid="{00000000-0005-0000-0000-0000E4170000}"/>
    <cellStyle name="Normal 5 2 2 3 8 2 2" xfId="15305" xr:uid="{AF2B8C7E-2770-414A-9449-E436A59B1288}"/>
    <cellStyle name="Normal 5 2 2 3 8 3" xfId="11087" xr:uid="{9538C8A2-F830-48DD-99A1-46ABBB783129}"/>
    <cellStyle name="Normal 5 2 2 3 9" xfId="4790" xr:uid="{00000000-0005-0000-0000-0000E5170000}"/>
    <cellStyle name="Normal 5 2 2 3 9 2" xfId="13240" xr:uid="{13949060-F0F2-4224-9625-59CB3404ECFC}"/>
    <cellStyle name="Normal 5 2 2 4" xfId="421" xr:uid="{00000000-0005-0000-0000-0000E6170000}"/>
    <cellStyle name="Normal 5 2 2 4 10" xfId="18299" xr:uid="{9A36C512-FE21-4D0B-8046-147E06A127B3}"/>
    <cellStyle name="Normal 5 2 2 4 11" xfId="19128" xr:uid="{C332B9A0-9289-459A-8EFB-77DAD50F96C5}"/>
    <cellStyle name="Normal 5 2 2 4 12" xfId="9026" xr:uid="{62A98FB4-C412-48DB-97B9-426161233311}"/>
    <cellStyle name="Normal 5 2 2 4 2" xfId="422" xr:uid="{00000000-0005-0000-0000-0000E7170000}"/>
    <cellStyle name="Normal 5 2 2 4 2 10" xfId="19129" xr:uid="{85CAE0F9-EF66-45BE-B477-C3882A7EC3BC}"/>
    <cellStyle name="Normal 5 2 2 4 2 11" xfId="9027" xr:uid="{1C47E0DF-0B46-4466-90B6-292B318F79B5}"/>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D30DA2DD-CC8A-4931-A6C7-18CA199DE6B7}"/>
    <cellStyle name="Normal 5 2 2 4 2 2 2 3" xfId="11585" xr:uid="{DD73E471-EFB0-4BB4-9972-6DEA222D6599}"/>
    <cellStyle name="Normal 5 2 2 4 2 2 3" xfId="5208" xr:uid="{00000000-0005-0000-0000-0000EB170000}"/>
    <cellStyle name="Normal 5 2 2 4 2 2 3 2" xfId="13658" xr:uid="{6650D3D6-B54B-447D-AD68-7BC2F86CD837}"/>
    <cellStyle name="Normal 5 2 2 4 2 2 4" xfId="17886" xr:uid="{837B1F37-ED00-4C0D-AC0B-4F32A7666354}"/>
    <cellStyle name="Normal 5 2 2 4 2 2 5" xfId="18716" xr:uid="{C09FF752-46AB-4BF1-B256-4FB465D054E1}"/>
    <cellStyle name="Normal 5 2 2 4 2 2 6" xfId="19545" xr:uid="{80AECA51-94E1-4FDB-8571-ADA247FE2722}"/>
    <cellStyle name="Normal 5 2 2 4 2 2 7" xfId="9440" xr:uid="{C73E5986-0D42-480B-8A2D-1A796F5E47F5}"/>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29A57D60-786F-4E8E-A943-3EC7AEC161BC}"/>
    <cellStyle name="Normal 5 2 2 4 2 3 2 3" xfId="11998" xr:uid="{56B47CB2-06AC-4FC6-8B98-19CDBD725F7C}"/>
    <cellStyle name="Normal 5 2 2 4 2 3 3" xfId="5621" xr:uid="{00000000-0005-0000-0000-0000EF170000}"/>
    <cellStyle name="Normal 5 2 2 4 2 3 3 2" xfId="14071" xr:uid="{58D4FCD5-0983-42B7-8125-DDF1AA46CB9D}"/>
    <cellStyle name="Normal 5 2 2 4 2 3 4" xfId="9853" xr:uid="{10BAFD78-FD98-4D46-A314-E3B44A9A1B2A}"/>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2E0020E8-14A0-4B66-9800-15119D8D3B47}"/>
    <cellStyle name="Normal 5 2 2 4 2 4 2 3" xfId="12411" xr:uid="{6335DB09-5089-455E-BB68-7864F4A5D42F}"/>
    <cellStyle name="Normal 5 2 2 4 2 4 3" xfId="6034" xr:uid="{00000000-0005-0000-0000-0000F3170000}"/>
    <cellStyle name="Normal 5 2 2 4 2 4 3 2" xfId="14484" xr:uid="{73FAA345-9325-4EAA-8F9E-6C2EAB1F0F7D}"/>
    <cellStyle name="Normal 5 2 2 4 2 4 4" xfId="10266" xr:uid="{2ACE2496-4047-4FEF-8ED9-54C6EA94344A}"/>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978C99B3-5ECB-446C-9DF7-A7A5FFE5811F}"/>
    <cellStyle name="Normal 5 2 2 4 2 5 2 3" xfId="12824" xr:uid="{A54964B4-40AF-4ABD-AC40-A1634D49E2D3}"/>
    <cellStyle name="Normal 5 2 2 4 2 5 3" xfId="6447" xr:uid="{00000000-0005-0000-0000-0000F7170000}"/>
    <cellStyle name="Normal 5 2 2 4 2 5 3 2" xfId="14897" xr:uid="{72EE5FB2-89B7-4A10-ADE0-9A645F4C7631}"/>
    <cellStyle name="Normal 5 2 2 4 2 5 4" xfId="10679" xr:uid="{49432F92-6F04-4D68-BDBF-FABC706D01E3}"/>
    <cellStyle name="Normal 5 2 2 4 2 6" xfId="2577" xr:uid="{00000000-0005-0000-0000-0000F8170000}"/>
    <cellStyle name="Normal 5 2 2 4 2 6 2" xfId="6860" xr:uid="{00000000-0005-0000-0000-0000F9170000}"/>
    <cellStyle name="Normal 5 2 2 4 2 6 2 2" xfId="15310" xr:uid="{A637CA31-D54B-4CDA-9FE4-3CAADB3B6483}"/>
    <cellStyle name="Normal 5 2 2 4 2 6 3" xfId="11092" xr:uid="{FCDD05D5-76D8-419D-9A3F-E28482EED6B6}"/>
    <cellStyle name="Normal 5 2 2 4 2 7" xfId="4795" xr:uid="{00000000-0005-0000-0000-0000FA170000}"/>
    <cellStyle name="Normal 5 2 2 4 2 7 2" xfId="13245" xr:uid="{627677F0-23E5-44D0-829E-6F10042B7526}"/>
    <cellStyle name="Normal 5 2 2 4 2 8" xfId="17467" xr:uid="{E3434FB6-026E-40C2-92F5-7565541A7ECA}"/>
    <cellStyle name="Normal 5 2 2 4 2 9" xfId="18300" xr:uid="{A7C8DB5B-E13D-4564-9615-FE580BC60031}"/>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3CCBF13A-0C5E-47C6-9A63-41DA8AE29DB2}"/>
    <cellStyle name="Normal 5 2 2 4 3 2 3" xfId="11584" xr:uid="{3A50B1CF-651E-48BA-BA2D-AA3C806A2DC3}"/>
    <cellStyle name="Normal 5 2 2 4 3 3" xfId="5207" xr:uid="{00000000-0005-0000-0000-0000FE170000}"/>
    <cellStyle name="Normal 5 2 2 4 3 3 2" xfId="13657" xr:uid="{8FB775C3-983C-4914-AD61-8E5FDD75E404}"/>
    <cellStyle name="Normal 5 2 2 4 3 4" xfId="17885" xr:uid="{BEF35565-FCE5-44F6-897C-12B3F3768805}"/>
    <cellStyle name="Normal 5 2 2 4 3 5" xfId="18715" xr:uid="{0E80A239-64A1-4026-9CAD-6C331FABECE3}"/>
    <cellStyle name="Normal 5 2 2 4 3 6" xfId="19544" xr:uid="{F4951F35-4759-4942-BFF1-7EEA18EA9241}"/>
    <cellStyle name="Normal 5 2 2 4 3 7" xfId="9439" xr:uid="{0AD957B6-6204-4F35-950C-153348B754A9}"/>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AA772894-2692-4223-98AD-C1303DA632ED}"/>
    <cellStyle name="Normal 5 2 2 4 4 2 3" xfId="11997" xr:uid="{5390B5AA-6D74-4A76-9C91-90B485CD8BAC}"/>
    <cellStyle name="Normal 5 2 2 4 4 3" xfId="5620" xr:uid="{00000000-0005-0000-0000-000002180000}"/>
    <cellStyle name="Normal 5 2 2 4 4 3 2" xfId="14070" xr:uid="{172F1B59-2164-4C4D-8913-50008F17C129}"/>
    <cellStyle name="Normal 5 2 2 4 4 4" xfId="9852" xr:uid="{33844D74-1E1F-49A6-A4D8-8A15E11BE462}"/>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CBF36380-9524-48EA-B8FE-1CDFC0D31150}"/>
    <cellStyle name="Normal 5 2 2 4 5 2 3" xfId="12410" xr:uid="{EDF87B4B-3F66-4D87-992D-6E292E35186E}"/>
    <cellStyle name="Normal 5 2 2 4 5 3" xfId="6033" xr:uid="{00000000-0005-0000-0000-000006180000}"/>
    <cellStyle name="Normal 5 2 2 4 5 3 2" xfId="14483" xr:uid="{64B71470-0B1D-4760-82E5-FA26D90365C1}"/>
    <cellStyle name="Normal 5 2 2 4 5 4" xfId="10265" xr:uid="{FADB7CE6-5CA4-44F3-8795-3AE86E469D5F}"/>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00C1B706-1697-45F4-8B46-926F30F85F92}"/>
    <cellStyle name="Normal 5 2 2 4 6 2 3" xfId="12823" xr:uid="{06ADAE55-0E55-48EA-AFEA-F80785313240}"/>
    <cellStyle name="Normal 5 2 2 4 6 3" xfId="6446" xr:uid="{00000000-0005-0000-0000-00000A180000}"/>
    <cellStyle name="Normal 5 2 2 4 6 3 2" xfId="14896" xr:uid="{E4063FE0-51A3-45DC-9C1F-525B04C6A64B}"/>
    <cellStyle name="Normal 5 2 2 4 6 4" xfId="10678" xr:uid="{DB7E3D98-B021-4156-AAD6-6180CC7D16BA}"/>
    <cellStyle name="Normal 5 2 2 4 7" xfId="2576" xr:uid="{00000000-0005-0000-0000-00000B180000}"/>
    <cellStyle name="Normal 5 2 2 4 7 2" xfId="6859" xr:uid="{00000000-0005-0000-0000-00000C180000}"/>
    <cellStyle name="Normal 5 2 2 4 7 2 2" xfId="15309" xr:uid="{A810ABC6-85A8-4713-AA6C-775B660E863E}"/>
    <cellStyle name="Normal 5 2 2 4 7 3" xfId="11091" xr:uid="{C9663060-7A65-48E0-BBBD-5694A700C196}"/>
    <cellStyle name="Normal 5 2 2 4 8" xfId="4794" xr:uid="{00000000-0005-0000-0000-00000D180000}"/>
    <cellStyle name="Normal 5 2 2 4 8 2" xfId="13244" xr:uid="{2A295126-32D6-486D-ADFB-9C8B05558E57}"/>
    <cellStyle name="Normal 5 2 2 4 9" xfId="17466" xr:uid="{06E82DF2-332C-4815-A829-1ADBB530D1DE}"/>
    <cellStyle name="Normal 5 2 2 5" xfId="423" xr:uid="{00000000-0005-0000-0000-00000E180000}"/>
    <cellStyle name="Normal 5 2 2 5 10" xfId="19130" xr:uid="{50E37EFD-67DA-4E3A-8791-7CCF10B08F50}"/>
    <cellStyle name="Normal 5 2 2 5 11" xfId="9028" xr:uid="{B814A983-8261-42DA-BA52-46817101F75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A7EE4E43-02DB-45FB-BCAD-B15B580F51CF}"/>
    <cellStyle name="Normal 5 2 2 5 2 2 3" xfId="11586" xr:uid="{ECE9D4E4-B108-4806-B5EF-C6F5D38430BE}"/>
    <cellStyle name="Normal 5 2 2 5 2 3" xfId="5209" xr:uid="{00000000-0005-0000-0000-000012180000}"/>
    <cellStyle name="Normal 5 2 2 5 2 3 2" xfId="13659" xr:uid="{8BDF6D02-5411-4671-8531-E696675C3EB2}"/>
    <cellStyle name="Normal 5 2 2 5 2 4" xfId="17887" xr:uid="{7B593E8D-6BC2-4173-8ECE-3E83E5E957BF}"/>
    <cellStyle name="Normal 5 2 2 5 2 5" xfId="18717" xr:uid="{652B9A61-A046-4308-BA4F-F4F2C8C8B11C}"/>
    <cellStyle name="Normal 5 2 2 5 2 6" xfId="19546" xr:uid="{C42F97B1-1489-478C-A94B-5512533078D2}"/>
    <cellStyle name="Normal 5 2 2 5 2 7" xfId="9441" xr:uid="{0042F3F2-05E8-4A67-AB95-698659D50AFD}"/>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7EA57739-5884-49AB-962D-87D8C9FCD1FD}"/>
    <cellStyle name="Normal 5 2 2 5 3 2 3" xfId="11999" xr:uid="{761B0398-D01F-415E-8E85-D194C7F0F720}"/>
    <cellStyle name="Normal 5 2 2 5 3 3" xfId="5622" xr:uid="{00000000-0005-0000-0000-000016180000}"/>
    <cellStyle name="Normal 5 2 2 5 3 3 2" xfId="14072" xr:uid="{DD8AB0FB-A304-4BB4-BB4A-ED8D4F17F6F9}"/>
    <cellStyle name="Normal 5 2 2 5 3 4" xfId="9854" xr:uid="{CA23DFDF-C954-4F64-8E5B-2BA381D4EC75}"/>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50C71368-D37A-41BE-AF10-A3D148682C0C}"/>
    <cellStyle name="Normal 5 2 2 5 4 2 3" xfId="12412" xr:uid="{416EF988-6CDB-4C9D-8F41-C9DF2BE6AA07}"/>
    <cellStyle name="Normal 5 2 2 5 4 3" xfId="6035" xr:uid="{00000000-0005-0000-0000-00001A180000}"/>
    <cellStyle name="Normal 5 2 2 5 4 3 2" xfId="14485" xr:uid="{4A5B61F1-25AD-4E54-9776-D9C72A282370}"/>
    <cellStyle name="Normal 5 2 2 5 4 4" xfId="10267" xr:uid="{8ADA2BA0-BAFB-4468-9797-AA6704279F1F}"/>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529D98C4-BEB3-4583-A065-2CE1EEEEB075}"/>
    <cellStyle name="Normal 5 2 2 5 5 2 3" xfId="12825" xr:uid="{D4DB3A40-225F-4977-AB3E-61553B856ECB}"/>
    <cellStyle name="Normal 5 2 2 5 5 3" xfId="6448" xr:uid="{00000000-0005-0000-0000-00001E180000}"/>
    <cellStyle name="Normal 5 2 2 5 5 3 2" xfId="14898" xr:uid="{9EC0391B-2937-4397-9589-F4111E3AF4E0}"/>
    <cellStyle name="Normal 5 2 2 5 5 4" xfId="10680" xr:uid="{73831323-B885-49E7-89A0-37287D2B9F4E}"/>
    <cellStyle name="Normal 5 2 2 5 6" xfId="2578" xr:uid="{00000000-0005-0000-0000-00001F180000}"/>
    <cellStyle name="Normal 5 2 2 5 6 2" xfId="6861" xr:uid="{00000000-0005-0000-0000-000020180000}"/>
    <cellStyle name="Normal 5 2 2 5 6 2 2" xfId="15311" xr:uid="{A68CD0D0-7B88-4AAE-9D7D-5DCA299ADCD2}"/>
    <cellStyle name="Normal 5 2 2 5 6 3" xfId="11093" xr:uid="{48FE89A9-9642-4BDB-AE84-B227D34122D5}"/>
    <cellStyle name="Normal 5 2 2 5 7" xfId="4796" xr:uid="{00000000-0005-0000-0000-000021180000}"/>
    <cellStyle name="Normal 5 2 2 5 7 2" xfId="13246" xr:uid="{51F72AF5-6405-4BD8-BAAB-CC939DE1F437}"/>
    <cellStyle name="Normal 5 2 2 5 8" xfId="17468" xr:uid="{BB30B200-1BA1-491F-BDBA-A95D4ADDD6D8}"/>
    <cellStyle name="Normal 5 2 2 5 9" xfId="18301" xr:uid="{4A45FCD8-3980-40F3-A9CA-33D4E4DC0F4B}"/>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CAA72CB9-22CF-4432-AB35-B00DCA9D935D}"/>
    <cellStyle name="Normal 5 2 2 6 2 3" xfId="11571" xr:uid="{89F7BC86-673A-4F85-88CD-ED24E30BD814}"/>
    <cellStyle name="Normal 5 2 2 6 3" xfId="5194" xr:uid="{00000000-0005-0000-0000-000025180000}"/>
    <cellStyle name="Normal 5 2 2 6 3 2" xfId="13644" xr:uid="{869DF44A-7494-4AC6-9BC8-A329C1E9F179}"/>
    <cellStyle name="Normal 5 2 2 6 4" xfId="17872" xr:uid="{9114CD91-7390-45C1-9CBE-0BA0D03CB0BC}"/>
    <cellStyle name="Normal 5 2 2 6 5" xfId="18702" xr:uid="{F4359B4A-E48D-4474-A6BF-A1252DACAD18}"/>
    <cellStyle name="Normal 5 2 2 6 6" xfId="19531" xr:uid="{475E4356-750F-4EF4-8F89-792C59BCE315}"/>
    <cellStyle name="Normal 5 2 2 6 7" xfId="9426" xr:uid="{5AF85D96-8EE1-4BC4-9E1A-C0123D5C4C76}"/>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4B8F140E-1351-4A06-8479-917F9FE810A4}"/>
    <cellStyle name="Normal 5 2 2 7 2 3" xfId="11984" xr:uid="{079A67B4-4F6A-4AD2-BF81-B35ADB733C4B}"/>
    <cellStyle name="Normal 5 2 2 7 3" xfId="5607" xr:uid="{00000000-0005-0000-0000-000029180000}"/>
    <cellStyle name="Normal 5 2 2 7 3 2" xfId="14057" xr:uid="{7921FE37-E85C-4CAB-92BB-70D20DF3836F}"/>
    <cellStyle name="Normal 5 2 2 7 4" xfId="9839" xr:uid="{D64D4AB5-62B5-429C-8D7E-0214B9A26F55}"/>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C33EF335-7839-4A1B-80B7-669C06BC4113}"/>
    <cellStyle name="Normal 5 2 2 8 2 3" xfId="12397" xr:uid="{523B6DE0-50F1-470B-BA8F-67EAF0CC37F9}"/>
    <cellStyle name="Normal 5 2 2 8 3" xfId="6020" xr:uid="{00000000-0005-0000-0000-00002D180000}"/>
    <cellStyle name="Normal 5 2 2 8 3 2" xfId="14470" xr:uid="{9DFB34F7-4AAF-4606-BCB2-9EDB8F6C1135}"/>
    <cellStyle name="Normal 5 2 2 8 4" xfId="10252" xr:uid="{3B6EA6E4-AE6E-448F-B309-956086C1B8D8}"/>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F7479FC6-10D7-4821-9FF8-E97BE630B0EE}"/>
    <cellStyle name="Normal 5 2 2 9 2 3" xfId="12810" xr:uid="{02B4C5C8-E4B4-4503-8BAC-9DB9565E8974}"/>
    <cellStyle name="Normal 5 2 2 9 3" xfId="6433" xr:uid="{00000000-0005-0000-0000-000031180000}"/>
    <cellStyle name="Normal 5 2 2 9 3 2" xfId="14883" xr:uid="{5AA2F9A0-055F-4A13-8330-9FEEBB6934E4}"/>
    <cellStyle name="Normal 5 2 2 9 4" xfId="10665" xr:uid="{8C234AA2-1B01-4F68-90AB-C330277546D1}"/>
    <cellStyle name="Normal 5 2 3" xfId="424" xr:uid="{00000000-0005-0000-0000-000032180000}"/>
    <cellStyle name="Normal 5 2 3 10" xfId="4797" xr:uid="{00000000-0005-0000-0000-000033180000}"/>
    <cellStyle name="Normal 5 2 3 10 2" xfId="13247" xr:uid="{FFB4B8AE-076A-489A-B274-18534D58BCCA}"/>
    <cellStyle name="Normal 5 2 3 11" xfId="17469" xr:uid="{1B5A7A40-A6B9-4CB0-8D64-2D3F22E069EB}"/>
    <cellStyle name="Normal 5 2 3 12" xfId="18302" xr:uid="{111A6E53-C167-40F6-A50A-2FAA524A9F66}"/>
    <cellStyle name="Normal 5 2 3 13" xfId="19131" xr:uid="{29A1A3D9-DCE2-4FF8-A040-9A9896F98019}"/>
    <cellStyle name="Normal 5 2 3 14" xfId="9029" xr:uid="{EDFF740C-48B6-4E49-B5E8-4C6F104EFF25}"/>
    <cellStyle name="Normal 5 2 3 2" xfId="425" xr:uid="{00000000-0005-0000-0000-000034180000}"/>
    <cellStyle name="Normal 5 2 3 2 10" xfId="17470" xr:uid="{4A2233F9-7955-4631-B977-F6B0AE423679}"/>
    <cellStyle name="Normal 5 2 3 2 11" xfId="18303" xr:uid="{AC1EC523-9AE4-4C13-BC02-E80BA32D506C}"/>
    <cellStyle name="Normal 5 2 3 2 12" xfId="19132" xr:uid="{E936901A-7C5C-4513-B663-6B76F69759FB}"/>
    <cellStyle name="Normal 5 2 3 2 13" xfId="9030" xr:uid="{13A1C067-0917-4F98-9BE4-F07B06810147}"/>
    <cellStyle name="Normal 5 2 3 2 2" xfId="426" xr:uid="{00000000-0005-0000-0000-000035180000}"/>
    <cellStyle name="Normal 5 2 3 2 2 10" xfId="18304" xr:uid="{1204BD2E-DF61-4324-81FE-B24BA28F3AA7}"/>
    <cellStyle name="Normal 5 2 3 2 2 11" xfId="19133" xr:uid="{BDFABA05-CCB3-4517-A048-FCAB7C235844}"/>
    <cellStyle name="Normal 5 2 3 2 2 12" xfId="9031" xr:uid="{D77949F4-3817-465D-9D6C-66A7C8C2E39E}"/>
    <cellStyle name="Normal 5 2 3 2 2 2" xfId="427" xr:uid="{00000000-0005-0000-0000-000036180000}"/>
    <cellStyle name="Normal 5 2 3 2 2 2 10" xfId="19134" xr:uid="{29E7117A-878C-489D-8F0D-381D2E29D38D}"/>
    <cellStyle name="Normal 5 2 3 2 2 2 11" xfId="9032" xr:uid="{C5DA1E7C-9032-4D85-9E45-F1F658EAFB81}"/>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07B2BC00-2156-43C1-A841-03C0424B8CED}"/>
    <cellStyle name="Normal 5 2 3 2 2 2 2 2 3" xfId="11590" xr:uid="{79DE18EC-4F87-47FA-A0AE-1ABAB5C670F9}"/>
    <cellStyle name="Normal 5 2 3 2 2 2 2 3" xfId="5213" xr:uid="{00000000-0005-0000-0000-00003A180000}"/>
    <cellStyle name="Normal 5 2 3 2 2 2 2 3 2" xfId="13663" xr:uid="{F6063FBE-9F8B-486A-9002-B5844F7934EB}"/>
    <cellStyle name="Normal 5 2 3 2 2 2 2 4" xfId="17891" xr:uid="{ABEFB5C4-1E9A-4177-970A-9F7F95B6E337}"/>
    <cellStyle name="Normal 5 2 3 2 2 2 2 5" xfId="18721" xr:uid="{4410D0DD-E2CD-407E-A239-2D8182B0EC3A}"/>
    <cellStyle name="Normal 5 2 3 2 2 2 2 6" xfId="19550" xr:uid="{DA7C66DA-52A1-42CE-84CD-FEFD3435BF0D}"/>
    <cellStyle name="Normal 5 2 3 2 2 2 2 7" xfId="9445" xr:uid="{70E8D9ED-24CE-4C09-9E32-E6F559C344C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8B16ED74-A5C1-4F65-8557-A6B04EFF7816}"/>
    <cellStyle name="Normal 5 2 3 2 2 2 3 2 3" xfId="12003" xr:uid="{E8179735-AEA3-44EC-80F1-221B1BC0792F}"/>
    <cellStyle name="Normal 5 2 3 2 2 2 3 3" xfId="5626" xr:uid="{00000000-0005-0000-0000-00003E180000}"/>
    <cellStyle name="Normal 5 2 3 2 2 2 3 3 2" xfId="14076" xr:uid="{F033BFDB-6AFC-441D-BC08-04DF89C942B7}"/>
    <cellStyle name="Normal 5 2 3 2 2 2 3 4" xfId="9858" xr:uid="{B1C6D3D4-EE19-4EC4-8A7B-FABB1520A2C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7286DEB1-A3E8-4AAE-BE02-5959FF7128DA}"/>
    <cellStyle name="Normal 5 2 3 2 2 2 4 2 3" xfId="12416" xr:uid="{8FEF868C-020B-407A-945B-44AFF8A04DDC}"/>
    <cellStyle name="Normal 5 2 3 2 2 2 4 3" xfId="6039" xr:uid="{00000000-0005-0000-0000-000042180000}"/>
    <cellStyle name="Normal 5 2 3 2 2 2 4 3 2" xfId="14489" xr:uid="{B79A0252-8572-4751-BC1C-4231F8CEDF50}"/>
    <cellStyle name="Normal 5 2 3 2 2 2 4 4" xfId="10271" xr:uid="{79437021-8098-4DDB-BEEC-ACF330817AA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98AB999E-8F8D-47AC-B5E6-0AC9B071688D}"/>
    <cellStyle name="Normal 5 2 3 2 2 2 5 2 3" xfId="12829" xr:uid="{E7B2C003-DAC1-4B16-AEAD-555D6E4F8ADA}"/>
    <cellStyle name="Normal 5 2 3 2 2 2 5 3" xfId="6452" xr:uid="{00000000-0005-0000-0000-000046180000}"/>
    <cellStyle name="Normal 5 2 3 2 2 2 5 3 2" xfId="14902" xr:uid="{DD5A65F8-91B0-42C2-820F-DF0EC327AC26}"/>
    <cellStyle name="Normal 5 2 3 2 2 2 5 4" xfId="10684" xr:uid="{F6768E36-0EF3-42DB-805C-608DFD5255B7}"/>
    <cellStyle name="Normal 5 2 3 2 2 2 6" xfId="2582" xr:uid="{00000000-0005-0000-0000-000047180000}"/>
    <cellStyle name="Normal 5 2 3 2 2 2 6 2" xfId="6865" xr:uid="{00000000-0005-0000-0000-000048180000}"/>
    <cellStyle name="Normal 5 2 3 2 2 2 6 2 2" xfId="15315" xr:uid="{F4D86801-F184-42C6-87A4-BC70FA937685}"/>
    <cellStyle name="Normal 5 2 3 2 2 2 6 3" xfId="11097" xr:uid="{B183B316-EF12-47CE-8F95-41D239FEBBD0}"/>
    <cellStyle name="Normal 5 2 3 2 2 2 7" xfId="4800" xr:uid="{00000000-0005-0000-0000-000049180000}"/>
    <cellStyle name="Normal 5 2 3 2 2 2 7 2" xfId="13250" xr:uid="{0A3FA754-64A9-4F86-B558-CB5436CEA1F9}"/>
    <cellStyle name="Normal 5 2 3 2 2 2 8" xfId="17472" xr:uid="{BF66452D-138D-44BF-874A-51A1D3497192}"/>
    <cellStyle name="Normal 5 2 3 2 2 2 9" xfId="18305" xr:uid="{E42F85F9-740E-4C19-B063-C9A7FFE53B5C}"/>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5ED01A6C-521F-47B8-9A72-A3899B173E1D}"/>
    <cellStyle name="Normal 5 2 3 2 2 3 2 3" xfId="11589" xr:uid="{4F1B802D-97E0-49F8-8939-50A61C69EDF5}"/>
    <cellStyle name="Normal 5 2 3 2 2 3 3" xfId="5212" xr:uid="{00000000-0005-0000-0000-00004D180000}"/>
    <cellStyle name="Normal 5 2 3 2 2 3 3 2" xfId="13662" xr:uid="{7274313C-E625-48E7-BE27-720D712CBF1F}"/>
    <cellStyle name="Normal 5 2 3 2 2 3 4" xfId="17890" xr:uid="{9B17DCB0-EE72-4E47-839F-360B33147D58}"/>
    <cellStyle name="Normal 5 2 3 2 2 3 5" xfId="18720" xr:uid="{DFE8DF12-F036-4702-8A00-92F3D2B93D59}"/>
    <cellStyle name="Normal 5 2 3 2 2 3 6" xfId="19549" xr:uid="{4CCB27B2-2856-4EA9-8DAC-A0B01D812938}"/>
    <cellStyle name="Normal 5 2 3 2 2 3 7" xfId="9444" xr:uid="{4C6E98F5-9773-4D96-9E1A-7EA6F9E7510B}"/>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7974C05A-454A-465B-801A-2D345FB7D603}"/>
    <cellStyle name="Normal 5 2 3 2 2 4 2 3" xfId="12002" xr:uid="{D7D1B6DD-502E-4302-AE35-A014CE091570}"/>
    <cellStyle name="Normal 5 2 3 2 2 4 3" xfId="5625" xr:uid="{00000000-0005-0000-0000-000051180000}"/>
    <cellStyle name="Normal 5 2 3 2 2 4 3 2" xfId="14075" xr:uid="{21176139-1490-49FB-9E86-C700E0EF3DBA}"/>
    <cellStyle name="Normal 5 2 3 2 2 4 4" xfId="9857" xr:uid="{EE6C9853-F43A-40C8-AB1E-143AB7DB11F6}"/>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F620DA2B-6C24-4670-9E52-3D47A1FD218E}"/>
    <cellStyle name="Normal 5 2 3 2 2 5 2 3" xfId="12415" xr:uid="{5CDFDBC8-E9A4-4BC1-8500-60FB1DF1F95F}"/>
    <cellStyle name="Normal 5 2 3 2 2 5 3" xfId="6038" xr:uid="{00000000-0005-0000-0000-000055180000}"/>
    <cellStyle name="Normal 5 2 3 2 2 5 3 2" xfId="14488" xr:uid="{68D1206C-C50D-4ACD-8599-86F9BCF702B0}"/>
    <cellStyle name="Normal 5 2 3 2 2 5 4" xfId="10270" xr:uid="{F585514C-5488-4790-9A82-C605409AB102}"/>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087BABF1-B5A4-4569-BCE5-47743591C406}"/>
    <cellStyle name="Normal 5 2 3 2 2 6 2 3" xfId="12828" xr:uid="{D794FC99-CED3-4CA8-85AF-BE8C05F1FD1D}"/>
    <cellStyle name="Normal 5 2 3 2 2 6 3" xfId="6451" xr:uid="{00000000-0005-0000-0000-000059180000}"/>
    <cellStyle name="Normal 5 2 3 2 2 6 3 2" xfId="14901" xr:uid="{528D4FB8-4684-4964-8AA0-FD542B160F24}"/>
    <cellStyle name="Normal 5 2 3 2 2 6 4" xfId="10683" xr:uid="{512045BB-76FB-45DA-B16A-999C00441A9A}"/>
    <cellStyle name="Normal 5 2 3 2 2 7" xfId="2581" xr:uid="{00000000-0005-0000-0000-00005A180000}"/>
    <cellStyle name="Normal 5 2 3 2 2 7 2" xfId="6864" xr:uid="{00000000-0005-0000-0000-00005B180000}"/>
    <cellStyle name="Normal 5 2 3 2 2 7 2 2" xfId="15314" xr:uid="{3DBA4AD3-F090-4E5A-8621-4CFD523EFDC2}"/>
    <cellStyle name="Normal 5 2 3 2 2 7 3" xfId="11096" xr:uid="{0AAE920E-DD79-4F4C-977A-2C4B91D0A35D}"/>
    <cellStyle name="Normal 5 2 3 2 2 8" xfId="4799" xr:uid="{00000000-0005-0000-0000-00005C180000}"/>
    <cellStyle name="Normal 5 2 3 2 2 8 2" xfId="13249" xr:uid="{2047BFC4-A864-4532-8527-C83F1D016B91}"/>
    <cellStyle name="Normal 5 2 3 2 2 9" xfId="17471" xr:uid="{85D5882B-8F3C-4864-A5C5-48354BB0A7E1}"/>
    <cellStyle name="Normal 5 2 3 2 3" xfId="428" xr:uid="{00000000-0005-0000-0000-00005D180000}"/>
    <cellStyle name="Normal 5 2 3 2 3 10" xfId="19135" xr:uid="{C38DCE40-1DC6-4457-AA9B-D0FEC944249B}"/>
    <cellStyle name="Normal 5 2 3 2 3 11" xfId="9033" xr:uid="{6FD2FB02-9EE5-44BD-A68F-545EAFFF1AC7}"/>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C5AF2D33-1311-4AAD-ABF9-5705C79EA51B}"/>
    <cellStyle name="Normal 5 2 3 2 3 2 2 3" xfId="11591" xr:uid="{5F711EE5-A057-4AAC-AC71-DAC2E871EA37}"/>
    <cellStyle name="Normal 5 2 3 2 3 2 3" xfId="5214" xr:uid="{00000000-0005-0000-0000-000061180000}"/>
    <cellStyle name="Normal 5 2 3 2 3 2 3 2" xfId="13664" xr:uid="{E8CA50A2-A099-426D-9D58-E593F04410F8}"/>
    <cellStyle name="Normal 5 2 3 2 3 2 4" xfId="17892" xr:uid="{6D1352A7-8097-4C0B-86F5-4D60CB666E3D}"/>
    <cellStyle name="Normal 5 2 3 2 3 2 5" xfId="18722" xr:uid="{B895349F-4A4E-4CBD-B0D2-094720A7C269}"/>
    <cellStyle name="Normal 5 2 3 2 3 2 6" xfId="19551" xr:uid="{7BB5AF4A-500A-4E8F-887E-E8856F4D290C}"/>
    <cellStyle name="Normal 5 2 3 2 3 2 7" xfId="9446" xr:uid="{916639CC-7C52-4D95-8B98-83B3F5DA1218}"/>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CB7E274B-CC34-43B6-BB19-EA226D4B3E5D}"/>
    <cellStyle name="Normal 5 2 3 2 3 3 2 3" xfId="12004" xr:uid="{CC7852FA-BCBC-43B8-B2D4-0CDF05768B61}"/>
    <cellStyle name="Normal 5 2 3 2 3 3 3" xfId="5627" xr:uid="{00000000-0005-0000-0000-000065180000}"/>
    <cellStyle name="Normal 5 2 3 2 3 3 3 2" xfId="14077" xr:uid="{739063B1-83E3-4404-852A-63D9B130D8D3}"/>
    <cellStyle name="Normal 5 2 3 2 3 3 4" xfId="9859" xr:uid="{541AE743-94B9-45E5-AB30-A1DAC120087A}"/>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DD4B0740-B52E-4009-8CFB-8A3E64B7EEC4}"/>
    <cellStyle name="Normal 5 2 3 2 3 4 2 3" xfId="12417" xr:uid="{66D2E3AA-FDBF-4273-9DE2-E243C55AA39A}"/>
    <cellStyle name="Normal 5 2 3 2 3 4 3" xfId="6040" xr:uid="{00000000-0005-0000-0000-000069180000}"/>
    <cellStyle name="Normal 5 2 3 2 3 4 3 2" xfId="14490" xr:uid="{E12B04F6-DA06-43B1-87DA-8279DE82E73B}"/>
    <cellStyle name="Normal 5 2 3 2 3 4 4" xfId="10272" xr:uid="{5AEE5D1B-B629-43ED-8DF5-D50678ACDB58}"/>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2A0F17E0-4230-47C1-9B45-780C37EDB7E4}"/>
    <cellStyle name="Normal 5 2 3 2 3 5 2 3" xfId="12830" xr:uid="{DE68F49F-EC36-4D24-894E-ABFFD0D08543}"/>
    <cellStyle name="Normal 5 2 3 2 3 5 3" xfId="6453" xr:uid="{00000000-0005-0000-0000-00006D180000}"/>
    <cellStyle name="Normal 5 2 3 2 3 5 3 2" xfId="14903" xr:uid="{A3D33D67-81A2-47D2-A3F9-4C431C0C82CF}"/>
    <cellStyle name="Normal 5 2 3 2 3 5 4" xfId="10685" xr:uid="{711CE9A8-D511-4210-BB5C-C432C7C6790E}"/>
    <cellStyle name="Normal 5 2 3 2 3 6" xfId="2583" xr:uid="{00000000-0005-0000-0000-00006E180000}"/>
    <cellStyle name="Normal 5 2 3 2 3 6 2" xfId="6866" xr:uid="{00000000-0005-0000-0000-00006F180000}"/>
    <cellStyle name="Normal 5 2 3 2 3 6 2 2" xfId="15316" xr:uid="{C0474761-2580-4A92-94DB-1D84C0FDDAF7}"/>
    <cellStyle name="Normal 5 2 3 2 3 6 3" xfId="11098" xr:uid="{9192291A-5C14-4CEA-ADD1-08292952EF6F}"/>
    <cellStyle name="Normal 5 2 3 2 3 7" xfId="4801" xr:uid="{00000000-0005-0000-0000-000070180000}"/>
    <cellStyle name="Normal 5 2 3 2 3 7 2" xfId="13251" xr:uid="{BCA82094-B9FD-4F72-B70E-9D373AE63BFC}"/>
    <cellStyle name="Normal 5 2 3 2 3 8" xfId="17473" xr:uid="{3E4B38B6-DB96-4865-8F60-DEE3E2820ACC}"/>
    <cellStyle name="Normal 5 2 3 2 3 9" xfId="18306" xr:uid="{5C896EA5-285B-45AB-869F-A59E48A53EA6}"/>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68EC6FF2-AEAC-416C-9DBF-A42E154E0831}"/>
    <cellStyle name="Normal 5 2 3 2 4 2 3" xfId="11588" xr:uid="{7DE3E2A1-A99C-4DEC-A481-87B02D538020}"/>
    <cellStyle name="Normal 5 2 3 2 4 3" xfId="5211" xr:uid="{00000000-0005-0000-0000-000074180000}"/>
    <cellStyle name="Normal 5 2 3 2 4 3 2" xfId="13661" xr:uid="{17E88D6F-2CA6-4C22-94BA-CCC978590719}"/>
    <cellStyle name="Normal 5 2 3 2 4 4" xfId="17889" xr:uid="{28BA798C-5D5A-4031-A0D7-57544949BB7C}"/>
    <cellStyle name="Normal 5 2 3 2 4 5" xfId="18719" xr:uid="{DAB23FA2-B9AE-4DBF-91A0-6A4186A24240}"/>
    <cellStyle name="Normal 5 2 3 2 4 6" xfId="19548" xr:uid="{0387CCCC-D2BB-48D0-86F8-E9C2B30861F5}"/>
    <cellStyle name="Normal 5 2 3 2 4 7" xfId="9443" xr:uid="{4C14E32E-A289-4FD4-840C-B005508EA8ED}"/>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48B507F6-2E3A-4DBB-A136-8AF76C156E22}"/>
    <cellStyle name="Normal 5 2 3 2 5 2 3" xfId="12001" xr:uid="{E621B318-5FCD-4C9E-85C2-A5BF5231970E}"/>
    <cellStyle name="Normal 5 2 3 2 5 3" xfId="5624" xr:uid="{00000000-0005-0000-0000-000078180000}"/>
    <cellStyle name="Normal 5 2 3 2 5 3 2" xfId="14074" xr:uid="{4EA5110A-A725-4C9A-B41F-362573856F21}"/>
    <cellStyle name="Normal 5 2 3 2 5 4" xfId="9856" xr:uid="{682ADE45-1F1D-4728-A398-149BDF191410}"/>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9F97FBC3-858E-45E9-AAA2-35EB277366DE}"/>
    <cellStyle name="Normal 5 2 3 2 6 2 3" xfId="12414" xr:uid="{0545AB43-AEC2-4C8F-A98D-DC53626D8ABE}"/>
    <cellStyle name="Normal 5 2 3 2 6 3" xfId="6037" xr:uid="{00000000-0005-0000-0000-00007C180000}"/>
    <cellStyle name="Normal 5 2 3 2 6 3 2" xfId="14487" xr:uid="{8A96EBAA-1F41-4352-B74E-9435412E6C35}"/>
    <cellStyle name="Normal 5 2 3 2 6 4" xfId="10269" xr:uid="{C151A354-1070-4AF4-ACA9-378551DFC86A}"/>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12373E60-7120-449E-87CC-5F336EE8F7FC}"/>
    <cellStyle name="Normal 5 2 3 2 7 2 3" xfId="12827" xr:uid="{14AF0423-F78C-4E4A-B490-1B9F50DC52D7}"/>
    <cellStyle name="Normal 5 2 3 2 7 3" xfId="6450" xr:uid="{00000000-0005-0000-0000-000080180000}"/>
    <cellStyle name="Normal 5 2 3 2 7 3 2" xfId="14900" xr:uid="{8EDECBCC-33EB-416C-8E1A-BF190CD517D4}"/>
    <cellStyle name="Normal 5 2 3 2 7 4" xfId="10682" xr:uid="{92BE5B0E-649F-4356-8F1B-DB247FF635AE}"/>
    <cellStyle name="Normal 5 2 3 2 8" xfId="2580" xr:uid="{00000000-0005-0000-0000-000081180000}"/>
    <cellStyle name="Normal 5 2 3 2 8 2" xfId="6863" xr:uid="{00000000-0005-0000-0000-000082180000}"/>
    <cellStyle name="Normal 5 2 3 2 8 2 2" xfId="15313" xr:uid="{F258FEEA-3DB7-49B6-9AB8-C5B34A80F70F}"/>
    <cellStyle name="Normal 5 2 3 2 8 3" xfId="11095" xr:uid="{EDBE803B-AF09-4EB5-9D06-39111E992F19}"/>
    <cellStyle name="Normal 5 2 3 2 9" xfId="4798" xr:uid="{00000000-0005-0000-0000-000083180000}"/>
    <cellStyle name="Normal 5 2 3 2 9 2" xfId="13248" xr:uid="{BAA72493-ABF1-492C-92B4-D8567CAD1C19}"/>
    <cellStyle name="Normal 5 2 3 3" xfId="429" xr:uid="{00000000-0005-0000-0000-000084180000}"/>
    <cellStyle name="Normal 5 2 3 3 10" xfId="18307" xr:uid="{5F72F337-D672-44BC-95EC-54A63B27C6D6}"/>
    <cellStyle name="Normal 5 2 3 3 11" xfId="19136" xr:uid="{442060D3-20C6-4E54-8630-867E5AE2CAB0}"/>
    <cellStyle name="Normal 5 2 3 3 12" xfId="9034" xr:uid="{E759535C-AD9C-458B-95B8-3181E75BC73E}"/>
    <cellStyle name="Normal 5 2 3 3 2" xfId="430" xr:uid="{00000000-0005-0000-0000-000085180000}"/>
    <cellStyle name="Normal 5 2 3 3 2 10" xfId="19137" xr:uid="{4DC483C3-4C2A-4B08-B00E-E2EA35529786}"/>
    <cellStyle name="Normal 5 2 3 3 2 11" xfId="9035" xr:uid="{0175DC63-93DF-415B-BAD9-7086607DD1B7}"/>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5E2A1030-C0E2-4EAB-81DE-5C421AA7C56D}"/>
    <cellStyle name="Normal 5 2 3 3 2 2 2 3" xfId="11593" xr:uid="{145DB5D1-221A-4162-B7FF-B60048896E14}"/>
    <cellStyle name="Normal 5 2 3 3 2 2 3" xfId="5216" xr:uid="{00000000-0005-0000-0000-000089180000}"/>
    <cellStyle name="Normal 5 2 3 3 2 2 3 2" xfId="13666" xr:uid="{CB36FA79-AC8A-4C6F-AD9F-5DD1147DEDE3}"/>
    <cellStyle name="Normal 5 2 3 3 2 2 4" xfId="17894" xr:uid="{15695397-A8C5-4A78-A1D0-CB874C0A6AA3}"/>
    <cellStyle name="Normal 5 2 3 3 2 2 5" xfId="18724" xr:uid="{CFC31DE6-BE1E-46B9-AE55-90CEDD875D3C}"/>
    <cellStyle name="Normal 5 2 3 3 2 2 6" xfId="19553" xr:uid="{CDE7E197-BC2B-4C83-8517-F3B1E5371A91}"/>
    <cellStyle name="Normal 5 2 3 3 2 2 7" xfId="9448" xr:uid="{4DDEDF30-D13F-4631-A734-5276581A2343}"/>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22F158F6-9F07-49DD-8ADE-F4D649DCA091}"/>
    <cellStyle name="Normal 5 2 3 3 2 3 2 3" xfId="12006" xr:uid="{7977A995-3ED4-4A97-BED7-B8D743B67017}"/>
    <cellStyle name="Normal 5 2 3 3 2 3 3" xfId="5629" xr:uid="{00000000-0005-0000-0000-00008D180000}"/>
    <cellStyle name="Normal 5 2 3 3 2 3 3 2" xfId="14079" xr:uid="{EDC9D469-8FA5-4DB2-BEF5-2BBB6B438371}"/>
    <cellStyle name="Normal 5 2 3 3 2 3 4" xfId="9861" xr:uid="{CE988334-0DA9-4083-98C1-9B7B88A2F079}"/>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64246D6E-CEDA-4AF2-8900-807C10EC4117}"/>
    <cellStyle name="Normal 5 2 3 3 2 4 2 3" xfId="12419" xr:uid="{1D527397-CF56-4763-AE58-A370EF705199}"/>
    <cellStyle name="Normal 5 2 3 3 2 4 3" xfId="6042" xr:uid="{00000000-0005-0000-0000-000091180000}"/>
    <cellStyle name="Normal 5 2 3 3 2 4 3 2" xfId="14492" xr:uid="{D4DAF4C2-6B38-4649-BF34-2268FEDF1D25}"/>
    <cellStyle name="Normal 5 2 3 3 2 4 4" xfId="10274" xr:uid="{3DA34D5A-8BD4-4CAA-89F1-4EC935390051}"/>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012EF403-B7F2-4C3B-8E3D-6EE09C1FB37C}"/>
    <cellStyle name="Normal 5 2 3 3 2 5 2 3" xfId="12832" xr:uid="{FE1D4267-728E-45E0-A78C-A4AA70AD69E1}"/>
    <cellStyle name="Normal 5 2 3 3 2 5 3" xfId="6455" xr:uid="{00000000-0005-0000-0000-000095180000}"/>
    <cellStyle name="Normal 5 2 3 3 2 5 3 2" xfId="14905" xr:uid="{3A437F04-010D-40BF-A5BF-4C5CB05727D6}"/>
    <cellStyle name="Normal 5 2 3 3 2 5 4" xfId="10687" xr:uid="{0D1E5A2F-4805-4E12-A2B9-CA4A71193AA3}"/>
    <cellStyle name="Normal 5 2 3 3 2 6" xfId="2585" xr:uid="{00000000-0005-0000-0000-000096180000}"/>
    <cellStyle name="Normal 5 2 3 3 2 6 2" xfId="6868" xr:uid="{00000000-0005-0000-0000-000097180000}"/>
    <cellStyle name="Normal 5 2 3 3 2 6 2 2" xfId="15318" xr:uid="{079AADC4-FDFC-4BCF-8F99-3E4BFA7D0E3D}"/>
    <cellStyle name="Normal 5 2 3 3 2 6 3" xfId="11100" xr:uid="{045276B6-B81F-45DD-B81C-0CAEB0D4D42E}"/>
    <cellStyle name="Normal 5 2 3 3 2 7" xfId="4803" xr:uid="{00000000-0005-0000-0000-000098180000}"/>
    <cellStyle name="Normal 5 2 3 3 2 7 2" xfId="13253" xr:uid="{B09843EE-A579-4A8C-8192-C7959EF4DC07}"/>
    <cellStyle name="Normal 5 2 3 3 2 8" xfId="17475" xr:uid="{0B2D5B79-9310-4AAB-98BE-0ED8A0495C6A}"/>
    <cellStyle name="Normal 5 2 3 3 2 9" xfId="18308" xr:uid="{B200CE36-BC5A-452E-899E-5E436206B6DC}"/>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3D8641BC-1CE9-4B81-AE44-5EC10069C17E}"/>
    <cellStyle name="Normal 5 2 3 3 3 2 3" xfId="11592" xr:uid="{17BA24BA-3D45-47AA-960C-454A6DFC29E5}"/>
    <cellStyle name="Normal 5 2 3 3 3 3" xfId="5215" xr:uid="{00000000-0005-0000-0000-00009C180000}"/>
    <cellStyle name="Normal 5 2 3 3 3 3 2" xfId="13665" xr:uid="{F3D82B46-3185-4545-A9FF-39CFCB13EC42}"/>
    <cellStyle name="Normal 5 2 3 3 3 4" xfId="17893" xr:uid="{C2810C78-1991-4F12-815D-D862878A3467}"/>
    <cellStyle name="Normal 5 2 3 3 3 5" xfId="18723" xr:uid="{42179280-21DD-49D7-AC74-97EE38424CC7}"/>
    <cellStyle name="Normal 5 2 3 3 3 6" xfId="19552" xr:uid="{B6902750-215C-4AAA-A094-4753A8CEC579}"/>
    <cellStyle name="Normal 5 2 3 3 3 7" xfId="9447" xr:uid="{9C66FCF2-C5CA-44B3-89F9-28F7B9B47868}"/>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66C27254-D1F4-402E-BED9-2C8421C7432E}"/>
    <cellStyle name="Normal 5 2 3 3 4 2 3" xfId="12005" xr:uid="{6ED7726A-5F17-4725-B98E-E30E095DE10F}"/>
    <cellStyle name="Normal 5 2 3 3 4 3" xfId="5628" xr:uid="{00000000-0005-0000-0000-0000A0180000}"/>
    <cellStyle name="Normal 5 2 3 3 4 3 2" xfId="14078" xr:uid="{30BDA585-FBD5-44AD-8043-ED66B232320A}"/>
    <cellStyle name="Normal 5 2 3 3 4 4" xfId="9860" xr:uid="{51092380-531A-4AD1-8F86-A697EB035975}"/>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7AC6493D-3365-492F-B3B0-6D032CCB2FD6}"/>
    <cellStyle name="Normal 5 2 3 3 5 2 3" xfId="12418" xr:uid="{F9890C88-1C7B-42D0-A06C-0E237903A96C}"/>
    <cellStyle name="Normal 5 2 3 3 5 3" xfId="6041" xr:uid="{00000000-0005-0000-0000-0000A4180000}"/>
    <cellStyle name="Normal 5 2 3 3 5 3 2" xfId="14491" xr:uid="{697D2F8F-920B-4500-977D-A885F783C1B9}"/>
    <cellStyle name="Normal 5 2 3 3 5 4" xfId="10273" xr:uid="{40F71FC1-85C0-4B7C-8074-05082E331709}"/>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02320206-73E7-4729-A9C2-54E1942274C9}"/>
    <cellStyle name="Normal 5 2 3 3 6 2 3" xfId="12831" xr:uid="{0BA74994-D2FF-4806-BE69-DD8E835079D4}"/>
    <cellStyle name="Normal 5 2 3 3 6 3" xfId="6454" xr:uid="{00000000-0005-0000-0000-0000A8180000}"/>
    <cellStyle name="Normal 5 2 3 3 6 3 2" xfId="14904" xr:uid="{F54B9E07-7BBD-4EBC-A66D-2C92D4901E8C}"/>
    <cellStyle name="Normal 5 2 3 3 6 4" xfId="10686" xr:uid="{A0A674A2-2D00-427F-B0D5-0322712E5002}"/>
    <cellStyle name="Normal 5 2 3 3 7" xfId="2584" xr:uid="{00000000-0005-0000-0000-0000A9180000}"/>
    <cellStyle name="Normal 5 2 3 3 7 2" xfId="6867" xr:uid="{00000000-0005-0000-0000-0000AA180000}"/>
    <cellStyle name="Normal 5 2 3 3 7 2 2" xfId="15317" xr:uid="{4EDE4045-AE87-4B96-BDC7-D40ED4BC18B7}"/>
    <cellStyle name="Normal 5 2 3 3 7 3" xfId="11099" xr:uid="{D99FFE56-7BDA-4875-9141-035DCA01B021}"/>
    <cellStyle name="Normal 5 2 3 3 8" xfId="4802" xr:uid="{00000000-0005-0000-0000-0000AB180000}"/>
    <cellStyle name="Normal 5 2 3 3 8 2" xfId="13252" xr:uid="{A6EEA0E5-6A75-4E6C-9E74-6D9BFB30B517}"/>
    <cellStyle name="Normal 5 2 3 3 9" xfId="17474" xr:uid="{662A94EF-8483-4B7E-8BB8-09B42FBB2D06}"/>
    <cellStyle name="Normal 5 2 3 4" xfId="431" xr:uid="{00000000-0005-0000-0000-0000AC180000}"/>
    <cellStyle name="Normal 5 2 3 4 10" xfId="19138" xr:uid="{31810B5D-779D-441F-9256-6C46C381DF5D}"/>
    <cellStyle name="Normal 5 2 3 4 11" xfId="9036" xr:uid="{189CDE83-A893-4E1A-B219-49A320326647}"/>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2AEE5F91-5783-4851-8E81-527BD5340E2B}"/>
    <cellStyle name="Normal 5 2 3 4 2 2 3" xfId="11594" xr:uid="{252B60DB-7E22-4DC0-BA53-C15661BABEA5}"/>
    <cellStyle name="Normal 5 2 3 4 2 3" xfId="5217" xr:uid="{00000000-0005-0000-0000-0000B0180000}"/>
    <cellStyle name="Normal 5 2 3 4 2 3 2" xfId="13667" xr:uid="{9E93F122-0623-4840-87C5-89BB5F7C27C2}"/>
    <cellStyle name="Normal 5 2 3 4 2 4" xfId="17895" xr:uid="{6A3E8220-6823-4EB9-9131-B4ABB9B119F8}"/>
    <cellStyle name="Normal 5 2 3 4 2 5" xfId="18725" xr:uid="{C975BA86-5E66-48D7-9879-C7A3391ED7D0}"/>
    <cellStyle name="Normal 5 2 3 4 2 6" xfId="19554" xr:uid="{0148A835-CE17-445C-A8A5-AC1046D1C5C8}"/>
    <cellStyle name="Normal 5 2 3 4 2 7" xfId="9449" xr:uid="{F9D696A1-9820-490D-91A0-3D02C8090C67}"/>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B336C6E4-177F-4FE3-B4A4-80244F86E918}"/>
    <cellStyle name="Normal 5 2 3 4 3 2 3" xfId="12007" xr:uid="{163046B1-410E-48CC-99AA-29272D5CEDFB}"/>
    <cellStyle name="Normal 5 2 3 4 3 3" xfId="5630" xr:uid="{00000000-0005-0000-0000-0000B4180000}"/>
    <cellStyle name="Normal 5 2 3 4 3 3 2" xfId="14080" xr:uid="{83866CCD-079D-4F00-818F-04A10CCE23D4}"/>
    <cellStyle name="Normal 5 2 3 4 3 4" xfId="9862" xr:uid="{3E282C4F-B69C-4A8C-BBAB-E88F08BB8502}"/>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A4E8E262-23A1-4B63-B255-9BF36A46A678}"/>
    <cellStyle name="Normal 5 2 3 4 4 2 3" xfId="12420" xr:uid="{566795BD-537F-41CE-9167-B8B8C630A7E3}"/>
    <cellStyle name="Normal 5 2 3 4 4 3" xfId="6043" xr:uid="{00000000-0005-0000-0000-0000B8180000}"/>
    <cellStyle name="Normal 5 2 3 4 4 3 2" xfId="14493" xr:uid="{D0C4BC49-2428-4B72-89AB-D0264D02FE5B}"/>
    <cellStyle name="Normal 5 2 3 4 4 4" xfId="10275" xr:uid="{8525AC54-2C7E-400B-BF1E-29095ADE5BAC}"/>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9DC83232-B470-49C7-A44A-4F6DFA5B0729}"/>
    <cellStyle name="Normal 5 2 3 4 5 2 3" xfId="12833" xr:uid="{E10F610D-A2A2-476E-9970-E76E7F35B8B0}"/>
    <cellStyle name="Normal 5 2 3 4 5 3" xfId="6456" xr:uid="{00000000-0005-0000-0000-0000BC180000}"/>
    <cellStyle name="Normal 5 2 3 4 5 3 2" xfId="14906" xr:uid="{844FE261-F498-42F4-8DF8-00E9F77E32DF}"/>
    <cellStyle name="Normal 5 2 3 4 5 4" xfId="10688" xr:uid="{745B9396-2EA2-402A-A212-5A3FBDBC7730}"/>
    <cellStyle name="Normal 5 2 3 4 6" xfId="2586" xr:uid="{00000000-0005-0000-0000-0000BD180000}"/>
    <cellStyle name="Normal 5 2 3 4 6 2" xfId="6869" xr:uid="{00000000-0005-0000-0000-0000BE180000}"/>
    <cellStyle name="Normal 5 2 3 4 6 2 2" xfId="15319" xr:uid="{05765D7D-28D9-4FC6-99DE-2C6DE8D80349}"/>
    <cellStyle name="Normal 5 2 3 4 6 3" xfId="11101" xr:uid="{185D8032-0B1D-40C2-BCD9-895413B50CEC}"/>
    <cellStyle name="Normal 5 2 3 4 7" xfId="4804" xr:uid="{00000000-0005-0000-0000-0000BF180000}"/>
    <cellStyle name="Normal 5 2 3 4 7 2" xfId="13254" xr:uid="{14DACE88-4AF1-4FCB-94B6-79874BF0B6DF}"/>
    <cellStyle name="Normal 5 2 3 4 8" xfId="17476" xr:uid="{6C815907-F147-4862-981E-ACD5087EDEF1}"/>
    <cellStyle name="Normal 5 2 3 4 9" xfId="18309" xr:uid="{37797013-D7EE-4D73-8C93-BC40A6A5BBE3}"/>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21CA8EC9-3F56-49FF-A32A-EEA11C43A3E1}"/>
    <cellStyle name="Normal 5 2 3 5 2 3" xfId="11587" xr:uid="{6E05B7A6-542E-43D1-93EC-F2AD881B8BE8}"/>
    <cellStyle name="Normal 5 2 3 5 3" xfId="5210" xr:uid="{00000000-0005-0000-0000-0000C3180000}"/>
    <cellStyle name="Normal 5 2 3 5 3 2" xfId="13660" xr:uid="{64FB2D7B-42DB-4628-941C-049C9EB21E27}"/>
    <cellStyle name="Normal 5 2 3 5 4" xfId="17888" xr:uid="{B4F45174-E35A-4758-AB37-50C6595E0A01}"/>
    <cellStyle name="Normal 5 2 3 5 5" xfId="18718" xr:uid="{5EB8855A-FB6F-4626-B769-025D84944746}"/>
    <cellStyle name="Normal 5 2 3 5 6" xfId="19547" xr:uid="{6B687FE3-EF12-4046-95FB-6E87922FFEAB}"/>
    <cellStyle name="Normal 5 2 3 5 7" xfId="9442" xr:uid="{D4BE7D14-4B51-43DA-A032-50758A22DE17}"/>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52BB788C-AEB1-4C6F-81D3-87F87614F5A8}"/>
    <cellStyle name="Normal 5 2 3 6 2 3" xfId="12000" xr:uid="{94E76E41-8353-4664-8CC6-8229202F88AB}"/>
    <cellStyle name="Normal 5 2 3 6 3" xfId="5623" xr:uid="{00000000-0005-0000-0000-0000C7180000}"/>
    <cellStyle name="Normal 5 2 3 6 3 2" xfId="14073" xr:uid="{BA6B8080-F298-407B-987C-8C62FF2E8390}"/>
    <cellStyle name="Normal 5 2 3 6 4" xfId="9855" xr:uid="{4389D538-D329-4D0D-BC49-E0B1C0E9773E}"/>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FB23B6AD-20F9-4D05-B2DB-44FBE12D916D}"/>
    <cellStyle name="Normal 5 2 3 7 2 3" xfId="12413" xr:uid="{FB3CA3C3-0994-4D5F-946A-1626E9D4713C}"/>
    <cellStyle name="Normal 5 2 3 7 3" xfId="6036" xr:uid="{00000000-0005-0000-0000-0000CB180000}"/>
    <cellStyle name="Normal 5 2 3 7 3 2" xfId="14486" xr:uid="{8EEFD942-0A0A-489B-B93D-74E3F25532F3}"/>
    <cellStyle name="Normal 5 2 3 7 4" xfId="10268" xr:uid="{C7EF658F-1AD4-4DB4-8F55-7865CA6F7F31}"/>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0C3F1BC6-83BA-4A00-8A4C-AF912C1E88A2}"/>
    <cellStyle name="Normal 5 2 3 8 2 3" xfId="12826" xr:uid="{C8C53CBC-353A-458E-9173-08C5DBFC8AE7}"/>
    <cellStyle name="Normal 5 2 3 8 3" xfId="6449" xr:uid="{00000000-0005-0000-0000-0000CF180000}"/>
    <cellStyle name="Normal 5 2 3 8 3 2" xfId="14899" xr:uid="{4459ABAA-AC03-4472-A89C-E895D2851000}"/>
    <cellStyle name="Normal 5 2 3 8 4" xfId="10681" xr:uid="{F817EEE4-7D59-469D-88A7-E545896AE7D6}"/>
    <cellStyle name="Normal 5 2 3 9" xfId="2579" xr:uid="{00000000-0005-0000-0000-0000D0180000}"/>
    <cellStyle name="Normal 5 2 3 9 2" xfId="6862" xr:uid="{00000000-0005-0000-0000-0000D1180000}"/>
    <cellStyle name="Normal 5 2 3 9 2 2" xfId="15312" xr:uid="{EB885CFC-FEB7-4C30-9404-400E634B6B96}"/>
    <cellStyle name="Normal 5 2 3 9 3" xfId="11094" xr:uid="{61BB614B-3E6F-48B9-8FA5-0E4D1930183B}"/>
    <cellStyle name="Normal 5 2 4" xfId="432" xr:uid="{00000000-0005-0000-0000-0000D2180000}"/>
    <cellStyle name="Normal 5 2 4 10" xfId="17477" xr:uid="{5322ECCB-BB4C-4579-9625-018AAA3BE850}"/>
    <cellStyle name="Normal 5 2 4 11" xfId="18310" xr:uid="{F002DAFC-7D98-4BDB-BE93-DD39C14FD262}"/>
    <cellStyle name="Normal 5 2 4 12" xfId="19139" xr:uid="{B5FDE2A4-C5C0-4DD0-B63D-3A91F98D608D}"/>
    <cellStyle name="Normal 5 2 4 13" xfId="9037" xr:uid="{1C6EFEDB-3E75-4DA5-A612-B3E41E43C2F4}"/>
    <cellStyle name="Normal 5 2 4 2" xfId="433" xr:uid="{00000000-0005-0000-0000-0000D3180000}"/>
    <cellStyle name="Normal 5 2 4 2 10" xfId="18311" xr:uid="{87899A24-5A7E-4F09-989A-37756497D0B8}"/>
    <cellStyle name="Normal 5 2 4 2 11" xfId="19140" xr:uid="{6595FACD-0902-48D5-87E9-1C49B5136E85}"/>
    <cellStyle name="Normal 5 2 4 2 12" xfId="9038" xr:uid="{AAB2244F-FA5C-4054-9EFA-302DE5ED4EBB}"/>
    <cellStyle name="Normal 5 2 4 2 2" xfId="434" xr:uid="{00000000-0005-0000-0000-0000D4180000}"/>
    <cellStyle name="Normal 5 2 4 2 2 10" xfId="19141" xr:uid="{4FE059D1-E38E-4A50-9595-7F00CF9257B7}"/>
    <cellStyle name="Normal 5 2 4 2 2 11" xfId="9039" xr:uid="{F043D7D9-2AAF-4D81-8215-E140DA0BE308}"/>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A5A08698-E577-414C-B711-657CEF9A413F}"/>
    <cellStyle name="Normal 5 2 4 2 2 2 2 3" xfId="11597" xr:uid="{9A9ED4A5-E89B-460D-952F-E442325D6F6A}"/>
    <cellStyle name="Normal 5 2 4 2 2 2 3" xfId="5220" xr:uid="{00000000-0005-0000-0000-0000D8180000}"/>
    <cellStyle name="Normal 5 2 4 2 2 2 3 2" xfId="13670" xr:uid="{F8F2EB44-2B09-4FD1-A3AD-50EA1CAE0B05}"/>
    <cellStyle name="Normal 5 2 4 2 2 2 4" xfId="17898" xr:uid="{8B736CDD-A720-4925-94E9-104C1384A583}"/>
    <cellStyle name="Normal 5 2 4 2 2 2 5" xfId="18728" xr:uid="{E3811546-90F8-4D7F-83BE-ACE05C5B38CB}"/>
    <cellStyle name="Normal 5 2 4 2 2 2 6" xfId="19557" xr:uid="{9DFBF015-9F93-4F02-ACC4-71A1A33665F6}"/>
    <cellStyle name="Normal 5 2 4 2 2 2 7" xfId="9452" xr:uid="{A1DF61DF-1FF9-4E67-9225-454E02DAA82E}"/>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595DC78B-CEB1-42BC-8E27-E33A1028A36B}"/>
    <cellStyle name="Normal 5 2 4 2 2 3 2 3" xfId="12010" xr:uid="{2A303818-2F7F-4734-A038-7C9481B14241}"/>
    <cellStyle name="Normal 5 2 4 2 2 3 3" xfId="5633" xr:uid="{00000000-0005-0000-0000-0000DC180000}"/>
    <cellStyle name="Normal 5 2 4 2 2 3 3 2" xfId="14083" xr:uid="{3D44C039-6EEE-45E9-AE26-3C5D3E9D508B}"/>
    <cellStyle name="Normal 5 2 4 2 2 3 4" xfId="9865" xr:uid="{07A38BC2-CB7D-48E5-A4D1-36F9AAD8506F}"/>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8A5CECA6-16F7-4F0C-96DE-7BBBC801A563}"/>
    <cellStyle name="Normal 5 2 4 2 2 4 2 3" xfId="12423" xr:uid="{3DE11D99-F1D4-4160-BE3A-FEFEE1CAD986}"/>
    <cellStyle name="Normal 5 2 4 2 2 4 3" xfId="6046" xr:uid="{00000000-0005-0000-0000-0000E0180000}"/>
    <cellStyle name="Normal 5 2 4 2 2 4 3 2" xfId="14496" xr:uid="{6E33019E-4F1C-4DF3-BBB7-0B5A038D4684}"/>
    <cellStyle name="Normal 5 2 4 2 2 4 4" xfId="10278" xr:uid="{D2189A8B-D320-4113-98E8-96EB17D1E102}"/>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A0E02252-4E6F-41D0-BFDB-E87F4B8CE839}"/>
    <cellStyle name="Normal 5 2 4 2 2 5 2 3" xfId="12836" xr:uid="{A244F073-34D7-4DBF-9EE2-15E1FA6B527B}"/>
    <cellStyle name="Normal 5 2 4 2 2 5 3" xfId="6459" xr:uid="{00000000-0005-0000-0000-0000E4180000}"/>
    <cellStyle name="Normal 5 2 4 2 2 5 3 2" xfId="14909" xr:uid="{7DE7E01C-B6CD-476E-9715-3B95C8612F67}"/>
    <cellStyle name="Normal 5 2 4 2 2 5 4" xfId="10691" xr:uid="{2CB5BA7D-9F3A-4F68-BB05-21FD3BC5F3DB}"/>
    <cellStyle name="Normal 5 2 4 2 2 6" xfId="2589" xr:uid="{00000000-0005-0000-0000-0000E5180000}"/>
    <cellStyle name="Normal 5 2 4 2 2 6 2" xfId="6872" xr:uid="{00000000-0005-0000-0000-0000E6180000}"/>
    <cellStyle name="Normal 5 2 4 2 2 6 2 2" xfId="15322" xr:uid="{77F12293-CB2C-4C8D-AE38-385BBCBC52C3}"/>
    <cellStyle name="Normal 5 2 4 2 2 6 3" xfId="11104" xr:uid="{CDA22E24-7265-42AF-A348-42B8C15444F1}"/>
    <cellStyle name="Normal 5 2 4 2 2 7" xfId="4807" xr:uid="{00000000-0005-0000-0000-0000E7180000}"/>
    <cellStyle name="Normal 5 2 4 2 2 7 2" xfId="13257" xr:uid="{842ED265-52FA-41A6-B8FB-D7D2DC8C7C08}"/>
    <cellStyle name="Normal 5 2 4 2 2 8" xfId="17479" xr:uid="{A2C8F6D2-867A-4BFB-8AE3-07A121340868}"/>
    <cellStyle name="Normal 5 2 4 2 2 9" xfId="18312" xr:uid="{AEEE8F6C-8B4C-495C-8763-D48AF6EA5AB4}"/>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E023BC38-A014-4186-935D-610743293953}"/>
    <cellStyle name="Normal 5 2 4 2 3 2 3" xfId="11596" xr:uid="{4A2C97C0-AC6A-4F7A-84D4-B66D0E5F6493}"/>
    <cellStyle name="Normal 5 2 4 2 3 3" xfId="5219" xr:uid="{00000000-0005-0000-0000-0000EB180000}"/>
    <cellStyle name="Normal 5 2 4 2 3 3 2" xfId="13669" xr:uid="{3457D2BA-761C-44F9-B439-5202EECE2133}"/>
    <cellStyle name="Normal 5 2 4 2 3 4" xfId="17897" xr:uid="{9A001DF6-3127-4808-8737-34D09BBAAD77}"/>
    <cellStyle name="Normal 5 2 4 2 3 5" xfId="18727" xr:uid="{AC090D84-2A5F-42DC-80D5-6419D7B7862D}"/>
    <cellStyle name="Normal 5 2 4 2 3 6" xfId="19556" xr:uid="{54D76869-59D8-4D9F-92D6-2D8DE94D39BD}"/>
    <cellStyle name="Normal 5 2 4 2 3 7" xfId="9451" xr:uid="{0EAC0EDA-570C-4843-B295-E352E6DEE3B8}"/>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915292A1-A015-4302-9742-27113C7453B6}"/>
    <cellStyle name="Normal 5 2 4 2 4 2 3" xfId="12009" xr:uid="{456A3ED8-A9CB-455B-A8D6-3FCC2AD72B7E}"/>
    <cellStyle name="Normal 5 2 4 2 4 3" xfId="5632" xr:uid="{00000000-0005-0000-0000-0000EF180000}"/>
    <cellStyle name="Normal 5 2 4 2 4 3 2" xfId="14082" xr:uid="{85AF2D09-3C37-45C3-97AC-D94BD22D9DB0}"/>
    <cellStyle name="Normal 5 2 4 2 4 4" xfId="9864" xr:uid="{0F6D91AD-2B9D-49B3-95DE-48C80A9F60A0}"/>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61658EFC-C5F6-4814-9FF4-0F75383DAB67}"/>
    <cellStyle name="Normal 5 2 4 2 5 2 3" xfId="12422" xr:uid="{403FEF35-70D3-4940-AA85-E91113A96A2C}"/>
    <cellStyle name="Normal 5 2 4 2 5 3" xfId="6045" xr:uid="{00000000-0005-0000-0000-0000F3180000}"/>
    <cellStyle name="Normal 5 2 4 2 5 3 2" xfId="14495" xr:uid="{ACC2131A-764D-4596-B0AB-0E387BC36328}"/>
    <cellStyle name="Normal 5 2 4 2 5 4" xfId="10277" xr:uid="{57BD0734-1552-4789-9392-8D4606B07F81}"/>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E25E5CEA-BC83-4B82-B620-3D987266F555}"/>
    <cellStyle name="Normal 5 2 4 2 6 2 3" xfId="12835" xr:uid="{C3AF4008-1BB1-4224-B993-5896F912E011}"/>
    <cellStyle name="Normal 5 2 4 2 6 3" xfId="6458" xr:uid="{00000000-0005-0000-0000-0000F7180000}"/>
    <cellStyle name="Normal 5 2 4 2 6 3 2" xfId="14908" xr:uid="{50346EF8-C794-4228-BA68-FAF05E146419}"/>
    <cellStyle name="Normal 5 2 4 2 6 4" xfId="10690" xr:uid="{4233F905-2030-4143-AA65-644EFF4D7DBD}"/>
    <cellStyle name="Normal 5 2 4 2 7" xfId="2588" xr:uid="{00000000-0005-0000-0000-0000F8180000}"/>
    <cellStyle name="Normal 5 2 4 2 7 2" xfId="6871" xr:uid="{00000000-0005-0000-0000-0000F9180000}"/>
    <cellStyle name="Normal 5 2 4 2 7 2 2" xfId="15321" xr:uid="{8127C753-3CA0-4C92-AAEC-D91773EAA87E}"/>
    <cellStyle name="Normal 5 2 4 2 7 3" xfId="11103" xr:uid="{2A7FEB62-9A66-4C00-8D69-8921CDD56C7D}"/>
    <cellStyle name="Normal 5 2 4 2 8" xfId="4806" xr:uid="{00000000-0005-0000-0000-0000FA180000}"/>
    <cellStyle name="Normal 5 2 4 2 8 2" xfId="13256" xr:uid="{976104A8-F666-49C2-8060-253C09556C17}"/>
    <cellStyle name="Normal 5 2 4 2 9" xfId="17478" xr:uid="{AEA67D36-EBB7-4E09-BF8C-23496675F66F}"/>
    <cellStyle name="Normal 5 2 4 3" xfId="435" xr:uid="{00000000-0005-0000-0000-0000FB180000}"/>
    <cellStyle name="Normal 5 2 4 3 10" xfId="19142" xr:uid="{0525CEC2-EA0B-4A78-8072-C501CDF0DEAC}"/>
    <cellStyle name="Normal 5 2 4 3 11" xfId="9040" xr:uid="{A42FACDC-4F5D-4060-9055-D8B1A1085BF8}"/>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82A92384-F11A-4D1B-A610-3DDCF7C87A83}"/>
    <cellStyle name="Normal 5 2 4 3 2 2 3" xfId="11598" xr:uid="{507B9C4C-A616-4970-A753-C885F54029FA}"/>
    <cellStyle name="Normal 5 2 4 3 2 3" xfId="5221" xr:uid="{00000000-0005-0000-0000-0000FF180000}"/>
    <cellStyle name="Normal 5 2 4 3 2 3 2" xfId="13671" xr:uid="{D0CAA423-144A-44F0-AD0C-42ACD6FB2DD1}"/>
    <cellStyle name="Normal 5 2 4 3 2 4" xfId="17899" xr:uid="{EAAD6FA6-6931-4D73-830D-FE9142DEA260}"/>
    <cellStyle name="Normal 5 2 4 3 2 5" xfId="18729" xr:uid="{BB11A9B5-D8EB-4F4E-8478-943FA09584E7}"/>
    <cellStyle name="Normal 5 2 4 3 2 6" xfId="19558" xr:uid="{57D0FE08-EC24-48FF-89DB-61954EA2958D}"/>
    <cellStyle name="Normal 5 2 4 3 2 7" xfId="9453" xr:uid="{D3245000-AEE2-4D49-B01F-7C8CE3401AFC}"/>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FEEDFBD1-F3D8-4E4D-93F5-8F6F7145D166}"/>
    <cellStyle name="Normal 5 2 4 3 3 2 3" xfId="12011" xr:uid="{3E9727DC-F895-4635-9F3E-E503D06BFD8B}"/>
    <cellStyle name="Normal 5 2 4 3 3 3" xfId="5634" xr:uid="{00000000-0005-0000-0000-000003190000}"/>
    <cellStyle name="Normal 5 2 4 3 3 3 2" xfId="14084" xr:uid="{E872E8F5-E9D9-486E-9079-5CAA2F229DD3}"/>
    <cellStyle name="Normal 5 2 4 3 3 4" xfId="9866" xr:uid="{7532B7F1-82B9-44CC-B214-72942A44C4B7}"/>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B8BEBD0F-7043-4D86-A117-3DCF0D165240}"/>
    <cellStyle name="Normal 5 2 4 3 4 2 3" xfId="12424" xr:uid="{3FEFE86B-7295-46A1-96BF-88B22667EBBC}"/>
    <cellStyle name="Normal 5 2 4 3 4 3" xfId="6047" xr:uid="{00000000-0005-0000-0000-000007190000}"/>
    <cellStyle name="Normal 5 2 4 3 4 3 2" xfId="14497" xr:uid="{2A3F9A65-0551-48FD-B762-350D478DE562}"/>
    <cellStyle name="Normal 5 2 4 3 4 4" xfId="10279" xr:uid="{AB3D6614-35B0-4086-B9C1-E6B44951482E}"/>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F83EC445-A3B2-4F0A-A223-F487BD6D7D75}"/>
    <cellStyle name="Normal 5 2 4 3 5 2 3" xfId="12837" xr:uid="{D7BC8C93-B702-4F88-895B-99A4ACE9601F}"/>
    <cellStyle name="Normal 5 2 4 3 5 3" xfId="6460" xr:uid="{00000000-0005-0000-0000-00000B190000}"/>
    <cellStyle name="Normal 5 2 4 3 5 3 2" xfId="14910" xr:uid="{DB3885B3-622A-4BAE-A0B3-08936F34E0A1}"/>
    <cellStyle name="Normal 5 2 4 3 5 4" xfId="10692" xr:uid="{47329962-4980-43A5-A4FE-C4A87F2980EB}"/>
    <cellStyle name="Normal 5 2 4 3 6" xfId="2590" xr:uid="{00000000-0005-0000-0000-00000C190000}"/>
    <cellStyle name="Normal 5 2 4 3 6 2" xfId="6873" xr:uid="{00000000-0005-0000-0000-00000D190000}"/>
    <cellStyle name="Normal 5 2 4 3 6 2 2" xfId="15323" xr:uid="{ECD65EB1-4E87-4F25-AE28-118E95930FBA}"/>
    <cellStyle name="Normal 5 2 4 3 6 3" xfId="11105" xr:uid="{3FC95B53-E4DD-4B19-AD60-FAB43CF014EE}"/>
    <cellStyle name="Normal 5 2 4 3 7" xfId="4808" xr:uid="{00000000-0005-0000-0000-00000E190000}"/>
    <cellStyle name="Normal 5 2 4 3 7 2" xfId="13258" xr:uid="{28D9CF79-FA36-4259-83EC-11A8CD362CE7}"/>
    <cellStyle name="Normal 5 2 4 3 8" xfId="17480" xr:uid="{046C89A1-6BB4-415C-BC71-1A629F356663}"/>
    <cellStyle name="Normal 5 2 4 3 9" xfId="18313" xr:uid="{0A71932B-DD1C-4953-B328-35B76B9B138D}"/>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7FDB57BE-2B85-4B59-AB65-2F09EA2A226E}"/>
    <cellStyle name="Normal 5 2 4 4 2 3" xfId="11595" xr:uid="{3D721F36-9863-44ED-89A8-1B70D5DAABC8}"/>
    <cellStyle name="Normal 5 2 4 4 3" xfId="5218" xr:uid="{00000000-0005-0000-0000-000012190000}"/>
    <cellStyle name="Normal 5 2 4 4 3 2" xfId="13668" xr:uid="{30830534-7754-45A1-93D0-99595DBC01BE}"/>
    <cellStyle name="Normal 5 2 4 4 4" xfId="17896" xr:uid="{5B818D63-D180-4D68-9D8C-AB271EF300D0}"/>
    <cellStyle name="Normal 5 2 4 4 5" xfId="18726" xr:uid="{579AB811-73BE-433C-B312-251F4D839E92}"/>
    <cellStyle name="Normal 5 2 4 4 6" xfId="19555" xr:uid="{BCDC4688-DD6A-4782-B381-8FC72EB78FE6}"/>
    <cellStyle name="Normal 5 2 4 4 7" xfId="9450" xr:uid="{945119A2-3DAA-4F7A-B760-FAB0868B699A}"/>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D77C773C-20EB-490A-A418-E380DFA041AB}"/>
    <cellStyle name="Normal 5 2 4 5 2 3" xfId="12008" xr:uid="{6D8079FD-5326-4D54-AB34-F0B3BBCB8055}"/>
    <cellStyle name="Normal 5 2 4 5 3" xfId="5631" xr:uid="{00000000-0005-0000-0000-000016190000}"/>
    <cellStyle name="Normal 5 2 4 5 3 2" xfId="14081" xr:uid="{7251424D-9DC4-4AB4-9FF8-4F09C84BE1A0}"/>
    <cellStyle name="Normal 5 2 4 5 4" xfId="9863" xr:uid="{BCA461CC-2C5D-4F24-95D3-6359C82E4239}"/>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B8EA769C-78AC-453A-8448-08008787D207}"/>
    <cellStyle name="Normal 5 2 4 6 2 3" xfId="12421" xr:uid="{870D8416-B394-485A-8E54-AB70AD8B61EF}"/>
    <cellStyle name="Normal 5 2 4 6 3" xfId="6044" xr:uid="{00000000-0005-0000-0000-00001A190000}"/>
    <cellStyle name="Normal 5 2 4 6 3 2" xfId="14494" xr:uid="{069B4B8A-BEBC-429D-B9EF-D19D6A81AA4D}"/>
    <cellStyle name="Normal 5 2 4 6 4" xfId="10276" xr:uid="{D646534C-C7E2-47E7-B777-E665E45F643E}"/>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1D7671A1-46A7-42DF-BBD2-90370073F1B7}"/>
    <cellStyle name="Normal 5 2 4 7 2 3" xfId="12834" xr:uid="{008453E6-BCAD-4205-9E1C-B04473F0FC9B}"/>
    <cellStyle name="Normal 5 2 4 7 3" xfId="6457" xr:uid="{00000000-0005-0000-0000-00001E190000}"/>
    <cellStyle name="Normal 5 2 4 7 3 2" xfId="14907" xr:uid="{0BF4B20E-5DAC-4EBE-AD07-545AE7AB87AC}"/>
    <cellStyle name="Normal 5 2 4 7 4" xfId="10689" xr:uid="{01795C97-8C14-4F60-B1C1-EF8ED641BE51}"/>
    <cellStyle name="Normal 5 2 4 8" xfId="2587" xr:uid="{00000000-0005-0000-0000-00001F190000}"/>
    <cellStyle name="Normal 5 2 4 8 2" xfId="6870" xr:uid="{00000000-0005-0000-0000-000020190000}"/>
    <cellStyle name="Normal 5 2 4 8 2 2" xfId="15320" xr:uid="{D4958089-6F3E-4528-96AF-15ADF8536E24}"/>
    <cellStyle name="Normal 5 2 4 8 3" xfId="11102" xr:uid="{1C0B2969-0008-40E9-B8D0-7F7BF46F6512}"/>
    <cellStyle name="Normal 5 2 4 9" xfId="4805" xr:uid="{00000000-0005-0000-0000-000021190000}"/>
    <cellStyle name="Normal 5 2 4 9 2" xfId="13255" xr:uid="{52F223FF-2DDF-4813-B04A-1E925F54D277}"/>
    <cellStyle name="Normal 5 2 5" xfId="436" xr:uid="{00000000-0005-0000-0000-000022190000}"/>
    <cellStyle name="Normal 5 2 5 10" xfId="18314" xr:uid="{2C998AC1-52A1-44C4-AF7F-EDF592A1D8A6}"/>
    <cellStyle name="Normal 5 2 5 11" xfId="19143" xr:uid="{4A986459-1D0E-45E1-96A0-6572083A6C03}"/>
    <cellStyle name="Normal 5 2 5 12" xfId="9041" xr:uid="{BDE67423-F222-4A72-A03D-BDEE7B1E3CA0}"/>
    <cellStyle name="Normal 5 2 5 2" xfId="437" xr:uid="{00000000-0005-0000-0000-000023190000}"/>
    <cellStyle name="Normal 5 2 5 2 10" xfId="19144" xr:uid="{183405D0-19EF-446A-BEEC-6FF792EDE846}"/>
    <cellStyle name="Normal 5 2 5 2 11" xfId="9042" xr:uid="{692B3DFC-4E10-40AA-9988-80946BD8EB8A}"/>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8F51D6DC-8506-4C86-B07A-85363B3A4CAF}"/>
    <cellStyle name="Normal 5 2 5 2 2 2 3" xfId="11600" xr:uid="{41EED2C5-C56C-4300-A7C5-56909D8CDD2A}"/>
    <cellStyle name="Normal 5 2 5 2 2 3" xfId="5223" xr:uid="{00000000-0005-0000-0000-000027190000}"/>
    <cellStyle name="Normal 5 2 5 2 2 3 2" xfId="13673" xr:uid="{94CE79CC-5351-45CF-B8B1-143800ABC1FE}"/>
    <cellStyle name="Normal 5 2 5 2 2 4" xfId="17901" xr:uid="{FAE7F87E-BEC3-4323-B52A-5E875C1695E2}"/>
    <cellStyle name="Normal 5 2 5 2 2 5" xfId="18731" xr:uid="{EA72FD99-085B-49F1-91DE-6C334C5DFD11}"/>
    <cellStyle name="Normal 5 2 5 2 2 6" xfId="19560" xr:uid="{45796D36-A6AC-4A55-B9D2-D837D01FF391}"/>
    <cellStyle name="Normal 5 2 5 2 2 7" xfId="9455" xr:uid="{F9D292BA-AB1B-483D-BECD-A8C0582078AF}"/>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DB88870E-5315-4A97-93F0-8335143E6396}"/>
    <cellStyle name="Normal 5 2 5 2 3 2 3" xfId="12013" xr:uid="{C11E00F1-A8A3-4B4B-B435-638A5EA6AEC8}"/>
    <cellStyle name="Normal 5 2 5 2 3 3" xfId="5636" xr:uid="{00000000-0005-0000-0000-00002B190000}"/>
    <cellStyle name="Normal 5 2 5 2 3 3 2" xfId="14086" xr:uid="{581767C0-6994-409A-8564-FD39EBA2BDE1}"/>
    <cellStyle name="Normal 5 2 5 2 3 4" xfId="9868" xr:uid="{8AFF8C2F-3916-4427-AFDF-C0A62E1709A6}"/>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9355F725-7A21-4C85-962B-076F8156CB71}"/>
    <cellStyle name="Normal 5 2 5 2 4 2 3" xfId="12426" xr:uid="{75C943AD-57EF-4445-A0CF-77303F0AE51E}"/>
    <cellStyle name="Normal 5 2 5 2 4 3" xfId="6049" xr:uid="{00000000-0005-0000-0000-00002F190000}"/>
    <cellStyle name="Normal 5 2 5 2 4 3 2" xfId="14499" xr:uid="{C8D06B25-BFCC-444E-902D-37363B118D21}"/>
    <cellStyle name="Normal 5 2 5 2 4 4" xfId="10281" xr:uid="{199942D1-510A-4A4E-8905-3D21BF04437C}"/>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A28386EF-DB2E-4ACD-95E4-5C59A2BB0771}"/>
    <cellStyle name="Normal 5 2 5 2 5 2 3" xfId="12839" xr:uid="{7918B70B-F25E-4AE5-AD98-71F2CF7E277C}"/>
    <cellStyle name="Normal 5 2 5 2 5 3" xfId="6462" xr:uid="{00000000-0005-0000-0000-000033190000}"/>
    <cellStyle name="Normal 5 2 5 2 5 3 2" xfId="14912" xr:uid="{3A07E447-649B-4A25-9704-8A93B181C25E}"/>
    <cellStyle name="Normal 5 2 5 2 5 4" xfId="10694" xr:uid="{600B8001-37CC-40F4-B0C2-158413C97C64}"/>
    <cellStyle name="Normal 5 2 5 2 6" xfId="2592" xr:uid="{00000000-0005-0000-0000-000034190000}"/>
    <cellStyle name="Normal 5 2 5 2 6 2" xfId="6875" xr:uid="{00000000-0005-0000-0000-000035190000}"/>
    <cellStyle name="Normal 5 2 5 2 6 2 2" xfId="15325" xr:uid="{CB6B76C3-14F4-4A01-A4A0-90C036AAB4F8}"/>
    <cellStyle name="Normal 5 2 5 2 6 3" xfId="11107" xr:uid="{4933B150-394D-46F1-990B-AEBE9D698C15}"/>
    <cellStyle name="Normal 5 2 5 2 7" xfId="4810" xr:uid="{00000000-0005-0000-0000-000036190000}"/>
    <cellStyle name="Normal 5 2 5 2 7 2" xfId="13260" xr:uid="{B59097E3-BD38-49B0-BE68-82D24598CA99}"/>
    <cellStyle name="Normal 5 2 5 2 8" xfId="17482" xr:uid="{C8A023FB-0170-4708-8C8B-078A6950FBF7}"/>
    <cellStyle name="Normal 5 2 5 2 9" xfId="18315" xr:uid="{1E7B5C51-7FE1-4F42-B65A-9CADEA787491}"/>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2D8E25D8-3D35-423D-ABE2-5FC471947A9A}"/>
    <cellStyle name="Normal 5 2 5 3 2 3" xfId="11599" xr:uid="{51161ACF-920A-44E4-BF24-8F221DC344F5}"/>
    <cellStyle name="Normal 5 2 5 3 3" xfId="5222" xr:uid="{00000000-0005-0000-0000-00003A190000}"/>
    <cellStyle name="Normal 5 2 5 3 3 2" xfId="13672" xr:uid="{C2B692A2-EDE9-4906-A422-34EA14C83F41}"/>
    <cellStyle name="Normal 5 2 5 3 4" xfId="17900" xr:uid="{6A4A8C1F-6DAD-416F-9430-B2224F962367}"/>
    <cellStyle name="Normal 5 2 5 3 5" xfId="18730" xr:uid="{7A79D871-D9A9-4544-AB3F-72E95216DDB6}"/>
    <cellStyle name="Normal 5 2 5 3 6" xfId="19559" xr:uid="{19DA9589-23F9-4722-A3CD-6590272E6427}"/>
    <cellStyle name="Normal 5 2 5 3 7" xfId="9454" xr:uid="{FDBB3394-BDC5-4B67-9F0C-C069A1F9593B}"/>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D1FB6FA6-F042-4BDE-8D4F-8B222F772D8D}"/>
    <cellStyle name="Normal 5 2 5 4 2 3" xfId="12012" xr:uid="{7BE14975-FD39-4DA1-B8DC-4AE77DE5357B}"/>
    <cellStyle name="Normal 5 2 5 4 3" xfId="5635" xr:uid="{00000000-0005-0000-0000-00003E190000}"/>
    <cellStyle name="Normal 5 2 5 4 3 2" xfId="14085" xr:uid="{31D665E5-C848-41F3-8CA2-E85853B5A012}"/>
    <cellStyle name="Normal 5 2 5 4 4" xfId="9867" xr:uid="{767E5126-58E8-41CE-9631-08D50A58E2A0}"/>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161CE73B-4B12-4474-9A4C-2E9FAD03C092}"/>
    <cellStyle name="Normal 5 2 5 5 2 3" xfId="12425" xr:uid="{F67BDEBC-EF91-4763-A6F7-7E03220F575F}"/>
    <cellStyle name="Normal 5 2 5 5 3" xfId="6048" xr:uid="{00000000-0005-0000-0000-000042190000}"/>
    <cellStyle name="Normal 5 2 5 5 3 2" xfId="14498" xr:uid="{71103522-287C-4CB1-9901-89BD395309C4}"/>
    <cellStyle name="Normal 5 2 5 5 4" xfId="10280" xr:uid="{4AD74082-BE50-4ED5-9CC7-AB496ABBCA5D}"/>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A9475A17-B133-43DA-882F-AD0C06E50F62}"/>
    <cellStyle name="Normal 5 2 5 6 2 3" xfId="12838" xr:uid="{D7D40920-C9B6-4A40-A03F-BF350BA632FE}"/>
    <cellStyle name="Normal 5 2 5 6 3" xfId="6461" xr:uid="{00000000-0005-0000-0000-000046190000}"/>
    <cellStyle name="Normal 5 2 5 6 3 2" xfId="14911" xr:uid="{C4B3FA09-9EF7-4406-A832-156CE0D2A288}"/>
    <cellStyle name="Normal 5 2 5 6 4" xfId="10693" xr:uid="{8CF41831-BA38-4CAA-91E1-3717845EFE91}"/>
    <cellStyle name="Normal 5 2 5 7" xfId="2591" xr:uid="{00000000-0005-0000-0000-000047190000}"/>
    <cellStyle name="Normal 5 2 5 7 2" xfId="6874" xr:uid="{00000000-0005-0000-0000-000048190000}"/>
    <cellStyle name="Normal 5 2 5 7 2 2" xfId="15324" xr:uid="{D71A3D10-AC11-4BAC-B3B8-155FD76D093F}"/>
    <cellStyle name="Normal 5 2 5 7 3" xfId="11106" xr:uid="{93B16429-78D8-4ED6-9067-45F772A59248}"/>
    <cellStyle name="Normal 5 2 5 8" xfId="4809" xr:uid="{00000000-0005-0000-0000-000049190000}"/>
    <cellStyle name="Normal 5 2 5 8 2" xfId="13259" xr:uid="{3B6B6236-12D2-48CE-8F3D-F704DEE02603}"/>
    <cellStyle name="Normal 5 2 5 9" xfId="17481" xr:uid="{C57A3117-FCEA-4EF1-B24F-FF7FE341D458}"/>
    <cellStyle name="Normal 5 2 6" xfId="438" xr:uid="{00000000-0005-0000-0000-00004A190000}"/>
    <cellStyle name="Normal 5 2 6 10" xfId="19145" xr:uid="{EA6DF72F-0F7B-4216-9B50-B4412579E5A8}"/>
    <cellStyle name="Normal 5 2 6 11" xfId="9043" xr:uid="{E729E0A0-35DF-4A49-B63F-C0882BF3B675}"/>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988A9492-151F-45FC-814F-2E1284F70E5B}"/>
    <cellStyle name="Normal 5 2 6 2 2 3" xfId="11601" xr:uid="{A05064F8-E77F-4C4C-89BF-FC5ECC0CAC28}"/>
    <cellStyle name="Normal 5 2 6 2 3" xfId="5224" xr:uid="{00000000-0005-0000-0000-00004E190000}"/>
    <cellStyle name="Normal 5 2 6 2 3 2" xfId="13674" xr:uid="{9F7AB9CA-4578-452F-BA75-28C0C96F4F79}"/>
    <cellStyle name="Normal 5 2 6 2 4" xfId="17902" xr:uid="{7052F41C-1A83-477F-9C1C-1C27C1ED21C0}"/>
    <cellStyle name="Normal 5 2 6 2 5" xfId="18732" xr:uid="{FF1DCFCF-FEAA-4BC6-B67F-9DD5C547AC18}"/>
    <cellStyle name="Normal 5 2 6 2 6" xfId="19561" xr:uid="{96EB9D5A-89F9-4682-A190-ECA0B13DF472}"/>
    <cellStyle name="Normal 5 2 6 2 7" xfId="9456" xr:uid="{10D3809E-145C-4ED4-8216-B1231019105C}"/>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86D3F0C8-394D-429E-B7B0-9DAB7BB1789B}"/>
    <cellStyle name="Normal 5 2 6 3 2 3" xfId="12014" xr:uid="{2372A67B-FA17-4F86-8731-E11CF0FF28B0}"/>
    <cellStyle name="Normal 5 2 6 3 3" xfId="5637" xr:uid="{00000000-0005-0000-0000-000052190000}"/>
    <cellStyle name="Normal 5 2 6 3 3 2" xfId="14087" xr:uid="{F54DB329-0833-4DC7-A047-4594E9576AC4}"/>
    <cellStyle name="Normal 5 2 6 3 4" xfId="9869" xr:uid="{7DDD2575-E39B-4C6F-986A-A7081D273F43}"/>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08418A97-41FD-40B1-8BF3-E44485E3BC9D}"/>
    <cellStyle name="Normal 5 2 6 4 2 3" xfId="12427" xr:uid="{E1239965-B82D-4F4D-ACDC-A788AEC41105}"/>
    <cellStyle name="Normal 5 2 6 4 3" xfId="6050" xr:uid="{00000000-0005-0000-0000-000056190000}"/>
    <cellStyle name="Normal 5 2 6 4 3 2" xfId="14500" xr:uid="{E9FA0970-71BA-41EF-ADC8-C00F2238F275}"/>
    <cellStyle name="Normal 5 2 6 4 4" xfId="10282" xr:uid="{C30013ED-5A23-42EF-A2AB-BEE8BA2D336E}"/>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10BE2193-257C-4E28-99F1-F9E2E7CF5466}"/>
    <cellStyle name="Normal 5 2 6 5 2 3" xfId="12840" xr:uid="{F87DE61F-2A76-491F-A51D-0549C69BBC4E}"/>
    <cellStyle name="Normal 5 2 6 5 3" xfId="6463" xr:uid="{00000000-0005-0000-0000-00005A190000}"/>
    <cellStyle name="Normal 5 2 6 5 3 2" xfId="14913" xr:uid="{1667F19F-F4DB-4565-B95E-9FC7595B7A71}"/>
    <cellStyle name="Normal 5 2 6 5 4" xfId="10695" xr:uid="{48BF1EC9-04D2-44C8-A5A1-66CA4B0C5EC6}"/>
    <cellStyle name="Normal 5 2 6 6" xfId="2593" xr:uid="{00000000-0005-0000-0000-00005B190000}"/>
    <cellStyle name="Normal 5 2 6 6 2" xfId="6876" xr:uid="{00000000-0005-0000-0000-00005C190000}"/>
    <cellStyle name="Normal 5 2 6 6 2 2" xfId="15326" xr:uid="{2A990214-D92E-46A8-AA3A-DD037C6E75ED}"/>
    <cellStyle name="Normal 5 2 6 6 3" xfId="11108" xr:uid="{DD3C9565-3B15-4BEC-8802-EAB0C5340D56}"/>
    <cellStyle name="Normal 5 2 6 7" xfId="4811" xr:uid="{00000000-0005-0000-0000-00005D190000}"/>
    <cellStyle name="Normal 5 2 6 7 2" xfId="13261" xr:uid="{80BC93FE-2068-42FF-A4D0-DF0A7D644CD3}"/>
    <cellStyle name="Normal 5 2 6 8" xfId="17483" xr:uid="{2FA5AADF-5E38-4BA6-B753-CCBF37F8C56D}"/>
    <cellStyle name="Normal 5 2 6 9" xfId="18316" xr:uid="{E71EAACB-81FD-4ACC-8698-2E9E46D4228A}"/>
    <cellStyle name="Normal 5 2 7" xfId="881" xr:uid="{00000000-0005-0000-0000-00005E190000}"/>
    <cellStyle name="Normal 5 2 7 2" xfId="3116" xr:uid="{00000000-0005-0000-0000-00005F190000}"/>
    <cellStyle name="Normal 5 2 7 2 2" xfId="7338" xr:uid="{00000000-0005-0000-0000-000060190000}"/>
    <cellStyle name="Normal 5 2 7 2 2 2" xfId="15788" xr:uid="{368E9D55-BD36-44A2-A791-614615509D47}"/>
    <cellStyle name="Normal 5 2 7 2 3" xfId="11570" xr:uid="{8495B943-AEB5-488A-9DD5-F7D31D399B37}"/>
    <cellStyle name="Normal 5 2 7 3" xfId="5193" xr:uid="{00000000-0005-0000-0000-000061190000}"/>
    <cellStyle name="Normal 5 2 7 3 2" xfId="13643" xr:uid="{E2E10EEE-E61E-4EA8-BD34-6BC4D30CB1DD}"/>
    <cellStyle name="Normal 5 2 7 4" xfId="17871" xr:uid="{F80645CF-4000-4FDF-BE0F-6A5A6E4C0011}"/>
    <cellStyle name="Normal 5 2 7 5" xfId="18701" xr:uid="{13F9B2D5-7A87-493E-AE64-BA788D3A790B}"/>
    <cellStyle name="Normal 5 2 7 6" xfId="19530" xr:uid="{CD585EFC-4944-44C2-AB9D-64E6E0A7BC50}"/>
    <cellStyle name="Normal 5 2 7 7" xfId="9425" xr:uid="{3F5F9753-BE67-4C30-AEE9-54091C6B7EA9}"/>
    <cellStyle name="Normal 5 2 8" xfId="1299" xr:uid="{00000000-0005-0000-0000-000062190000}"/>
    <cellStyle name="Normal 5 2 8 2" xfId="3529" xr:uid="{00000000-0005-0000-0000-000063190000}"/>
    <cellStyle name="Normal 5 2 8 2 2" xfId="7751" xr:uid="{00000000-0005-0000-0000-000064190000}"/>
    <cellStyle name="Normal 5 2 8 2 2 2" xfId="16201" xr:uid="{13ED1D57-8ABC-40C7-BA06-819F85472BED}"/>
    <cellStyle name="Normal 5 2 8 2 3" xfId="11983" xr:uid="{EA804BEE-842E-4A6D-A36A-8AE0E0A3864B}"/>
    <cellStyle name="Normal 5 2 8 3" xfId="5606" xr:uid="{00000000-0005-0000-0000-000065190000}"/>
    <cellStyle name="Normal 5 2 8 3 2" xfId="14056" xr:uid="{02044F6E-B4D9-4FB8-85E5-7089090EF7CF}"/>
    <cellStyle name="Normal 5 2 8 4" xfId="9838" xr:uid="{18D0BB54-5110-47AC-AD77-FC47999990F7}"/>
    <cellStyle name="Normal 5 2 9" xfId="1712" xr:uid="{00000000-0005-0000-0000-000066190000}"/>
    <cellStyle name="Normal 5 2 9 2" xfId="3942" xr:uid="{00000000-0005-0000-0000-000067190000}"/>
    <cellStyle name="Normal 5 2 9 2 2" xfId="8164" xr:uid="{00000000-0005-0000-0000-000068190000}"/>
    <cellStyle name="Normal 5 2 9 2 2 2" xfId="16614" xr:uid="{C701BA45-AAAC-4FA2-A0DE-50C9269C6A2A}"/>
    <cellStyle name="Normal 5 2 9 2 3" xfId="12396" xr:uid="{64566947-FB60-4C94-8891-EA7A9BCE058B}"/>
    <cellStyle name="Normal 5 2 9 3" xfId="6019" xr:uid="{00000000-0005-0000-0000-000069190000}"/>
    <cellStyle name="Normal 5 2 9 3 2" xfId="14469" xr:uid="{BAE68034-C849-4435-8DD3-A993284DBD23}"/>
    <cellStyle name="Normal 5 2 9 4" xfId="10251" xr:uid="{41D7DB8E-B7C6-4F2B-9808-53F2AF873A0D}"/>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57483A26-F048-4E24-B784-F5ED9D2B8845}"/>
    <cellStyle name="Normal 5 3 10 2 3" xfId="12841" xr:uid="{C96214CB-1B5E-4BE5-B417-1EB43892489A}"/>
    <cellStyle name="Normal 5 3 10 3" xfId="6464" xr:uid="{00000000-0005-0000-0000-00006E190000}"/>
    <cellStyle name="Normal 5 3 10 3 2" xfId="14914" xr:uid="{EF00632D-A701-4FAC-AB64-A49C155C2271}"/>
    <cellStyle name="Normal 5 3 10 4" xfId="10696" xr:uid="{48850C91-03D9-4A91-B944-61BA37DC26B4}"/>
    <cellStyle name="Normal 5 3 11" xfId="2594" xr:uid="{00000000-0005-0000-0000-00006F190000}"/>
    <cellStyle name="Normal 5 3 11 2" xfId="6877" xr:uid="{00000000-0005-0000-0000-000070190000}"/>
    <cellStyle name="Normal 5 3 11 2 2" xfId="15327" xr:uid="{FEB4953D-CC46-48FC-BFC3-A262E213778B}"/>
    <cellStyle name="Normal 5 3 11 3" xfId="11109" xr:uid="{E22A438A-30DE-4148-9D6C-5D03C7261DEE}"/>
    <cellStyle name="Normal 5 3 12" xfId="4812" xr:uid="{00000000-0005-0000-0000-000071190000}"/>
    <cellStyle name="Normal 5 3 12 2" xfId="13262" xr:uid="{0FD080CB-3CAC-4E4C-8649-CE6EF4C3AECB}"/>
    <cellStyle name="Normal 5 3 13" xfId="17484" xr:uid="{C06599DF-2D92-47DB-8289-FE0B3B5829E5}"/>
    <cellStyle name="Normal 5 3 14" xfId="18317" xr:uid="{D0017F10-52F4-4B29-8197-C2B587FE6FC3}"/>
    <cellStyle name="Normal 5 3 15" xfId="19146" xr:uid="{39E702FF-F5CF-443C-A1EC-2C3964CCF7A2}"/>
    <cellStyle name="Normal 5 3 16" xfId="9044" xr:uid="{6B63473E-0428-4312-8A6D-24B368077C8C}"/>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A2C40BB4-7625-42BB-A86B-DB758E310240}"/>
    <cellStyle name="Normal 5 3 3 11" xfId="17485" xr:uid="{BB715538-4263-4DA8-9EAA-8033D60DA72B}"/>
    <cellStyle name="Normal 5 3 3 12" xfId="18318" xr:uid="{2A12F075-D42A-4E1B-9F90-DDE0036DDEE5}"/>
    <cellStyle name="Normal 5 3 3 13" xfId="19147" xr:uid="{20AD6416-75E6-460A-A396-857B4691AB78}"/>
    <cellStyle name="Normal 5 3 3 14" xfId="9045" xr:uid="{E63535C9-E443-4E1A-ACCB-DF5B73AD4B6F}"/>
    <cellStyle name="Normal 5 3 3 2" xfId="442" xr:uid="{00000000-0005-0000-0000-000076190000}"/>
    <cellStyle name="Normal 5 3 3 2 10" xfId="17486" xr:uid="{B8D91FC7-865A-4F4C-BD97-9861A32FFAE8}"/>
    <cellStyle name="Normal 5 3 3 2 11" xfId="18319" xr:uid="{B452F3C0-49B7-446E-9D69-F379826077D1}"/>
    <cellStyle name="Normal 5 3 3 2 12" xfId="19148" xr:uid="{CCB7C5BB-629C-401C-919E-29A2C5F37380}"/>
    <cellStyle name="Normal 5 3 3 2 13" xfId="9046" xr:uid="{78CDEDEB-9340-4A26-A4E1-2274969882F5}"/>
    <cellStyle name="Normal 5 3 3 2 2" xfId="443" xr:uid="{00000000-0005-0000-0000-000077190000}"/>
    <cellStyle name="Normal 5 3 3 2 2 10" xfId="18320" xr:uid="{48D23AD7-EDAA-4A9F-81D0-09C586974E5E}"/>
    <cellStyle name="Normal 5 3 3 2 2 11" xfId="19149" xr:uid="{FCF306B6-661A-488C-9051-20F1DEEC629B}"/>
    <cellStyle name="Normal 5 3 3 2 2 12" xfId="9047" xr:uid="{0F98D700-99FE-46D7-A79B-D15D738DD275}"/>
    <cellStyle name="Normal 5 3 3 2 2 2" xfId="444" xr:uid="{00000000-0005-0000-0000-000078190000}"/>
    <cellStyle name="Normal 5 3 3 2 2 2 10" xfId="19150" xr:uid="{618242D6-E708-4CC8-9142-FDFF91D3C54C}"/>
    <cellStyle name="Normal 5 3 3 2 2 2 11" xfId="9048" xr:uid="{0CB13C98-BD81-4ADC-967D-5E9B83365562}"/>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C8E883F6-A07D-4CD7-95F2-A87576F2911C}"/>
    <cellStyle name="Normal 5 3 3 2 2 2 2 2 3" xfId="11606" xr:uid="{24C901A8-39F0-44DF-969A-0D071C9CA6E4}"/>
    <cellStyle name="Normal 5 3 3 2 2 2 2 3" xfId="5229" xr:uid="{00000000-0005-0000-0000-00007C190000}"/>
    <cellStyle name="Normal 5 3 3 2 2 2 2 3 2" xfId="13679" xr:uid="{5CB09E4B-F8AA-4EF9-B59F-9A726578C3AD}"/>
    <cellStyle name="Normal 5 3 3 2 2 2 2 4" xfId="17907" xr:uid="{EF558589-B345-4943-88A2-83F2A1064DAD}"/>
    <cellStyle name="Normal 5 3 3 2 2 2 2 5" xfId="18737" xr:uid="{0A702E42-F247-45B3-8C97-842A001A3603}"/>
    <cellStyle name="Normal 5 3 3 2 2 2 2 6" xfId="19566" xr:uid="{0073E9A6-F4C4-4BF7-9D26-5C5F822E840F}"/>
    <cellStyle name="Normal 5 3 3 2 2 2 2 7" xfId="9461" xr:uid="{D074F35F-59EA-4DA7-8C7B-848263D32D57}"/>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2424DF6F-E1B2-449F-9632-B3D15965402D}"/>
    <cellStyle name="Normal 5 3 3 2 2 2 3 2 3" xfId="12019" xr:uid="{FBDBE21F-E1B8-493A-B81D-E562369A5AED}"/>
    <cellStyle name="Normal 5 3 3 2 2 2 3 3" xfId="5642" xr:uid="{00000000-0005-0000-0000-000080190000}"/>
    <cellStyle name="Normal 5 3 3 2 2 2 3 3 2" xfId="14092" xr:uid="{192BF06E-FF82-413A-B3E2-D547C5C32285}"/>
    <cellStyle name="Normal 5 3 3 2 2 2 3 4" xfId="9874" xr:uid="{FA49DB89-082E-4D8F-BB64-8CD64EE13D48}"/>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FB3EE28B-8ED3-43BA-8E2A-96570F1C53D2}"/>
    <cellStyle name="Normal 5 3 3 2 2 2 4 2 3" xfId="12432" xr:uid="{2602A8AC-BC42-4523-A01A-1F13C675DCBE}"/>
    <cellStyle name="Normal 5 3 3 2 2 2 4 3" xfId="6055" xr:uid="{00000000-0005-0000-0000-000084190000}"/>
    <cellStyle name="Normal 5 3 3 2 2 2 4 3 2" xfId="14505" xr:uid="{074686C7-7556-4C0E-82A5-537348BB239F}"/>
    <cellStyle name="Normal 5 3 3 2 2 2 4 4" xfId="10287" xr:uid="{F4E84615-29B9-4C38-8626-9FB2A64AA2EB}"/>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D8FADE00-E851-40AA-8723-6D7EDB12FAE9}"/>
    <cellStyle name="Normal 5 3 3 2 2 2 5 2 3" xfId="12845" xr:uid="{3C0B4361-D931-4DFE-A4D7-BD51E1C74D85}"/>
    <cellStyle name="Normal 5 3 3 2 2 2 5 3" xfId="6468" xr:uid="{00000000-0005-0000-0000-000088190000}"/>
    <cellStyle name="Normal 5 3 3 2 2 2 5 3 2" xfId="14918" xr:uid="{B9C9558B-40A6-4AAB-B640-0F7E4FA54820}"/>
    <cellStyle name="Normal 5 3 3 2 2 2 5 4" xfId="10700" xr:uid="{1F45A9E3-9802-4442-B8A3-1650B63605CB}"/>
    <cellStyle name="Normal 5 3 3 2 2 2 6" xfId="2598" xr:uid="{00000000-0005-0000-0000-000089190000}"/>
    <cellStyle name="Normal 5 3 3 2 2 2 6 2" xfId="6881" xr:uid="{00000000-0005-0000-0000-00008A190000}"/>
    <cellStyle name="Normal 5 3 3 2 2 2 6 2 2" xfId="15331" xr:uid="{7E559357-E776-4EE2-966B-81800FB4D7B2}"/>
    <cellStyle name="Normal 5 3 3 2 2 2 6 3" xfId="11113" xr:uid="{0CFFE4E8-A4CE-485C-B47B-526C50E53583}"/>
    <cellStyle name="Normal 5 3 3 2 2 2 7" xfId="4816" xr:uid="{00000000-0005-0000-0000-00008B190000}"/>
    <cellStyle name="Normal 5 3 3 2 2 2 7 2" xfId="13266" xr:uid="{B46E5193-52F2-4027-A616-ED798CF502F1}"/>
    <cellStyle name="Normal 5 3 3 2 2 2 8" xfId="17488" xr:uid="{B5CF5ED1-29E2-445E-B39A-D326820289FA}"/>
    <cellStyle name="Normal 5 3 3 2 2 2 9" xfId="18321" xr:uid="{E252BFCD-6521-4B78-AE8B-1DBD39CA208F}"/>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3790FC78-419E-45F5-A111-2258510D9241}"/>
    <cellStyle name="Normal 5 3 3 2 2 3 2 3" xfId="11605" xr:uid="{B7DC7314-3525-477F-9A9A-1F8860617897}"/>
    <cellStyle name="Normal 5 3 3 2 2 3 3" xfId="5228" xr:uid="{00000000-0005-0000-0000-00008F190000}"/>
    <cellStyle name="Normal 5 3 3 2 2 3 3 2" xfId="13678" xr:uid="{9CB1CF56-AC17-41D4-950B-7D59D2EFDE41}"/>
    <cellStyle name="Normal 5 3 3 2 2 3 4" xfId="17906" xr:uid="{C8FAF749-DA01-46A5-A209-E0311536FC1A}"/>
    <cellStyle name="Normal 5 3 3 2 2 3 5" xfId="18736" xr:uid="{77C8ED23-B764-4472-8F99-EB876CBA0891}"/>
    <cellStyle name="Normal 5 3 3 2 2 3 6" xfId="19565" xr:uid="{558E00A9-B85B-4763-BC3F-325C8196D11B}"/>
    <cellStyle name="Normal 5 3 3 2 2 3 7" xfId="9460" xr:uid="{2DDD6EF0-83EC-4C7B-A1B8-84BD4AD4F75A}"/>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FE11FEFF-4954-4F47-8ED2-A6E4A132AD24}"/>
    <cellStyle name="Normal 5 3 3 2 2 4 2 3" xfId="12018" xr:uid="{872D621D-EC7A-4C28-B203-393D140A8640}"/>
    <cellStyle name="Normal 5 3 3 2 2 4 3" xfId="5641" xr:uid="{00000000-0005-0000-0000-000093190000}"/>
    <cellStyle name="Normal 5 3 3 2 2 4 3 2" xfId="14091" xr:uid="{80592317-D579-493E-A052-4878499E0E72}"/>
    <cellStyle name="Normal 5 3 3 2 2 4 4" xfId="9873" xr:uid="{1CCE3371-4CD6-48C1-B0FA-98A3890261AA}"/>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FAB92164-6E80-4549-A279-6F197D3D8B9A}"/>
    <cellStyle name="Normal 5 3 3 2 2 5 2 3" xfId="12431" xr:uid="{8F487B72-4783-45F3-B696-B2F20F2760C7}"/>
    <cellStyle name="Normal 5 3 3 2 2 5 3" xfId="6054" xr:uid="{00000000-0005-0000-0000-000097190000}"/>
    <cellStyle name="Normal 5 3 3 2 2 5 3 2" xfId="14504" xr:uid="{1E02FE93-9DA0-4628-8954-D39BCCF31637}"/>
    <cellStyle name="Normal 5 3 3 2 2 5 4" xfId="10286" xr:uid="{399ADF0E-DFA5-44D5-96A1-16DDF74B314A}"/>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DA2340F0-A16F-40D0-90C8-B80ADC7332FB}"/>
    <cellStyle name="Normal 5 3 3 2 2 6 2 3" xfId="12844" xr:uid="{5E7E8860-A1E8-4CBB-B387-F3EF23A7A6A2}"/>
    <cellStyle name="Normal 5 3 3 2 2 6 3" xfId="6467" xr:uid="{00000000-0005-0000-0000-00009B190000}"/>
    <cellStyle name="Normal 5 3 3 2 2 6 3 2" xfId="14917" xr:uid="{8469AEFB-8B19-492C-94BA-E2B3795BCEF2}"/>
    <cellStyle name="Normal 5 3 3 2 2 6 4" xfId="10699" xr:uid="{3A5AFDAD-44EC-4DC3-A1D8-C68EC584F427}"/>
    <cellStyle name="Normal 5 3 3 2 2 7" xfId="2597" xr:uid="{00000000-0005-0000-0000-00009C190000}"/>
    <cellStyle name="Normal 5 3 3 2 2 7 2" xfId="6880" xr:uid="{00000000-0005-0000-0000-00009D190000}"/>
    <cellStyle name="Normal 5 3 3 2 2 7 2 2" xfId="15330" xr:uid="{BB8A063F-AA3D-4A5E-9ABD-CE9E6306C188}"/>
    <cellStyle name="Normal 5 3 3 2 2 7 3" xfId="11112" xr:uid="{A9AC1D1B-B974-4654-823D-A21B41F2C466}"/>
    <cellStyle name="Normal 5 3 3 2 2 8" xfId="4815" xr:uid="{00000000-0005-0000-0000-00009E190000}"/>
    <cellStyle name="Normal 5 3 3 2 2 8 2" xfId="13265" xr:uid="{661FB449-F0CB-4DD9-8F3E-AD20442A1584}"/>
    <cellStyle name="Normal 5 3 3 2 2 9" xfId="17487" xr:uid="{C315586D-47B7-4ED3-BA3D-10EFCA58BA7C}"/>
    <cellStyle name="Normal 5 3 3 2 3" xfId="445" xr:uid="{00000000-0005-0000-0000-00009F190000}"/>
    <cellStyle name="Normal 5 3 3 2 3 10" xfId="19151" xr:uid="{5108FD12-B785-4AD8-9CD6-E58BB06071C9}"/>
    <cellStyle name="Normal 5 3 3 2 3 11" xfId="9049" xr:uid="{4EC824E6-BDB3-4F17-BF96-94BC8FE0DA96}"/>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5C5CC423-AE1A-4F61-9A39-89FF63827D31}"/>
    <cellStyle name="Normal 5 3 3 2 3 2 2 3" xfId="11607" xr:uid="{466CFB4A-E5E1-43FF-A2FE-8307A885ECDA}"/>
    <cellStyle name="Normal 5 3 3 2 3 2 3" xfId="5230" xr:uid="{00000000-0005-0000-0000-0000A3190000}"/>
    <cellStyle name="Normal 5 3 3 2 3 2 3 2" xfId="13680" xr:uid="{B602C01C-B6D6-4245-8C87-723513FE4D41}"/>
    <cellStyle name="Normal 5 3 3 2 3 2 4" xfId="17908" xr:uid="{606F2AEE-4A50-49D8-B65A-9D9750971987}"/>
    <cellStyle name="Normal 5 3 3 2 3 2 5" xfId="18738" xr:uid="{54FCD449-095E-4ADE-9ECF-049B101B7B8C}"/>
    <cellStyle name="Normal 5 3 3 2 3 2 6" xfId="19567" xr:uid="{577A813E-3954-4696-A685-D14D72D5D725}"/>
    <cellStyle name="Normal 5 3 3 2 3 2 7" xfId="9462" xr:uid="{978A0EDE-1C09-4925-8159-607BD47F259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25691259-3330-4670-9968-F0FCBDD37952}"/>
    <cellStyle name="Normal 5 3 3 2 3 3 2 3" xfId="12020" xr:uid="{71262818-CF49-4D66-AEC6-EE02C681446F}"/>
    <cellStyle name="Normal 5 3 3 2 3 3 3" xfId="5643" xr:uid="{00000000-0005-0000-0000-0000A7190000}"/>
    <cellStyle name="Normal 5 3 3 2 3 3 3 2" xfId="14093" xr:uid="{ED1D555F-83BF-437D-B9D2-4350EB082FD2}"/>
    <cellStyle name="Normal 5 3 3 2 3 3 4" xfId="9875" xr:uid="{FE789797-255B-4AAE-B17D-DA1B97EBF0EA}"/>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01FF7E7F-1015-48A8-B0F0-1D149E564395}"/>
    <cellStyle name="Normal 5 3 3 2 3 4 2 3" xfId="12433" xr:uid="{34A81F7E-A200-4B5E-8134-FC69339BDE56}"/>
    <cellStyle name="Normal 5 3 3 2 3 4 3" xfId="6056" xr:uid="{00000000-0005-0000-0000-0000AB190000}"/>
    <cellStyle name="Normal 5 3 3 2 3 4 3 2" xfId="14506" xr:uid="{BE0506C1-37C1-4437-BFD3-221681807577}"/>
    <cellStyle name="Normal 5 3 3 2 3 4 4" xfId="10288" xr:uid="{4D314E1D-DA0C-4D0A-BBF3-F9B294424477}"/>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913F3CEA-E8BB-4735-8B84-F36EAA9E3E07}"/>
    <cellStyle name="Normal 5 3 3 2 3 5 2 3" xfId="12846" xr:uid="{8A24D009-6C94-467D-A09C-894AF08F8D60}"/>
    <cellStyle name="Normal 5 3 3 2 3 5 3" xfId="6469" xr:uid="{00000000-0005-0000-0000-0000AF190000}"/>
    <cellStyle name="Normal 5 3 3 2 3 5 3 2" xfId="14919" xr:uid="{D5C89AB0-5001-4803-8785-E90BD48AB6D3}"/>
    <cellStyle name="Normal 5 3 3 2 3 5 4" xfId="10701" xr:uid="{ED14BB6E-9C7F-4839-B108-053C57B6D629}"/>
    <cellStyle name="Normal 5 3 3 2 3 6" xfId="2599" xr:uid="{00000000-0005-0000-0000-0000B0190000}"/>
    <cellStyle name="Normal 5 3 3 2 3 6 2" xfId="6882" xr:uid="{00000000-0005-0000-0000-0000B1190000}"/>
    <cellStyle name="Normal 5 3 3 2 3 6 2 2" xfId="15332" xr:uid="{B4B6BDE7-D6A7-41D9-A286-099EDBAC4B1F}"/>
    <cellStyle name="Normal 5 3 3 2 3 6 3" xfId="11114" xr:uid="{954A1955-A1D7-4F57-B949-C521EBC3A31A}"/>
    <cellStyle name="Normal 5 3 3 2 3 7" xfId="4817" xr:uid="{00000000-0005-0000-0000-0000B2190000}"/>
    <cellStyle name="Normal 5 3 3 2 3 7 2" xfId="13267" xr:uid="{94800E67-3439-4E46-99BB-599F7C3AB669}"/>
    <cellStyle name="Normal 5 3 3 2 3 8" xfId="17489" xr:uid="{4E88C8D4-5F3D-4C8B-85A7-4470E82D3F0B}"/>
    <cellStyle name="Normal 5 3 3 2 3 9" xfId="18322" xr:uid="{264C5071-B755-4D48-9754-89E3B16C609A}"/>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F4E55155-7064-45CB-BFF5-6EA3B4524A71}"/>
    <cellStyle name="Normal 5 3 3 2 4 2 3" xfId="11604" xr:uid="{5773F583-B927-4DDE-8FAD-FD0CFA38C9DA}"/>
    <cellStyle name="Normal 5 3 3 2 4 3" xfId="5227" xr:uid="{00000000-0005-0000-0000-0000B6190000}"/>
    <cellStyle name="Normal 5 3 3 2 4 3 2" xfId="13677" xr:uid="{FB113DAF-9EE2-41D5-BA32-D38E63E35339}"/>
    <cellStyle name="Normal 5 3 3 2 4 4" xfId="17905" xr:uid="{4EE1D37F-C5CD-4132-9C89-1F3E1DB1D1E3}"/>
    <cellStyle name="Normal 5 3 3 2 4 5" xfId="18735" xr:uid="{C175981D-D815-48C9-98CA-A565861ED37E}"/>
    <cellStyle name="Normal 5 3 3 2 4 6" xfId="19564" xr:uid="{3E4F1265-AD41-444B-B023-0C72A89BE153}"/>
    <cellStyle name="Normal 5 3 3 2 4 7" xfId="9459" xr:uid="{8DBEECA6-0446-4BF2-AC49-F3BA52E7BCCA}"/>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0A528F29-4749-4F18-AAC5-F6E7D5D73475}"/>
    <cellStyle name="Normal 5 3 3 2 5 2 3" xfId="12017" xr:uid="{D96AA87A-9FAD-4EE8-9383-EA37054A43E9}"/>
    <cellStyle name="Normal 5 3 3 2 5 3" xfId="5640" xr:uid="{00000000-0005-0000-0000-0000BA190000}"/>
    <cellStyle name="Normal 5 3 3 2 5 3 2" xfId="14090" xr:uid="{671231F2-61BA-42CA-BA34-696FAFDDD6A0}"/>
    <cellStyle name="Normal 5 3 3 2 5 4" xfId="9872" xr:uid="{EB472565-4DEC-444B-923F-13E2C6A4CE61}"/>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B11BC489-9EDF-46C7-AD6B-B17E849B50EE}"/>
    <cellStyle name="Normal 5 3 3 2 6 2 3" xfId="12430" xr:uid="{A84A4563-0588-45DD-A338-E5476E3A1080}"/>
    <cellStyle name="Normal 5 3 3 2 6 3" xfId="6053" xr:uid="{00000000-0005-0000-0000-0000BE190000}"/>
    <cellStyle name="Normal 5 3 3 2 6 3 2" xfId="14503" xr:uid="{61C9710D-9FD8-4600-84B3-619D46EE2A14}"/>
    <cellStyle name="Normal 5 3 3 2 6 4" xfId="10285" xr:uid="{65788922-9D1A-4780-835E-07F84703B883}"/>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917FAAA2-79F0-4EDB-966B-67D1A79F872D}"/>
    <cellStyle name="Normal 5 3 3 2 7 2 3" xfId="12843" xr:uid="{F63415AA-2544-49C8-ADD0-8115BA6A0320}"/>
    <cellStyle name="Normal 5 3 3 2 7 3" xfId="6466" xr:uid="{00000000-0005-0000-0000-0000C2190000}"/>
    <cellStyle name="Normal 5 3 3 2 7 3 2" xfId="14916" xr:uid="{F402E66B-A8DC-43B1-9168-8A869CF0E634}"/>
    <cellStyle name="Normal 5 3 3 2 7 4" xfId="10698" xr:uid="{8E7CA9D2-371B-409D-8A0F-10DED7843DD6}"/>
    <cellStyle name="Normal 5 3 3 2 8" xfId="2596" xr:uid="{00000000-0005-0000-0000-0000C3190000}"/>
    <cellStyle name="Normal 5 3 3 2 8 2" xfId="6879" xr:uid="{00000000-0005-0000-0000-0000C4190000}"/>
    <cellStyle name="Normal 5 3 3 2 8 2 2" xfId="15329" xr:uid="{A4FEEC42-C246-4CFE-9D07-9B87AB2F4C2F}"/>
    <cellStyle name="Normal 5 3 3 2 8 3" xfId="11111" xr:uid="{26951E20-EFD2-4EFC-A8A8-8306B49AE61A}"/>
    <cellStyle name="Normal 5 3 3 2 9" xfId="4814" xr:uid="{00000000-0005-0000-0000-0000C5190000}"/>
    <cellStyle name="Normal 5 3 3 2 9 2" xfId="13264" xr:uid="{2AFE2D02-CF90-4F20-8E33-E405C4F6D6EC}"/>
    <cellStyle name="Normal 5 3 3 3" xfId="446" xr:uid="{00000000-0005-0000-0000-0000C6190000}"/>
    <cellStyle name="Normal 5 3 3 3 10" xfId="18323" xr:uid="{BE76092B-6A7A-430A-9D14-484CE879090F}"/>
    <cellStyle name="Normal 5 3 3 3 11" xfId="19152" xr:uid="{792039A8-143A-4ED8-BC3F-118C975062A7}"/>
    <cellStyle name="Normal 5 3 3 3 12" xfId="9050" xr:uid="{647C829E-0C44-495E-B880-AE7124BC04B4}"/>
    <cellStyle name="Normal 5 3 3 3 2" xfId="447" xr:uid="{00000000-0005-0000-0000-0000C7190000}"/>
    <cellStyle name="Normal 5 3 3 3 2 10" xfId="19153" xr:uid="{139B0727-D552-4696-B518-CB2BE0C58314}"/>
    <cellStyle name="Normal 5 3 3 3 2 11" xfId="9051" xr:uid="{58FB3022-3408-4A4C-8481-9AE47DD52D16}"/>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A3B0E102-6DAE-4526-B122-D428619F974E}"/>
    <cellStyle name="Normal 5 3 3 3 2 2 2 3" xfId="11609" xr:uid="{85DCD46A-9063-4F2B-9FEA-E23C4FF088BB}"/>
    <cellStyle name="Normal 5 3 3 3 2 2 3" xfId="5232" xr:uid="{00000000-0005-0000-0000-0000CB190000}"/>
    <cellStyle name="Normal 5 3 3 3 2 2 3 2" xfId="13682" xr:uid="{77B6BA7D-B9F2-4560-8358-3716CD92D6D6}"/>
    <cellStyle name="Normal 5 3 3 3 2 2 4" xfId="17910" xr:uid="{5849E5A7-97E8-4BE7-AE8B-1628C942B6ED}"/>
    <cellStyle name="Normal 5 3 3 3 2 2 5" xfId="18740" xr:uid="{4FED0BE0-EEB1-4329-BB62-846412ADC69D}"/>
    <cellStyle name="Normal 5 3 3 3 2 2 6" xfId="19569" xr:uid="{F4E47C4F-0207-4333-A1B0-9AF194178ACD}"/>
    <cellStyle name="Normal 5 3 3 3 2 2 7" xfId="9464" xr:uid="{C645E2C9-C639-47E8-8920-D5AC7DE5ECFA}"/>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1941777E-DB9C-48E3-AA19-B1CF7C9FA5AB}"/>
    <cellStyle name="Normal 5 3 3 3 2 3 2 3" xfId="12022" xr:uid="{8FFB1CAD-D039-46CC-A93B-4A245338C813}"/>
    <cellStyle name="Normal 5 3 3 3 2 3 3" xfId="5645" xr:uid="{00000000-0005-0000-0000-0000CF190000}"/>
    <cellStyle name="Normal 5 3 3 3 2 3 3 2" xfId="14095" xr:uid="{D8807527-FECB-4D0B-9611-1A2E60201810}"/>
    <cellStyle name="Normal 5 3 3 3 2 3 4" xfId="9877" xr:uid="{7D57E4C3-F4F9-4C27-9FD7-9D0935BBD5B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0C97ED98-4AF0-4714-A4E3-DE76392F8873}"/>
    <cellStyle name="Normal 5 3 3 3 2 4 2 3" xfId="12435" xr:uid="{65A789E5-5416-42CD-94F8-4857CE880FAB}"/>
    <cellStyle name="Normal 5 3 3 3 2 4 3" xfId="6058" xr:uid="{00000000-0005-0000-0000-0000D3190000}"/>
    <cellStyle name="Normal 5 3 3 3 2 4 3 2" xfId="14508" xr:uid="{50F0B321-187E-4554-BB68-EB6EE45B897E}"/>
    <cellStyle name="Normal 5 3 3 3 2 4 4" xfId="10290" xr:uid="{D64388A3-8DEB-4F12-A1DA-F8762D9FA149}"/>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85151DDE-4455-4E71-9F7E-A0895754E6CF}"/>
    <cellStyle name="Normal 5 3 3 3 2 5 2 3" xfId="12848" xr:uid="{569520B9-A9AB-4AE5-842B-1F05959BB169}"/>
    <cellStyle name="Normal 5 3 3 3 2 5 3" xfId="6471" xr:uid="{00000000-0005-0000-0000-0000D7190000}"/>
    <cellStyle name="Normal 5 3 3 3 2 5 3 2" xfId="14921" xr:uid="{AD161E3A-C1F2-4C89-A624-5246E7EB9FE6}"/>
    <cellStyle name="Normal 5 3 3 3 2 5 4" xfId="10703" xr:uid="{497220B7-E6FD-4524-B2A3-E5869B883B6F}"/>
    <cellStyle name="Normal 5 3 3 3 2 6" xfId="2601" xr:uid="{00000000-0005-0000-0000-0000D8190000}"/>
    <cellStyle name="Normal 5 3 3 3 2 6 2" xfId="6884" xr:uid="{00000000-0005-0000-0000-0000D9190000}"/>
    <cellStyle name="Normal 5 3 3 3 2 6 2 2" xfId="15334" xr:uid="{BDFB099B-99B9-41AB-9E9B-D7DC278D95D8}"/>
    <cellStyle name="Normal 5 3 3 3 2 6 3" xfId="11116" xr:uid="{64907FE4-3FB6-4221-965E-DF571A104650}"/>
    <cellStyle name="Normal 5 3 3 3 2 7" xfId="4819" xr:uid="{00000000-0005-0000-0000-0000DA190000}"/>
    <cellStyle name="Normal 5 3 3 3 2 7 2" xfId="13269" xr:uid="{CDBB4C4A-B752-4F78-B4E5-29CCE6B18B3C}"/>
    <cellStyle name="Normal 5 3 3 3 2 8" xfId="17491" xr:uid="{DDA3FB2E-DBE4-4C81-8743-6805320BBB81}"/>
    <cellStyle name="Normal 5 3 3 3 2 9" xfId="18324" xr:uid="{766DE5EB-848C-4E86-916A-64D9AAA2ACC3}"/>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39659B0A-4031-4B2D-8C2E-6949AC395CD0}"/>
    <cellStyle name="Normal 5 3 3 3 3 2 3" xfId="11608" xr:uid="{6477F570-0E02-4D01-9774-E08BDA77B2F3}"/>
    <cellStyle name="Normal 5 3 3 3 3 3" xfId="5231" xr:uid="{00000000-0005-0000-0000-0000DE190000}"/>
    <cellStyle name="Normal 5 3 3 3 3 3 2" xfId="13681" xr:uid="{4B646AED-08B7-4E3F-A3C0-26DFF4EEC8EA}"/>
    <cellStyle name="Normal 5 3 3 3 3 4" xfId="17909" xr:uid="{B0D638BC-BD24-4B1E-A201-6590A28DE4E6}"/>
    <cellStyle name="Normal 5 3 3 3 3 5" xfId="18739" xr:uid="{8E9F031B-0396-4AD9-AEE3-7D5B572EDD7F}"/>
    <cellStyle name="Normal 5 3 3 3 3 6" xfId="19568" xr:uid="{37FAED98-DE91-4C6A-90A7-10E60F59227E}"/>
    <cellStyle name="Normal 5 3 3 3 3 7" xfId="9463" xr:uid="{EDAA4C82-EAEE-4F1E-B6FD-DBE3EA123084}"/>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D494DE9F-D912-4133-9C87-3B948ECF7165}"/>
    <cellStyle name="Normal 5 3 3 3 4 2 3" xfId="12021" xr:uid="{577576E8-EE6F-4C32-B210-369F32B522AE}"/>
    <cellStyle name="Normal 5 3 3 3 4 3" xfId="5644" xr:uid="{00000000-0005-0000-0000-0000E2190000}"/>
    <cellStyle name="Normal 5 3 3 3 4 3 2" xfId="14094" xr:uid="{4A6C9126-70EB-4F41-8EA4-65A06EA88E1A}"/>
    <cellStyle name="Normal 5 3 3 3 4 4" xfId="9876" xr:uid="{05901B83-C485-4A9C-920D-55749CD329A5}"/>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639E03F1-EEFF-4F83-9ECA-AE6C74BDC316}"/>
    <cellStyle name="Normal 5 3 3 3 5 2 3" xfId="12434" xr:uid="{4230BACE-5CFC-49A1-9488-4D3E52660A4B}"/>
    <cellStyle name="Normal 5 3 3 3 5 3" xfId="6057" xr:uid="{00000000-0005-0000-0000-0000E6190000}"/>
    <cellStyle name="Normal 5 3 3 3 5 3 2" xfId="14507" xr:uid="{BC17C7F7-8970-49E3-A98F-3F654E6B9EF2}"/>
    <cellStyle name="Normal 5 3 3 3 5 4" xfId="10289" xr:uid="{FC5140B0-DCC7-4050-A568-9893BD5C9868}"/>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27B6EDB0-3D60-4C35-BB0C-26EF4D2E15A9}"/>
    <cellStyle name="Normal 5 3 3 3 6 2 3" xfId="12847" xr:uid="{2DA59314-7A3B-4161-B04F-C4F94BA64D33}"/>
    <cellStyle name="Normal 5 3 3 3 6 3" xfId="6470" xr:uid="{00000000-0005-0000-0000-0000EA190000}"/>
    <cellStyle name="Normal 5 3 3 3 6 3 2" xfId="14920" xr:uid="{39E4ECFA-1E71-43A1-AE75-70923F1DD8D4}"/>
    <cellStyle name="Normal 5 3 3 3 6 4" xfId="10702" xr:uid="{B9F7DE1E-6AD7-4DA8-87D3-9825A7727E13}"/>
    <cellStyle name="Normal 5 3 3 3 7" xfId="2600" xr:uid="{00000000-0005-0000-0000-0000EB190000}"/>
    <cellStyle name="Normal 5 3 3 3 7 2" xfId="6883" xr:uid="{00000000-0005-0000-0000-0000EC190000}"/>
    <cellStyle name="Normal 5 3 3 3 7 2 2" xfId="15333" xr:uid="{920223C1-99BD-44BC-9B62-049BBC3DD6C7}"/>
    <cellStyle name="Normal 5 3 3 3 7 3" xfId="11115" xr:uid="{CE03749A-D614-493B-810D-57D39A32CCF4}"/>
    <cellStyle name="Normal 5 3 3 3 8" xfId="4818" xr:uid="{00000000-0005-0000-0000-0000ED190000}"/>
    <cellStyle name="Normal 5 3 3 3 8 2" xfId="13268" xr:uid="{1FB5C807-0DEA-4B06-B158-0302DDD4184F}"/>
    <cellStyle name="Normal 5 3 3 3 9" xfId="17490" xr:uid="{CF5A4138-A084-41FD-BBB5-60823F95EBB3}"/>
    <cellStyle name="Normal 5 3 3 4" xfId="448" xr:uid="{00000000-0005-0000-0000-0000EE190000}"/>
    <cellStyle name="Normal 5 3 3 4 10" xfId="19154" xr:uid="{B4A7ACA9-EAFA-4C2A-9AB7-1876F153D8A9}"/>
    <cellStyle name="Normal 5 3 3 4 11" xfId="9052" xr:uid="{ED41D9C5-7BE4-44E4-9721-483694245157}"/>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92B6ABE7-AF66-40E7-B900-0C26D3912E62}"/>
    <cellStyle name="Normal 5 3 3 4 2 2 3" xfId="11610" xr:uid="{CF58ADAC-09AE-4C20-ADBA-1F5A8ABEB1D4}"/>
    <cellStyle name="Normal 5 3 3 4 2 3" xfId="5233" xr:uid="{00000000-0005-0000-0000-0000F2190000}"/>
    <cellStyle name="Normal 5 3 3 4 2 3 2" xfId="13683" xr:uid="{285085DC-5425-4341-A5CB-51D24BE61408}"/>
    <cellStyle name="Normal 5 3 3 4 2 4" xfId="17911" xr:uid="{898136DC-98DA-4A89-A81A-B1F333278151}"/>
    <cellStyle name="Normal 5 3 3 4 2 5" xfId="18741" xr:uid="{448FB62A-B7D9-4501-9F7F-1BAD05D3BCCA}"/>
    <cellStyle name="Normal 5 3 3 4 2 6" xfId="19570" xr:uid="{E69E7F94-E915-44CE-9152-AEC8749C0C07}"/>
    <cellStyle name="Normal 5 3 3 4 2 7" xfId="9465" xr:uid="{E846BF69-EA2E-42BA-93F8-7E5BF2D0D33C}"/>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4335879E-3771-4666-A7A1-306DF087886F}"/>
    <cellStyle name="Normal 5 3 3 4 3 2 3" xfId="12023" xr:uid="{2CC007C2-599E-4937-9333-86B59EDBA93C}"/>
    <cellStyle name="Normal 5 3 3 4 3 3" xfId="5646" xr:uid="{00000000-0005-0000-0000-0000F6190000}"/>
    <cellStyle name="Normal 5 3 3 4 3 3 2" xfId="14096" xr:uid="{B9C36242-150C-4558-A9EC-60E0DCE34615}"/>
    <cellStyle name="Normal 5 3 3 4 3 4" xfId="9878" xr:uid="{295F82D9-AB13-4F60-9F7F-E669971FB65B}"/>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95C97693-31B2-4E34-9D09-04D27CBA2102}"/>
    <cellStyle name="Normal 5 3 3 4 4 2 3" xfId="12436" xr:uid="{EF0CC2B2-DD98-4138-AE8F-B44AD991C10E}"/>
    <cellStyle name="Normal 5 3 3 4 4 3" xfId="6059" xr:uid="{00000000-0005-0000-0000-0000FA190000}"/>
    <cellStyle name="Normal 5 3 3 4 4 3 2" xfId="14509" xr:uid="{31484251-8584-400A-8F7A-E197949F970B}"/>
    <cellStyle name="Normal 5 3 3 4 4 4" xfId="10291" xr:uid="{AA175B40-21FD-4AAA-BCC7-F000E96FA289}"/>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FED2C0BC-30C5-417D-A39B-E7AB8572FD09}"/>
    <cellStyle name="Normal 5 3 3 4 5 2 3" xfId="12849" xr:uid="{D8EDF9C3-9A42-4635-AA5B-EE7042B94170}"/>
    <cellStyle name="Normal 5 3 3 4 5 3" xfId="6472" xr:uid="{00000000-0005-0000-0000-0000FE190000}"/>
    <cellStyle name="Normal 5 3 3 4 5 3 2" xfId="14922" xr:uid="{95BD668E-AC05-4998-8A16-C06EDC2379C0}"/>
    <cellStyle name="Normal 5 3 3 4 5 4" xfId="10704" xr:uid="{0D1FDEFA-9D18-40B2-B5E9-E42B42461A29}"/>
    <cellStyle name="Normal 5 3 3 4 6" xfId="2602" xr:uid="{00000000-0005-0000-0000-0000FF190000}"/>
    <cellStyle name="Normal 5 3 3 4 6 2" xfId="6885" xr:uid="{00000000-0005-0000-0000-0000001A0000}"/>
    <cellStyle name="Normal 5 3 3 4 6 2 2" xfId="15335" xr:uid="{38DADDE5-932A-4006-AD8B-4DAD8B042619}"/>
    <cellStyle name="Normal 5 3 3 4 6 3" xfId="11117" xr:uid="{63846568-8531-4DCD-B3DD-5291E51D52B0}"/>
    <cellStyle name="Normal 5 3 3 4 7" xfId="4820" xr:uid="{00000000-0005-0000-0000-0000011A0000}"/>
    <cellStyle name="Normal 5 3 3 4 7 2" xfId="13270" xr:uid="{2D50C435-29C5-41AE-A8EE-E72663C26B3C}"/>
    <cellStyle name="Normal 5 3 3 4 8" xfId="17492" xr:uid="{EF285E14-2F6A-4BF5-98EF-EE2B83FE0821}"/>
    <cellStyle name="Normal 5 3 3 4 9" xfId="18325" xr:uid="{43BA3AB8-7AAF-42A1-AA9F-90910E99EFD2}"/>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18684149-3B86-4AA4-851A-5BE7A326DC63}"/>
    <cellStyle name="Normal 5 3 3 5 2 3" xfId="11603" xr:uid="{B8F38621-21E2-4EAC-90F4-C13C0383C7DF}"/>
    <cellStyle name="Normal 5 3 3 5 3" xfId="5226" xr:uid="{00000000-0005-0000-0000-0000051A0000}"/>
    <cellStyle name="Normal 5 3 3 5 3 2" xfId="13676" xr:uid="{B592314B-24DC-4218-B823-D073F4FA9464}"/>
    <cellStyle name="Normal 5 3 3 5 4" xfId="17904" xr:uid="{3A036716-7B46-49EC-AFD6-206B287D88D8}"/>
    <cellStyle name="Normal 5 3 3 5 5" xfId="18734" xr:uid="{34F72332-03A5-4EF2-BFEB-FE93A40E8392}"/>
    <cellStyle name="Normal 5 3 3 5 6" xfId="19563" xr:uid="{29F30E8A-1A53-4E69-B4B4-AF534937E5E4}"/>
    <cellStyle name="Normal 5 3 3 5 7" xfId="9458" xr:uid="{6668B5A7-741F-4935-A44D-3104EC239EEB}"/>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FAEC2122-7231-4D46-9A4F-5A21D948E1C8}"/>
    <cellStyle name="Normal 5 3 3 6 2 3" xfId="12016" xr:uid="{9F1C8F5C-526B-429D-A373-079503F32742}"/>
    <cellStyle name="Normal 5 3 3 6 3" xfId="5639" xr:uid="{00000000-0005-0000-0000-0000091A0000}"/>
    <cellStyle name="Normal 5 3 3 6 3 2" xfId="14089" xr:uid="{B0005FBA-46E7-4528-899A-99C261EA140A}"/>
    <cellStyle name="Normal 5 3 3 6 4" xfId="9871" xr:uid="{5D143CC4-C822-44F1-AB4E-800BAFD97A84}"/>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06101DA1-B1D4-4567-A89C-AD7D6C6373BF}"/>
    <cellStyle name="Normal 5 3 3 7 2 3" xfId="12429" xr:uid="{0BCEE9A0-5734-47A8-BD7B-3FE221D0D26E}"/>
    <cellStyle name="Normal 5 3 3 7 3" xfId="6052" xr:uid="{00000000-0005-0000-0000-00000D1A0000}"/>
    <cellStyle name="Normal 5 3 3 7 3 2" xfId="14502" xr:uid="{C2909737-09C0-4BDD-9F01-EF6DEFB9A820}"/>
    <cellStyle name="Normal 5 3 3 7 4" xfId="10284" xr:uid="{1CADEC30-306E-4799-B85B-7AD703730CFD}"/>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A1402811-85F2-4A65-B943-0C7D1AFEE272}"/>
    <cellStyle name="Normal 5 3 3 8 2 3" xfId="12842" xr:uid="{E7CEEAE5-397A-4B5F-9541-0C8BA0B294C9}"/>
    <cellStyle name="Normal 5 3 3 8 3" xfId="6465" xr:uid="{00000000-0005-0000-0000-0000111A0000}"/>
    <cellStyle name="Normal 5 3 3 8 3 2" xfId="14915" xr:uid="{4B6D38A7-F89B-4F13-B142-E8CE6CF28205}"/>
    <cellStyle name="Normal 5 3 3 8 4" xfId="10697" xr:uid="{BD95ADD9-A401-4C0F-9F36-837CFCB739B4}"/>
    <cellStyle name="Normal 5 3 3 9" xfId="2595" xr:uid="{00000000-0005-0000-0000-0000121A0000}"/>
    <cellStyle name="Normal 5 3 3 9 2" xfId="6878" xr:uid="{00000000-0005-0000-0000-0000131A0000}"/>
    <cellStyle name="Normal 5 3 3 9 2 2" xfId="15328" xr:uid="{2B90C2F2-337A-4D7F-9533-A6FDB9218E15}"/>
    <cellStyle name="Normal 5 3 3 9 3" xfId="11110" xr:uid="{843215A1-940B-45DC-87D8-C73E194C37C1}"/>
    <cellStyle name="Normal 5 3 4" xfId="449" xr:uid="{00000000-0005-0000-0000-0000141A0000}"/>
    <cellStyle name="Normal 5 3 4 10" xfId="17493" xr:uid="{39202864-4BA3-48C7-858D-E5C3E82E0D99}"/>
    <cellStyle name="Normal 5 3 4 11" xfId="18326" xr:uid="{32F50668-4819-4772-A316-AB4F3EAD5384}"/>
    <cellStyle name="Normal 5 3 4 12" xfId="19155" xr:uid="{3743A4CF-177B-46DA-A0BF-1EEE7864BA99}"/>
    <cellStyle name="Normal 5 3 4 13" xfId="9053" xr:uid="{E4A179A0-1DAA-4F70-AB0B-7C2FFB2766A1}"/>
    <cellStyle name="Normal 5 3 4 2" xfId="450" xr:uid="{00000000-0005-0000-0000-0000151A0000}"/>
    <cellStyle name="Normal 5 3 4 2 10" xfId="18327" xr:uid="{E1189863-78E2-4D4F-9CD1-BDA45FF6A79E}"/>
    <cellStyle name="Normal 5 3 4 2 11" xfId="19156" xr:uid="{7FD000C4-10E5-413C-BBB6-17C0553A8649}"/>
    <cellStyle name="Normal 5 3 4 2 12" xfId="9054" xr:uid="{F351C4AD-EBC0-4FDE-8656-5DFB76872F91}"/>
    <cellStyle name="Normal 5 3 4 2 2" xfId="451" xr:uid="{00000000-0005-0000-0000-0000161A0000}"/>
    <cellStyle name="Normal 5 3 4 2 2 10" xfId="19157" xr:uid="{B4399B5E-7E0A-4ED1-9B80-78B28AD5945B}"/>
    <cellStyle name="Normal 5 3 4 2 2 11" xfId="9055" xr:uid="{956B53C2-2DFA-4755-906A-911A912327FF}"/>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F613116F-2813-4E39-ADAF-2C1D553A17F2}"/>
    <cellStyle name="Normal 5 3 4 2 2 2 2 3" xfId="11613" xr:uid="{DC597E0A-27F2-458C-B443-1F85EDB6BD5C}"/>
    <cellStyle name="Normal 5 3 4 2 2 2 3" xfId="5236" xr:uid="{00000000-0005-0000-0000-00001A1A0000}"/>
    <cellStyle name="Normal 5 3 4 2 2 2 3 2" xfId="13686" xr:uid="{E044FB42-106F-4225-84FD-0217D5CDBAC4}"/>
    <cellStyle name="Normal 5 3 4 2 2 2 4" xfId="17914" xr:uid="{7B44E991-386B-4CDD-A1A8-DF2630148793}"/>
    <cellStyle name="Normal 5 3 4 2 2 2 5" xfId="18744" xr:uid="{8D26EDD0-DA5E-4CDA-B55E-F71CCB7D0B09}"/>
    <cellStyle name="Normal 5 3 4 2 2 2 6" xfId="19573" xr:uid="{31DFD0CF-5B02-48B9-9729-7EA575F1BBD9}"/>
    <cellStyle name="Normal 5 3 4 2 2 2 7" xfId="9468" xr:uid="{528711C3-DF97-4D7A-B5CB-903118FB1D6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8CBF4EBA-23AC-4B7A-98F7-4381DE0BC5C1}"/>
    <cellStyle name="Normal 5 3 4 2 2 3 2 3" xfId="12026" xr:uid="{A60CB898-6E71-41CD-ACDA-66D230CFA609}"/>
    <cellStyle name="Normal 5 3 4 2 2 3 3" xfId="5649" xr:uid="{00000000-0005-0000-0000-00001E1A0000}"/>
    <cellStyle name="Normal 5 3 4 2 2 3 3 2" xfId="14099" xr:uid="{713473AC-C4C1-4767-A4D4-513B25D42A81}"/>
    <cellStyle name="Normal 5 3 4 2 2 3 4" xfId="9881" xr:uid="{70254321-F44C-473B-8A26-0660C834372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63F69732-4702-448C-8794-9B5C6E034E16}"/>
    <cellStyle name="Normal 5 3 4 2 2 4 2 3" xfId="12439" xr:uid="{064BCCBA-7E00-4BF3-90A2-A9AE3AD6981D}"/>
    <cellStyle name="Normal 5 3 4 2 2 4 3" xfId="6062" xr:uid="{00000000-0005-0000-0000-0000221A0000}"/>
    <cellStyle name="Normal 5 3 4 2 2 4 3 2" xfId="14512" xr:uid="{A582E05B-9B6C-4377-A81B-84C1626FCCBC}"/>
    <cellStyle name="Normal 5 3 4 2 2 4 4" xfId="10294" xr:uid="{B22AB6D4-6D15-4C33-A3A1-3088B4CE182E}"/>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D204183F-2604-4A53-A9AA-1E122FBA3D96}"/>
    <cellStyle name="Normal 5 3 4 2 2 5 2 3" xfId="12852" xr:uid="{EA204A7E-EF61-47CF-88E4-6AF6C154DBA3}"/>
    <cellStyle name="Normal 5 3 4 2 2 5 3" xfId="6475" xr:uid="{00000000-0005-0000-0000-0000261A0000}"/>
    <cellStyle name="Normal 5 3 4 2 2 5 3 2" xfId="14925" xr:uid="{ED534879-38D3-4DAF-B80C-26AEF9ABA7EB}"/>
    <cellStyle name="Normal 5 3 4 2 2 5 4" xfId="10707" xr:uid="{9862FA64-CD9A-478F-9014-81E690D63450}"/>
    <cellStyle name="Normal 5 3 4 2 2 6" xfId="2605" xr:uid="{00000000-0005-0000-0000-0000271A0000}"/>
    <cellStyle name="Normal 5 3 4 2 2 6 2" xfId="6888" xr:uid="{00000000-0005-0000-0000-0000281A0000}"/>
    <cellStyle name="Normal 5 3 4 2 2 6 2 2" xfId="15338" xr:uid="{4FD2140A-30A8-4AEA-913A-A81E04F864F8}"/>
    <cellStyle name="Normal 5 3 4 2 2 6 3" xfId="11120" xr:uid="{A78C0AB9-CAC0-48AC-802C-D4973F542520}"/>
    <cellStyle name="Normal 5 3 4 2 2 7" xfId="4823" xr:uid="{00000000-0005-0000-0000-0000291A0000}"/>
    <cellStyle name="Normal 5 3 4 2 2 7 2" xfId="13273" xr:uid="{84A314FF-34BB-4E0B-95B3-F2FC8BA28FB7}"/>
    <cellStyle name="Normal 5 3 4 2 2 8" xfId="17495" xr:uid="{AD8E8378-E173-49ED-8276-7FEA1DA2E7E2}"/>
    <cellStyle name="Normal 5 3 4 2 2 9" xfId="18328" xr:uid="{4635F4E0-DBAD-4D1F-A522-87D217CE66C6}"/>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BDD07FA2-E5D6-4D56-A287-7772AF063F38}"/>
    <cellStyle name="Normal 5 3 4 2 3 2 3" xfId="11612" xr:uid="{D3377D6C-DFF7-4815-942F-80B62ADBA386}"/>
    <cellStyle name="Normal 5 3 4 2 3 3" xfId="5235" xr:uid="{00000000-0005-0000-0000-00002D1A0000}"/>
    <cellStyle name="Normal 5 3 4 2 3 3 2" xfId="13685" xr:uid="{5AB20ECF-939A-4C37-9545-2F3C7B1C963D}"/>
    <cellStyle name="Normal 5 3 4 2 3 4" xfId="17913" xr:uid="{965E90CD-BD44-4199-9FC0-3DD208E31A2A}"/>
    <cellStyle name="Normal 5 3 4 2 3 5" xfId="18743" xr:uid="{B20391D9-1078-4643-80DB-47F635B28A9B}"/>
    <cellStyle name="Normal 5 3 4 2 3 6" xfId="19572" xr:uid="{85137FA5-B423-4B20-9B7F-0D0429AB426F}"/>
    <cellStyle name="Normal 5 3 4 2 3 7" xfId="9467" xr:uid="{BE77F923-E9EF-4261-B220-9649F71BF41B}"/>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08F28954-CB2B-426A-85D4-B5D72D795EE4}"/>
    <cellStyle name="Normal 5 3 4 2 4 2 3" xfId="12025" xr:uid="{1A620FED-DA54-4EF9-ACD2-16B0273AB75A}"/>
    <cellStyle name="Normal 5 3 4 2 4 3" xfId="5648" xr:uid="{00000000-0005-0000-0000-0000311A0000}"/>
    <cellStyle name="Normal 5 3 4 2 4 3 2" xfId="14098" xr:uid="{F6B43EA5-FB04-4DA1-B24F-A03CFAC39AD5}"/>
    <cellStyle name="Normal 5 3 4 2 4 4" xfId="9880" xr:uid="{BCBD8370-29F2-4292-B326-94F6C95B4C65}"/>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3732ED27-E6D0-46E8-BA46-2FA51B2BFCDB}"/>
    <cellStyle name="Normal 5 3 4 2 5 2 3" xfId="12438" xr:uid="{140D698A-2641-40B8-8DF5-1D7E3C7E0192}"/>
    <cellStyle name="Normal 5 3 4 2 5 3" xfId="6061" xr:uid="{00000000-0005-0000-0000-0000351A0000}"/>
    <cellStyle name="Normal 5 3 4 2 5 3 2" xfId="14511" xr:uid="{99810FE8-9D09-4C91-9A00-9C509059F201}"/>
    <cellStyle name="Normal 5 3 4 2 5 4" xfId="10293" xr:uid="{7A60D09A-FA7C-4BA9-866E-73C2475AC9BE}"/>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7304584B-E368-4F24-A906-DFB5ECD25569}"/>
    <cellStyle name="Normal 5 3 4 2 6 2 3" xfId="12851" xr:uid="{C4C2257B-05B3-494F-9D6C-A7718CE27C6E}"/>
    <cellStyle name="Normal 5 3 4 2 6 3" xfId="6474" xr:uid="{00000000-0005-0000-0000-0000391A0000}"/>
    <cellStyle name="Normal 5 3 4 2 6 3 2" xfId="14924" xr:uid="{80A20255-2DA0-4E46-9DFE-47AE175C9B46}"/>
    <cellStyle name="Normal 5 3 4 2 6 4" xfId="10706" xr:uid="{80CC9ADB-2EC4-4D86-BEA0-9A7E71835744}"/>
    <cellStyle name="Normal 5 3 4 2 7" xfId="2604" xr:uid="{00000000-0005-0000-0000-00003A1A0000}"/>
    <cellStyle name="Normal 5 3 4 2 7 2" xfId="6887" xr:uid="{00000000-0005-0000-0000-00003B1A0000}"/>
    <cellStyle name="Normal 5 3 4 2 7 2 2" xfId="15337" xr:uid="{1E898C8D-1486-4987-9436-148C80E4A615}"/>
    <cellStyle name="Normal 5 3 4 2 7 3" xfId="11119" xr:uid="{F7A5F803-AF2F-47C1-8155-7F120B02182F}"/>
    <cellStyle name="Normal 5 3 4 2 8" xfId="4822" xr:uid="{00000000-0005-0000-0000-00003C1A0000}"/>
    <cellStyle name="Normal 5 3 4 2 8 2" xfId="13272" xr:uid="{69EE8FAA-5F1D-4536-93D5-D379E31EB233}"/>
    <cellStyle name="Normal 5 3 4 2 9" xfId="17494" xr:uid="{1E0443B1-5EFD-4D6D-B23B-C3C180DD598F}"/>
    <cellStyle name="Normal 5 3 4 3" xfId="452" xr:uid="{00000000-0005-0000-0000-00003D1A0000}"/>
    <cellStyle name="Normal 5 3 4 3 10" xfId="19158" xr:uid="{19767DF7-F7BB-4743-93F7-60966CB00393}"/>
    <cellStyle name="Normal 5 3 4 3 11" xfId="9056" xr:uid="{0624B444-10D7-47BA-8171-4D3AD7D76C19}"/>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A08E906B-7EE7-4A20-8A16-1D78901CD589}"/>
    <cellStyle name="Normal 5 3 4 3 2 2 3" xfId="11614" xr:uid="{38B63ABE-64ED-4DC1-9B63-ED163EAB0A0C}"/>
    <cellStyle name="Normal 5 3 4 3 2 3" xfId="5237" xr:uid="{00000000-0005-0000-0000-0000411A0000}"/>
    <cellStyle name="Normal 5 3 4 3 2 3 2" xfId="13687" xr:uid="{2049FAA2-7D50-4E44-8C0C-0F44005D16A5}"/>
    <cellStyle name="Normal 5 3 4 3 2 4" xfId="17915" xr:uid="{B95D4738-2372-491F-98FC-F5D24D09DC2F}"/>
    <cellStyle name="Normal 5 3 4 3 2 5" xfId="18745" xr:uid="{DBEF75C8-32E8-4C48-84FE-DC92C5CE15F4}"/>
    <cellStyle name="Normal 5 3 4 3 2 6" xfId="19574" xr:uid="{18B67BA5-2440-4CC2-8F6C-A7BAFE8013FE}"/>
    <cellStyle name="Normal 5 3 4 3 2 7" xfId="9469" xr:uid="{A7D692DD-AA9E-4FDC-88A4-20F84C3DD1B9}"/>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FF367068-2DCF-43FB-AE0A-D741BA057DC2}"/>
    <cellStyle name="Normal 5 3 4 3 3 2 3" xfId="12027" xr:uid="{C090B5AE-9E9F-49F1-99DA-7D19A5421442}"/>
    <cellStyle name="Normal 5 3 4 3 3 3" xfId="5650" xr:uid="{00000000-0005-0000-0000-0000451A0000}"/>
    <cellStyle name="Normal 5 3 4 3 3 3 2" xfId="14100" xr:uid="{ADB66976-6936-4763-AB4B-259998238045}"/>
    <cellStyle name="Normal 5 3 4 3 3 4" xfId="9882" xr:uid="{6BBE2FFB-7E4C-4235-BBA2-A50AC8FF0D06}"/>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2736E6B0-9A35-4A29-8227-5C0499C8E6D8}"/>
    <cellStyle name="Normal 5 3 4 3 4 2 3" xfId="12440" xr:uid="{FA713FB9-26C9-488A-910C-D2BDF2B7569A}"/>
    <cellStyle name="Normal 5 3 4 3 4 3" xfId="6063" xr:uid="{00000000-0005-0000-0000-0000491A0000}"/>
    <cellStyle name="Normal 5 3 4 3 4 3 2" xfId="14513" xr:uid="{EB8F97C5-B827-4233-ABBD-910073586681}"/>
    <cellStyle name="Normal 5 3 4 3 4 4" xfId="10295" xr:uid="{7C40C922-923D-4D5D-A066-E45BDE0A25A8}"/>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591644AD-E59F-406C-9E5B-81173DEA1459}"/>
    <cellStyle name="Normal 5 3 4 3 5 2 3" xfId="12853" xr:uid="{CD388DD5-08A2-400B-A46B-0F1AA616A873}"/>
    <cellStyle name="Normal 5 3 4 3 5 3" xfId="6476" xr:uid="{00000000-0005-0000-0000-00004D1A0000}"/>
    <cellStyle name="Normal 5 3 4 3 5 3 2" xfId="14926" xr:uid="{C962BD2D-FFAB-44CA-874B-3E63C85551E0}"/>
    <cellStyle name="Normal 5 3 4 3 5 4" xfId="10708" xr:uid="{CA55C445-3686-403D-A590-95C8AB334C31}"/>
    <cellStyle name="Normal 5 3 4 3 6" xfId="2606" xr:uid="{00000000-0005-0000-0000-00004E1A0000}"/>
    <cellStyle name="Normal 5 3 4 3 6 2" xfId="6889" xr:uid="{00000000-0005-0000-0000-00004F1A0000}"/>
    <cellStyle name="Normal 5 3 4 3 6 2 2" xfId="15339" xr:uid="{CF948B21-CF76-45A6-98BE-ECE68A61828B}"/>
    <cellStyle name="Normal 5 3 4 3 6 3" xfId="11121" xr:uid="{D5ADF2B8-5439-49F7-B90E-BB45462EA0CE}"/>
    <cellStyle name="Normal 5 3 4 3 7" xfId="4824" xr:uid="{00000000-0005-0000-0000-0000501A0000}"/>
    <cellStyle name="Normal 5 3 4 3 7 2" xfId="13274" xr:uid="{CA423FAF-8DC5-4720-B7DA-177B69D9A785}"/>
    <cellStyle name="Normal 5 3 4 3 8" xfId="17496" xr:uid="{53828D06-3DD7-4AA6-99AF-6F7F13452F3E}"/>
    <cellStyle name="Normal 5 3 4 3 9" xfId="18329" xr:uid="{F6B0DCD2-AA24-445B-862A-2A986D4B1E11}"/>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E6F24A3D-B853-4D2C-9FB8-8544762582A8}"/>
    <cellStyle name="Normal 5 3 4 4 2 3" xfId="11611" xr:uid="{89061E56-2161-4741-827B-F44BF2E9E84F}"/>
    <cellStyle name="Normal 5 3 4 4 3" xfId="5234" xr:uid="{00000000-0005-0000-0000-0000541A0000}"/>
    <cellStyle name="Normal 5 3 4 4 3 2" xfId="13684" xr:uid="{33F93682-E680-4569-9A04-0B0F91B9BE82}"/>
    <cellStyle name="Normal 5 3 4 4 4" xfId="17912" xr:uid="{0948E36E-39DF-44FE-A06F-DABE2D497203}"/>
    <cellStyle name="Normal 5 3 4 4 5" xfId="18742" xr:uid="{F15AB8A5-96A7-4F7D-A005-F2E32F4BB458}"/>
    <cellStyle name="Normal 5 3 4 4 6" xfId="19571" xr:uid="{7DC88068-1139-4EF9-8B3E-3DA2D24ED5D8}"/>
    <cellStyle name="Normal 5 3 4 4 7" xfId="9466" xr:uid="{A42C79BF-FD32-4C32-83A7-1F780E765998}"/>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CA4AC53E-070A-4E79-946A-28150FF050E9}"/>
    <cellStyle name="Normal 5 3 4 5 2 3" xfId="12024" xr:uid="{D4E81697-F92A-46E0-8B27-D23D195A977A}"/>
    <cellStyle name="Normal 5 3 4 5 3" xfId="5647" xr:uid="{00000000-0005-0000-0000-0000581A0000}"/>
    <cellStyle name="Normal 5 3 4 5 3 2" xfId="14097" xr:uid="{59FA85F4-FD36-44AC-A1FE-20467A2189E0}"/>
    <cellStyle name="Normal 5 3 4 5 4" xfId="9879" xr:uid="{CE8B5EF3-3B0E-466D-9BE7-2294C4CC4C99}"/>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A4539096-8A38-4172-997A-E2872AC48F4C}"/>
    <cellStyle name="Normal 5 3 4 6 2 3" xfId="12437" xr:uid="{61EC6D09-81E7-4DB0-9762-5AFBB674B3E7}"/>
    <cellStyle name="Normal 5 3 4 6 3" xfId="6060" xr:uid="{00000000-0005-0000-0000-00005C1A0000}"/>
    <cellStyle name="Normal 5 3 4 6 3 2" xfId="14510" xr:uid="{CCB8F874-A1F6-4251-8899-085A62C28E44}"/>
    <cellStyle name="Normal 5 3 4 6 4" xfId="10292" xr:uid="{4C3AD8DD-10ED-45D4-A23A-96CD54865CF8}"/>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923F66FB-F9C8-44DE-BD5C-4326EC4E7E5D}"/>
    <cellStyle name="Normal 5 3 4 7 2 3" xfId="12850" xr:uid="{9C18587F-79DA-4BBE-837B-0A5339F9F838}"/>
    <cellStyle name="Normal 5 3 4 7 3" xfId="6473" xr:uid="{00000000-0005-0000-0000-0000601A0000}"/>
    <cellStyle name="Normal 5 3 4 7 3 2" xfId="14923" xr:uid="{EB95EECB-7F6A-4897-959C-B9EAF8271626}"/>
    <cellStyle name="Normal 5 3 4 7 4" xfId="10705" xr:uid="{7022E65C-CBD3-4752-9153-7215D23EABFD}"/>
    <cellStyle name="Normal 5 3 4 8" xfId="2603" xr:uid="{00000000-0005-0000-0000-0000611A0000}"/>
    <cellStyle name="Normal 5 3 4 8 2" xfId="6886" xr:uid="{00000000-0005-0000-0000-0000621A0000}"/>
    <cellStyle name="Normal 5 3 4 8 2 2" xfId="15336" xr:uid="{7584BFED-83BA-4DD3-B0E7-0D83456EEA76}"/>
    <cellStyle name="Normal 5 3 4 8 3" xfId="11118" xr:uid="{C44A077F-777E-4EA8-9766-8A1844586E5D}"/>
    <cellStyle name="Normal 5 3 4 9" xfId="4821" xr:uid="{00000000-0005-0000-0000-0000631A0000}"/>
    <cellStyle name="Normal 5 3 4 9 2" xfId="13271" xr:uid="{D56DB232-5B5A-4360-9929-98FFDA108E80}"/>
    <cellStyle name="Normal 5 3 5" xfId="453" xr:uid="{00000000-0005-0000-0000-0000641A0000}"/>
    <cellStyle name="Normal 5 3 5 10" xfId="18330" xr:uid="{0AC5F37E-AA65-4DC7-B88B-991E6E3AC643}"/>
    <cellStyle name="Normal 5 3 5 11" xfId="19159" xr:uid="{3D1D0FCA-DB91-42E3-8B2D-8BECA5CBD407}"/>
    <cellStyle name="Normal 5 3 5 12" xfId="9057" xr:uid="{DC6EE988-A2F7-472A-85F3-83583F392D37}"/>
    <cellStyle name="Normal 5 3 5 2" xfId="454" xr:uid="{00000000-0005-0000-0000-0000651A0000}"/>
    <cellStyle name="Normal 5 3 5 2 10" xfId="19160" xr:uid="{BB3ECF3D-894F-49DA-A52E-7F8EF19175FF}"/>
    <cellStyle name="Normal 5 3 5 2 11" xfId="9058" xr:uid="{9D7CB9D6-EA7D-4DE3-A0F2-446721B4EAA5}"/>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EDA6D6A3-52CC-4F70-BF14-DB0CCA5F07B2}"/>
    <cellStyle name="Normal 5 3 5 2 2 2 3" xfId="11616" xr:uid="{60547DD4-C4D9-4467-BB3C-2403E8EDCE2D}"/>
    <cellStyle name="Normal 5 3 5 2 2 3" xfId="5239" xr:uid="{00000000-0005-0000-0000-0000691A0000}"/>
    <cellStyle name="Normal 5 3 5 2 2 3 2" xfId="13689" xr:uid="{E7654FA3-1D5E-4272-A240-052A3E318041}"/>
    <cellStyle name="Normal 5 3 5 2 2 4" xfId="17917" xr:uid="{C300B682-348D-4960-806E-A1C50A1E00B1}"/>
    <cellStyle name="Normal 5 3 5 2 2 5" xfId="18747" xr:uid="{02E98BC7-35B3-42B9-94A5-7E0629D40F87}"/>
    <cellStyle name="Normal 5 3 5 2 2 6" xfId="19576" xr:uid="{0D810B95-F487-4480-A379-F14DD3C95486}"/>
    <cellStyle name="Normal 5 3 5 2 2 7" xfId="9471" xr:uid="{69A1E79B-F62B-4FF0-85C8-2A6740480109}"/>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0D8F4B9A-8E34-4442-AF7D-9414F81670F2}"/>
    <cellStyle name="Normal 5 3 5 2 3 2 3" xfId="12029" xr:uid="{82123CA3-9826-4DD4-8439-3CD89746870C}"/>
    <cellStyle name="Normal 5 3 5 2 3 3" xfId="5652" xr:uid="{00000000-0005-0000-0000-00006D1A0000}"/>
    <cellStyle name="Normal 5 3 5 2 3 3 2" xfId="14102" xr:uid="{E70CFCE0-5B29-49C0-A955-3BA573841E83}"/>
    <cellStyle name="Normal 5 3 5 2 3 4" xfId="9884" xr:uid="{D8B3E4E4-D31F-41A6-AF33-A57F334A22ED}"/>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8D460B26-FB85-404A-8A39-6E911B39E632}"/>
    <cellStyle name="Normal 5 3 5 2 4 2 3" xfId="12442" xr:uid="{194B105F-DE85-4A91-B4FD-88C9364858C7}"/>
    <cellStyle name="Normal 5 3 5 2 4 3" xfId="6065" xr:uid="{00000000-0005-0000-0000-0000711A0000}"/>
    <cellStyle name="Normal 5 3 5 2 4 3 2" xfId="14515" xr:uid="{B478F6F2-03D2-4ED4-BD71-5540587A200C}"/>
    <cellStyle name="Normal 5 3 5 2 4 4" xfId="10297" xr:uid="{A0F0E73A-B74A-4760-8E35-708F75CEC0B3}"/>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07DD7286-F7A0-46C0-ADDE-13CF4EC5C166}"/>
    <cellStyle name="Normal 5 3 5 2 5 2 3" xfId="12855" xr:uid="{E6CF10B9-E34A-437D-811C-97ABCD0E14AA}"/>
    <cellStyle name="Normal 5 3 5 2 5 3" xfId="6478" xr:uid="{00000000-0005-0000-0000-0000751A0000}"/>
    <cellStyle name="Normal 5 3 5 2 5 3 2" xfId="14928" xr:uid="{522C5746-4219-4ED9-95F0-3B33AA46D982}"/>
    <cellStyle name="Normal 5 3 5 2 5 4" xfId="10710" xr:uid="{B2757AF1-F5BE-4DD9-BD61-9388ADEB3698}"/>
    <cellStyle name="Normal 5 3 5 2 6" xfId="2608" xr:uid="{00000000-0005-0000-0000-0000761A0000}"/>
    <cellStyle name="Normal 5 3 5 2 6 2" xfId="6891" xr:uid="{00000000-0005-0000-0000-0000771A0000}"/>
    <cellStyle name="Normal 5 3 5 2 6 2 2" xfId="15341" xr:uid="{640E4D13-D46A-4572-BFF3-3F42D165951B}"/>
    <cellStyle name="Normal 5 3 5 2 6 3" xfId="11123" xr:uid="{643CBD74-77F1-4DD8-AE85-5C4150693E1B}"/>
    <cellStyle name="Normal 5 3 5 2 7" xfId="4826" xr:uid="{00000000-0005-0000-0000-0000781A0000}"/>
    <cellStyle name="Normal 5 3 5 2 7 2" xfId="13276" xr:uid="{2775D936-15C0-45BF-9580-44D0B75DEA47}"/>
    <cellStyle name="Normal 5 3 5 2 8" xfId="17498" xr:uid="{26B06887-C3B0-4F6B-AD41-69F723A480BC}"/>
    <cellStyle name="Normal 5 3 5 2 9" xfId="18331" xr:uid="{CB2B6F3E-337A-4AE0-A1A0-ED4764940E76}"/>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98E53007-478B-461D-889E-07F30D163D8B}"/>
    <cellStyle name="Normal 5 3 5 3 2 3" xfId="11615" xr:uid="{E414EA0D-E6D5-40C2-8C0F-41F51CCF9B33}"/>
    <cellStyle name="Normal 5 3 5 3 3" xfId="5238" xr:uid="{00000000-0005-0000-0000-00007C1A0000}"/>
    <cellStyle name="Normal 5 3 5 3 3 2" xfId="13688" xr:uid="{9C513FFA-C6F6-42C9-9BE7-48890E8E73E2}"/>
    <cellStyle name="Normal 5 3 5 3 4" xfId="17916" xr:uid="{7E32794F-BBAC-472F-8937-5E41C48257E3}"/>
    <cellStyle name="Normal 5 3 5 3 5" xfId="18746" xr:uid="{7204C284-D3DE-449F-8BC4-55D05F101481}"/>
    <cellStyle name="Normal 5 3 5 3 6" xfId="19575" xr:uid="{09473592-E377-4637-BE3D-65F2493B5338}"/>
    <cellStyle name="Normal 5 3 5 3 7" xfId="9470" xr:uid="{F0398336-5BB7-4462-A1EB-232AFDFBAE2A}"/>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F3ACA0D8-4FEE-4585-81E1-C75EAFEF8756}"/>
    <cellStyle name="Normal 5 3 5 4 2 3" xfId="12028" xr:uid="{9DB63120-5A75-45A5-B58D-F9CEAEE48606}"/>
    <cellStyle name="Normal 5 3 5 4 3" xfId="5651" xr:uid="{00000000-0005-0000-0000-0000801A0000}"/>
    <cellStyle name="Normal 5 3 5 4 3 2" xfId="14101" xr:uid="{D6DB94F1-7CAD-4520-9945-354542DF2310}"/>
    <cellStyle name="Normal 5 3 5 4 4" xfId="9883" xr:uid="{7494DC8C-92FC-4C39-8BE1-A08191E8A083}"/>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78F377E5-5987-46FA-B0FF-4F32F31D0A3D}"/>
    <cellStyle name="Normal 5 3 5 5 2 3" xfId="12441" xr:uid="{4E2AC1E8-01AD-4FA6-884E-35520A62B1A4}"/>
    <cellStyle name="Normal 5 3 5 5 3" xfId="6064" xr:uid="{00000000-0005-0000-0000-0000841A0000}"/>
    <cellStyle name="Normal 5 3 5 5 3 2" xfId="14514" xr:uid="{EA009870-EEDC-4A20-AC86-7908EF534FAC}"/>
    <cellStyle name="Normal 5 3 5 5 4" xfId="10296" xr:uid="{2121AECE-C926-40B7-9AD9-A6934B89DB4C}"/>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B1021AC6-E236-4B67-94E5-211084811FC7}"/>
    <cellStyle name="Normal 5 3 5 6 2 3" xfId="12854" xr:uid="{302BAABA-8E0D-4C48-8441-3DEAAB9BA697}"/>
    <cellStyle name="Normal 5 3 5 6 3" xfId="6477" xr:uid="{00000000-0005-0000-0000-0000881A0000}"/>
    <cellStyle name="Normal 5 3 5 6 3 2" xfId="14927" xr:uid="{E3DAA465-169E-45C0-8967-5A4CE5542901}"/>
    <cellStyle name="Normal 5 3 5 6 4" xfId="10709" xr:uid="{F8E86A74-AD57-4E38-A124-0883405225D2}"/>
    <cellStyle name="Normal 5 3 5 7" xfId="2607" xr:uid="{00000000-0005-0000-0000-0000891A0000}"/>
    <cellStyle name="Normal 5 3 5 7 2" xfId="6890" xr:uid="{00000000-0005-0000-0000-00008A1A0000}"/>
    <cellStyle name="Normal 5 3 5 7 2 2" xfId="15340" xr:uid="{AF2EA0EA-5E0F-4A30-9D79-5C0C73DB9DE6}"/>
    <cellStyle name="Normal 5 3 5 7 3" xfId="11122" xr:uid="{87F2475C-D955-4913-9765-90D8058227E9}"/>
    <cellStyle name="Normal 5 3 5 8" xfId="4825" xr:uid="{00000000-0005-0000-0000-00008B1A0000}"/>
    <cellStyle name="Normal 5 3 5 8 2" xfId="13275" xr:uid="{88744DAA-7508-4E8B-A23A-ED3C075BAE47}"/>
    <cellStyle name="Normal 5 3 5 9" xfId="17497" xr:uid="{3E8CF907-0391-4176-B7A5-B059DE60AFD8}"/>
    <cellStyle name="Normal 5 3 6" xfId="455" xr:uid="{00000000-0005-0000-0000-00008C1A0000}"/>
    <cellStyle name="Normal 5 3 6 10" xfId="19161" xr:uid="{B86A91CE-CFC0-482A-8564-9F57687540EA}"/>
    <cellStyle name="Normal 5 3 6 11" xfId="9059" xr:uid="{6F5ED4AB-3BF1-4CDE-B212-6D963634594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5AE6BF70-D25C-4969-9A12-5CCE9CC4FBE1}"/>
    <cellStyle name="Normal 5 3 6 2 2 3" xfId="11617" xr:uid="{82133EB5-4B56-47EF-92AB-B51F258630C3}"/>
    <cellStyle name="Normal 5 3 6 2 3" xfId="5240" xr:uid="{00000000-0005-0000-0000-0000901A0000}"/>
    <cellStyle name="Normal 5 3 6 2 3 2" xfId="13690" xr:uid="{656E0375-7D9D-4D8C-AD6C-96D2736E6B00}"/>
    <cellStyle name="Normal 5 3 6 2 4" xfId="17918" xr:uid="{A0D70E79-2252-4212-AB5C-7D064311FC40}"/>
    <cellStyle name="Normal 5 3 6 2 5" xfId="18748" xr:uid="{A75F57EE-FB15-4B9C-87B7-0DAE4A00A63D}"/>
    <cellStyle name="Normal 5 3 6 2 6" xfId="19577" xr:uid="{BFAE5491-5A20-454A-8686-8BFE505737CD}"/>
    <cellStyle name="Normal 5 3 6 2 7" xfId="9472" xr:uid="{515851D5-782E-4167-AC81-57FB2CDD6697}"/>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3911D629-61BC-4596-8AD5-601E81B4E92B}"/>
    <cellStyle name="Normal 5 3 6 3 2 3" xfId="12030" xr:uid="{9082B21D-B926-4C79-A306-AE5198211BE8}"/>
    <cellStyle name="Normal 5 3 6 3 3" xfId="5653" xr:uid="{00000000-0005-0000-0000-0000941A0000}"/>
    <cellStyle name="Normal 5 3 6 3 3 2" xfId="14103" xr:uid="{A47B72E6-AC36-4CA6-8AFB-1488C9FA3A5C}"/>
    <cellStyle name="Normal 5 3 6 3 4" xfId="9885" xr:uid="{A8C32F5E-B5E8-4CFE-8DA2-7F511910343B}"/>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9ADB6474-4FB7-4CAE-97D4-554FBE002BF9}"/>
    <cellStyle name="Normal 5 3 6 4 2 3" xfId="12443" xr:uid="{D94FD57A-CA9F-4307-AB37-936A87DE10F2}"/>
    <cellStyle name="Normal 5 3 6 4 3" xfId="6066" xr:uid="{00000000-0005-0000-0000-0000981A0000}"/>
    <cellStyle name="Normal 5 3 6 4 3 2" xfId="14516" xr:uid="{88915DAF-6BD2-4AA6-B416-B675956B07C6}"/>
    <cellStyle name="Normal 5 3 6 4 4" xfId="10298" xr:uid="{3C7AC94A-709A-4E7D-A91F-A6CF59FB0D33}"/>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3B3017C2-4566-445C-A091-32C1BB7EF50F}"/>
    <cellStyle name="Normal 5 3 6 5 2 3" xfId="12856" xr:uid="{D86EDE93-AEC6-4400-BE22-8CE76620F79B}"/>
    <cellStyle name="Normal 5 3 6 5 3" xfId="6479" xr:uid="{00000000-0005-0000-0000-00009C1A0000}"/>
    <cellStyle name="Normal 5 3 6 5 3 2" xfId="14929" xr:uid="{3831D03A-5E19-4B67-B377-5EFDA9AEC4F1}"/>
    <cellStyle name="Normal 5 3 6 5 4" xfId="10711" xr:uid="{DFB6098A-0699-4E13-9A6A-D5074DB91C94}"/>
    <cellStyle name="Normal 5 3 6 6" xfId="2609" xr:uid="{00000000-0005-0000-0000-00009D1A0000}"/>
    <cellStyle name="Normal 5 3 6 6 2" xfId="6892" xr:uid="{00000000-0005-0000-0000-00009E1A0000}"/>
    <cellStyle name="Normal 5 3 6 6 2 2" xfId="15342" xr:uid="{70FA4AD9-F5EA-4211-B2D8-EFDFC300A154}"/>
    <cellStyle name="Normal 5 3 6 6 3" xfId="11124" xr:uid="{EFDFA36E-D495-41C3-B38E-5F1C688929DB}"/>
    <cellStyle name="Normal 5 3 6 7" xfId="4827" xr:uid="{00000000-0005-0000-0000-00009F1A0000}"/>
    <cellStyle name="Normal 5 3 6 7 2" xfId="13277" xr:uid="{4B51924B-7BAD-4CC9-B0B1-392355C198AF}"/>
    <cellStyle name="Normal 5 3 6 8" xfId="17499" xr:uid="{452A3BD4-CDC3-45AF-B3E3-824A8EFB1BD4}"/>
    <cellStyle name="Normal 5 3 6 9" xfId="18332" xr:uid="{01AC632F-689C-47EB-AF1C-BA35131914B8}"/>
    <cellStyle name="Normal 5 3 7" xfId="913" xr:uid="{00000000-0005-0000-0000-0000A01A0000}"/>
    <cellStyle name="Normal 5 3 7 2" xfId="3148" xr:uid="{00000000-0005-0000-0000-0000A11A0000}"/>
    <cellStyle name="Normal 5 3 7 2 2" xfId="7370" xr:uid="{00000000-0005-0000-0000-0000A21A0000}"/>
    <cellStyle name="Normal 5 3 7 2 2 2" xfId="15820" xr:uid="{4AC53D70-0409-4FF3-B403-CCF440E7D971}"/>
    <cellStyle name="Normal 5 3 7 2 3" xfId="11602" xr:uid="{F2660766-384F-48CE-B723-A6F57CB4F7F4}"/>
    <cellStyle name="Normal 5 3 7 3" xfId="5225" xr:uid="{00000000-0005-0000-0000-0000A31A0000}"/>
    <cellStyle name="Normal 5 3 7 3 2" xfId="13675" xr:uid="{B55648A6-CB78-46A3-8A0B-247A91B00CF6}"/>
    <cellStyle name="Normal 5 3 7 4" xfId="17903" xr:uid="{78D821BF-AD7E-4B0A-891F-3978CD405D14}"/>
    <cellStyle name="Normal 5 3 7 5" xfId="18733" xr:uid="{4CEC71CC-56D1-4E4C-A993-B6EEA069D02D}"/>
    <cellStyle name="Normal 5 3 7 6" xfId="19562" xr:uid="{D1C9E788-2389-4490-AA72-93930E27CD65}"/>
    <cellStyle name="Normal 5 3 7 7" xfId="9457" xr:uid="{0A4643DD-A279-4ED4-8BD6-860045210B12}"/>
    <cellStyle name="Normal 5 3 8" xfId="1331" xr:uid="{00000000-0005-0000-0000-0000A41A0000}"/>
    <cellStyle name="Normal 5 3 8 2" xfId="3561" xr:uid="{00000000-0005-0000-0000-0000A51A0000}"/>
    <cellStyle name="Normal 5 3 8 2 2" xfId="7783" xr:uid="{00000000-0005-0000-0000-0000A61A0000}"/>
    <cellStyle name="Normal 5 3 8 2 2 2" xfId="16233" xr:uid="{060F56BC-E81D-4BE3-8BF2-DCE57DDBB999}"/>
    <cellStyle name="Normal 5 3 8 2 3" xfId="12015" xr:uid="{A43AF89E-2CB4-44B5-86DA-026B89CFE7AE}"/>
    <cellStyle name="Normal 5 3 8 3" xfId="5638" xr:uid="{00000000-0005-0000-0000-0000A71A0000}"/>
    <cellStyle name="Normal 5 3 8 3 2" xfId="14088" xr:uid="{8AE29427-150C-41C5-98D7-B1D490787451}"/>
    <cellStyle name="Normal 5 3 8 4" xfId="9870" xr:uid="{A966F996-E968-4F9A-89FE-9CAD6281C5E3}"/>
    <cellStyle name="Normal 5 3 9" xfId="1744" xr:uid="{00000000-0005-0000-0000-0000A81A0000}"/>
    <cellStyle name="Normal 5 3 9 2" xfId="3974" xr:uid="{00000000-0005-0000-0000-0000A91A0000}"/>
    <cellStyle name="Normal 5 3 9 2 2" xfId="8196" xr:uid="{00000000-0005-0000-0000-0000AA1A0000}"/>
    <cellStyle name="Normal 5 3 9 2 2 2" xfId="16646" xr:uid="{5E714DC1-D8D5-49AD-A9B4-9A5001AB7C7A}"/>
    <cellStyle name="Normal 5 3 9 2 3" xfId="12428" xr:uid="{B596472F-B934-45CA-9F5E-31170682913F}"/>
    <cellStyle name="Normal 5 3 9 3" xfId="6051" xr:uid="{00000000-0005-0000-0000-0000AB1A0000}"/>
    <cellStyle name="Normal 5 3 9 3 2" xfId="14501" xr:uid="{8F5790E8-3A2A-4872-8F66-64B71EE0C4D7}"/>
    <cellStyle name="Normal 5 3 9 4" xfId="10283" xr:uid="{DFB9B735-E9BC-43D4-BBBE-82E9C9A03951}"/>
    <cellStyle name="Normal 5 4" xfId="456" xr:uid="{00000000-0005-0000-0000-0000AC1A0000}"/>
    <cellStyle name="Normal 5 4 10" xfId="4828" xr:uid="{00000000-0005-0000-0000-0000AD1A0000}"/>
    <cellStyle name="Normal 5 4 10 2" xfId="13278" xr:uid="{0138BE0A-5CF5-440E-999E-51820A7E3760}"/>
    <cellStyle name="Normal 5 4 11" xfId="17500" xr:uid="{F09D1B7E-9CE5-42E3-9E2B-E428E6EBB579}"/>
    <cellStyle name="Normal 5 4 12" xfId="18333" xr:uid="{DE588EB7-FF93-4944-92D7-46F1E33C4661}"/>
    <cellStyle name="Normal 5 4 13" xfId="19162" xr:uid="{C3D99F5D-638F-4BD0-A5CF-41B465545D62}"/>
    <cellStyle name="Normal 5 4 14" xfId="9060" xr:uid="{0E1E99F5-9A2D-4ABC-AF2D-6F666112D1C9}"/>
    <cellStyle name="Normal 5 4 2" xfId="457" xr:uid="{00000000-0005-0000-0000-0000AE1A0000}"/>
    <cellStyle name="Normal 5 4 2 10" xfId="17501" xr:uid="{92E68239-26D4-4E04-8D48-4CD434EC8F34}"/>
    <cellStyle name="Normal 5 4 2 11" xfId="18334" xr:uid="{6E0662E3-A648-45D8-8511-7A01B478A8FE}"/>
    <cellStyle name="Normal 5 4 2 12" xfId="19163" xr:uid="{339951DE-5952-40AE-B17A-295EF9CB7101}"/>
    <cellStyle name="Normal 5 4 2 13" xfId="9061" xr:uid="{1B7FA113-5DAA-4D2D-BAAA-58F2AB7EA089}"/>
    <cellStyle name="Normal 5 4 2 2" xfId="458" xr:uid="{00000000-0005-0000-0000-0000AF1A0000}"/>
    <cellStyle name="Normal 5 4 2 2 10" xfId="18335" xr:uid="{C98640D1-7BA7-42F2-8431-90AFE884ABC5}"/>
    <cellStyle name="Normal 5 4 2 2 11" xfId="19164" xr:uid="{814C8AA0-1A3D-416C-875F-A2EF04521F28}"/>
    <cellStyle name="Normal 5 4 2 2 12" xfId="9062" xr:uid="{069FEBED-A908-4E50-9159-95FDB25DA0AE}"/>
    <cellStyle name="Normal 5 4 2 2 2" xfId="459" xr:uid="{00000000-0005-0000-0000-0000B01A0000}"/>
    <cellStyle name="Normal 5 4 2 2 2 10" xfId="19165" xr:uid="{F8119C4D-C301-452B-AD4B-9F72FA480B96}"/>
    <cellStyle name="Normal 5 4 2 2 2 11" xfId="9063" xr:uid="{26893191-6FC8-4EF9-8AB2-821181D84147}"/>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D4C3D69C-1532-4D3C-AAC6-627AB00BEE96}"/>
    <cellStyle name="Normal 5 4 2 2 2 2 2 3" xfId="11621" xr:uid="{0E40EE1B-682A-4829-9510-C1A683CBF096}"/>
    <cellStyle name="Normal 5 4 2 2 2 2 3" xfId="5244" xr:uid="{00000000-0005-0000-0000-0000B41A0000}"/>
    <cellStyle name="Normal 5 4 2 2 2 2 3 2" xfId="13694" xr:uid="{A5A9426D-02F0-4627-998F-DC6A0B84A34C}"/>
    <cellStyle name="Normal 5 4 2 2 2 2 4" xfId="17922" xr:uid="{E1A6567F-513A-4FBC-8AD2-B9EF8B8CF62D}"/>
    <cellStyle name="Normal 5 4 2 2 2 2 5" xfId="18752" xr:uid="{ED6D7517-B539-4BA7-80F1-31C41D35C106}"/>
    <cellStyle name="Normal 5 4 2 2 2 2 6" xfId="19581" xr:uid="{D04F391D-1798-48CF-9F8B-81207260E198}"/>
    <cellStyle name="Normal 5 4 2 2 2 2 7" xfId="9476" xr:uid="{FFAADDA2-FC0C-4A4E-A998-EC963D3FA9AF}"/>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8F90447D-C449-4414-87B0-5C72A7A5902F}"/>
    <cellStyle name="Normal 5 4 2 2 2 3 2 3" xfId="12034" xr:uid="{A1FFD41D-64ED-40C8-AA1A-4CAE2E89CD82}"/>
    <cellStyle name="Normal 5 4 2 2 2 3 3" xfId="5657" xr:uid="{00000000-0005-0000-0000-0000B81A0000}"/>
    <cellStyle name="Normal 5 4 2 2 2 3 3 2" xfId="14107" xr:uid="{A702730F-4C04-4156-BD28-ECCCFAEB36DC}"/>
    <cellStyle name="Normal 5 4 2 2 2 3 4" xfId="9889" xr:uid="{BCEA56B4-C69B-406D-AD9C-768B69911A7B}"/>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62974C8B-6F97-4D56-B076-F2D9C9CD35AC}"/>
    <cellStyle name="Normal 5 4 2 2 2 4 2 3" xfId="12447" xr:uid="{9772BBE1-03BF-4737-8D80-D3F80A579C10}"/>
    <cellStyle name="Normal 5 4 2 2 2 4 3" xfId="6070" xr:uid="{00000000-0005-0000-0000-0000BC1A0000}"/>
    <cellStyle name="Normal 5 4 2 2 2 4 3 2" xfId="14520" xr:uid="{26F7AACC-4381-4BED-94BA-656DC39CF1E1}"/>
    <cellStyle name="Normal 5 4 2 2 2 4 4" xfId="10302" xr:uid="{02283126-2A8E-46BB-A2D0-B0962DE3DBA8}"/>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2D36AAEF-0D78-4055-B2B7-1EDA70F294EF}"/>
    <cellStyle name="Normal 5 4 2 2 2 5 2 3" xfId="12860" xr:uid="{38830037-586C-44F6-BA27-20106AA164A3}"/>
    <cellStyle name="Normal 5 4 2 2 2 5 3" xfId="6483" xr:uid="{00000000-0005-0000-0000-0000C01A0000}"/>
    <cellStyle name="Normal 5 4 2 2 2 5 3 2" xfId="14933" xr:uid="{CF9E3ECB-F923-4AF1-A18E-6E14CBCA179B}"/>
    <cellStyle name="Normal 5 4 2 2 2 5 4" xfId="10715" xr:uid="{219AA60E-8220-4D2C-B0D6-522878717D35}"/>
    <cellStyle name="Normal 5 4 2 2 2 6" xfId="2613" xr:uid="{00000000-0005-0000-0000-0000C11A0000}"/>
    <cellStyle name="Normal 5 4 2 2 2 6 2" xfId="6896" xr:uid="{00000000-0005-0000-0000-0000C21A0000}"/>
    <cellStyle name="Normal 5 4 2 2 2 6 2 2" xfId="15346" xr:uid="{867B3731-53F8-4E64-B420-B5173AF1A937}"/>
    <cellStyle name="Normal 5 4 2 2 2 6 3" xfId="11128" xr:uid="{65230577-5F01-45DA-87EE-90F9FEAE8C2E}"/>
    <cellStyle name="Normal 5 4 2 2 2 7" xfId="4831" xr:uid="{00000000-0005-0000-0000-0000C31A0000}"/>
    <cellStyle name="Normal 5 4 2 2 2 7 2" xfId="13281" xr:uid="{952EA5F4-44C0-48D0-A4AF-5B6D478A1209}"/>
    <cellStyle name="Normal 5 4 2 2 2 8" xfId="17503" xr:uid="{41E9A96B-5464-408B-8199-BFCC06598CC5}"/>
    <cellStyle name="Normal 5 4 2 2 2 9" xfId="18336" xr:uid="{00988697-E0B3-4588-B596-42350921569E}"/>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93E08E2C-0744-4BD5-8377-2AD1A5C2A895}"/>
    <cellStyle name="Normal 5 4 2 2 3 2 3" xfId="11620" xr:uid="{29CD42F4-37AE-4001-99E5-B194F0A183A9}"/>
    <cellStyle name="Normal 5 4 2 2 3 3" xfId="5243" xr:uid="{00000000-0005-0000-0000-0000C71A0000}"/>
    <cellStyle name="Normal 5 4 2 2 3 3 2" xfId="13693" xr:uid="{7C9E7BF2-96E9-44BC-88B9-1ECF06271B7F}"/>
    <cellStyle name="Normal 5 4 2 2 3 4" xfId="17921" xr:uid="{20D59219-4CC3-49C5-B177-25A7928490ED}"/>
    <cellStyle name="Normal 5 4 2 2 3 5" xfId="18751" xr:uid="{8BFF6308-E3EE-4535-A1DD-3F214E59374A}"/>
    <cellStyle name="Normal 5 4 2 2 3 6" xfId="19580" xr:uid="{7508D24E-F78F-4461-94A2-CFA6FB278B10}"/>
    <cellStyle name="Normal 5 4 2 2 3 7" xfId="9475" xr:uid="{311C1DDE-B033-4671-BAB8-CB22CB41A5C0}"/>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29540887-8439-4E33-A1DF-8EDC7130A982}"/>
    <cellStyle name="Normal 5 4 2 2 4 2 3" xfId="12033" xr:uid="{0A713C22-2C0A-4F49-AACF-32C93DC8B4FB}"/>
    <cellStyle name="Normal 5 4 2 2 4 3" xfId="5656" xr:uid="{00000000-0005-0000-0000-0000CB1A0000}"/>
    <cellStyle name="Normal 5 4 2 2 4 3 2" xfId="14106" xr:uid="{C3BE4CBC-21BA-4817-BCC1-78EA41DFDF93}"/>
    <cellStyle name="Normal 5 4 2 2 4 4" xfId="9888" xr:uid="{3C397C3E-C46A-49AD-B286-015EAB420FBB}"/>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0417EF8E-8329-48DC-A0B7-D0A349A51748}"/>
    <cellStyle name="Normal 5 4 2 2 5 2 3" xfId="12446" xr:uid="{C713472B-BF6B-4035-AD2F-E20C327736B1}"/>
    <cellStyle name="Normal 5 4 2 2 5 3" xfId="6069" xr:uid="{00000000-0005-0000-0000-0000CF1A0000}"/>
    <cellStyle name="Normal 5 4 2 2 5 3 2" xfId="14519" xr:uid="{D10548CF-4AD7-44A4-AA05-A5A356BFBAC7}"/>
    <cellStyle name="Normal 5 4 2 2 5 4" xfId="10301" xr:uid="{3AD14CE9-5261-4324-9643-C5CFC9A0AAF8}"/>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72A12EB4-E94F-4F76-889C-311011A309C4}"/>
    <cellStyle name="Normal 5 4 2 2 6 2 3" xfId="12859" xr:uid="{E055379F-0389-4CD6-84C0-CB6DBB18154C}"/>
    <cellStyle name="Normal 5 4 2 2 6 3" xfId="6482" xr:uid="{00000000-0005-0000-0000-0000D31A0000}"/>
    <cellStyle name="Normal 5 4 2 2 6 3 2" xfId="14932" xr:uid="{1FC2A333-D8D8-468B-BDAD-61EC54E645EB}"/>
    <cellStyle name="Normal 5 4 2 2 6 4" xfId="10714" xr:uid="{39A9420A-50F7-4D00-930F-39AAFF9C7C95}"/>
    <cellStyle name="Normal 5 4 2 2 7" xfId="2612" xr:uid="{00000000-0005-0000-0000-0000D41A0000}"/>
    <cellStyle name="Normal 5 4 2 2 7 2" xfId="6895" xr:uid="{00000000-0005-0000-0000-0000D51A0000}"/>
    <cellStyle name="Normal 5 4 2 2 7 2 2" xfId="15345" xr:uid="{E59396F6-D888-4B5D-A902-91475BBC27AF}"/>
    <cellStyle name="Normal 5 4 2 2 7 3" xfId="11127" xr:uid="{975971A2-76DE-41D6-8BC0-FEB2D853F275}"/>
    <cellStyle name="Normal 5 4 2 2 8" xfId="4830" xr:uid="{00000000-0005-0000-0000-0000D61A0000}"/>
    <cellStyle name="Normal 5 4 2 2 8 2" xfId="13280" xr:uid="{FAA65694-C45E-4DB0-A15A-739277350B98}"/>
    <cellStyle name="Normal 5 4 2 2 9" xfId="17502" xr:uid="{39C2BD46-24B6-45B6-AD49-14ADC7411CF4}"/>
    <cellStyle name="Normal 5 4 2 3" xfId="460" xr:uid="{00000000-0005-0000-0000-0000D71A0000}"/>
    <cellStyle name="Normal 5 4 2 3 10" xfId="19166" xr:uid="{D63C4C32-82CF-4926-970A-684C5F0B0725}"/>
    <cellStyle name="Normal 5 4 2 3 11" xfId="9064" xr:uid="{B0B03B37-6679-434B-820B-2DBF7568C0E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C171A009-31B1-44AA-875A-E36D0299869B}"/>
    <cellStyle name="Normal 5 4 2 3 2 2 3" xfId="11622" xr:uid="{656DFEBB-0A74-4F85-AC1C-FD319895CA13}"/>
    <cellStyle name="Normal 5 4 2 3 2 3" xfId="5245" xr:uid="{00000000-0005-0000-0000-0000DB1A0000}"/>
    <cellStyle name="Normal 5 4 2 3 2 3 2" xfId="13695" xr:uid="{8BDE03E5-A379-43D5-9063-8304100A4855}"/>
    <cellStyle name="Normal 5 4 2 3 2 4" xfId="17923" xr:uid="{672FA033-FFFA-439D-87AA-5B3AB7CD0E20}"/>
    <cellStyle name="Normal 5 4 2 3 2 5" xfId="18753" xr:uid="{6CD9A48D-E284-4748-A8CB-EDBCD0EE12A5}"/>
    <cellStyle name="Normal 5 4 2 3 2 6" xfId="19582" xr:uid="{5A231455-00B9-4BFE-AA17-0B1AC31E85FE}"/>
    <cellStyle name="Normal 5 4 2 3 2 7" xfId="9477" xr:uid="{FF2ED5E5-F24E-4F68-A717-E7DBE27481F3}"/>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D6657435-53F3-4FE3-9075-ED27724E31CB}"/>
    <cellStyle name="Normal 5 4 2 3 3 2 3" xfId="12035" xr:uid="{3AC23489-6F11-44B3-A2ED-D4BC248ADD3D}"/>
    <cellStyle name="Normal 5 4 2 3 3 3" xfId="5658" xr:uid="{00000000-0005-0000-0000-0000DF1A0000}"/>
    <cellStyle name="Normal 5 4 2 3 3 3 2" xfId="14108" xr:uid="{B08353C6-E93A-4FC6-9BFC-9EC2755A02DC}"/>
    <cellStyle name="Normal 5 4 2 3 3 4" xfId="9890" xr:uid="{F378A783-E99D-45A9-8573-3C428D83C241}"/>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9E1E9CDE-5597-48F9-9E66-BE9DBE3614B6}"/>
    <cellStyle name="Normal 5 4 2 3 4 2 3" xfId="12448" xr:uid="{908DF558-8834-4E5B-A9AA-A3434072FEF7}"/>
    <cellStyle name="Normal 5 4 2 3 4 3" xfId="6071" xr:uid="{00000000-0005-0000-0000-0000E31A0000}"/>
    <cellStyle name="Normal 5 4 2 3 4 3 2" xfId="14521" xr:uid="{BE3692D8-7D10-4082-BEA8-34BC435EF84A}"/>
    <cellStyle name="Normal 5 4 2 3 4 4" xfId="10303" xr:uid="{F2EBFA88-E1BA-470B-BBD8-1BB910E4FCC0}"/>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C3EE6ACA-2715-4CCE-A145-67019A365E7A}"/>
    <cellStyle name="Normal 5 4 2 3 5 2 3" xfId="12861" xr:uid="{1DD94088-524D-4412-A3AE-58E2EB822C70}"/>
    <cellStyle name="Normal 5 4 2 3 5 3" xfId="6484" xr:uid="{00000000-0005-0000-0000-0000E71A0000}"/>
    <cellStyle name="Normal 5 4 2 3 5 3 2" xfId="14934" xr:uid="{0601045B-94A6-48C0-AEA1-5CED3EA02348}"/>
    <cellStyle name="Normal 5 4 2 3 5 4" xfId="10716" xr:uid="{E3FA14F1-E433-49E2-B4A4-A676F7A0D151}"/>
    <cellStyle name="Normal 5 4 2 3 6" xfId="2614" xr:uid="{00000000-0005-0000-0000-0000E81A0000}"/>
    <cellStyle name="Normal 5 4 2 3 6 2" xfId="6897" xr:uid="{00000000-0005-0000-0000-0000E91A0000}"/>
    <cellStyle name="Normal 5 4 2 3 6 2 2" xfId="15347" xr:uid="{A9F4D673-372D-4B47-A6FC-FDABFC29F645}"/>
    <cellStyle name="Normal 5 4 2 3 6 3" xfId="11129" xr:uid="{77D2417B-D75F-45CC-80E6-DD75630062E8}"/>
    <cellStyle name="Normal 5 4 2 3 7" xfId="4832" xr:uid="{00000000-0005-0000-0000-0000EA1A0000}"/>
    <cellStyle name="Normal 5 4 2 3 7 2" xfId="13282" xr:uid="{0BB01559-D30E-452E-9314-C2462D1B5AAB}"/>
    <cellStyle name="Normal 5 4 2 3 8" xfId="17504" xr:uid="{AEFDBC54-8080-4906-8336-78661638AA37}"/>
    <cellStyle name="Normal 5 4 2 3 9" xfId="18337" xr:uid="{E43A5AB4-7443-4DCE-A474-3FEC63C00352}"/>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E279B51A-AA83-4D36-988F-88BD3419C340}"/>
    <cellStyle name="Normal 5 4 2 4 2 3" xfId="11619" xr:uid="{7460A5CC-517B-48B2-8617-EA5D4FBDC916}"/>
    <cellStyle name="Normal 5 4 2 4 3" xfId="5242" xr:uid="{00000000-0005-0000-0000-0000EE1A0000}"/>
    <cellStyle name="Normal 5 4 2 4 3 2" xfId="13692" xr:uid="{3AE0CD24-DA64-4DE8-9C10-075EC6FC1A06}"/>
    <cellStyle name="Normal 5 4 2 4 4" xfId="17920" xr:uid="{5857DEAE-9AC2-4AA9-9005-8CD7AFDA244A}"/>
    <cellStyle name="Normal 5 4 2 4 5" xfId="18750" xr:uid="{4E178342-F1FD-4B66-A940-1FFFCE4DCEED}"/>
    <cellStyle name="Normal 5 4 2 4 6" xfId="19579" xr:uid="{80D7A8B4-9C75-4FC2-98A0-09EACBF8F04B}"/>
    <cellStyle name="Normal 5 4 2 4 7" xfId="9474" xr:uid="{A171BDEB-0BD7-43D2-B3E5-F3E5D4AAE644}"/>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94794258-3D9F-494A-9327-A741F94673F9}"/>
    <cellStyle name="Normal 5 4 2 5 2 3" xfId="12032" xr:uid="{F528A56D-11AC-4062-ABDE-B4FFA112399D}"/>
    <cellStyle name="Normal 5 4 2 5 3" xfId="5655" xr:uid="{00000000-0005-0000-0000-0000F21A0000}"/>
    <cellStyle name="Normal 5 4 2 5 3 2" xfId="14105" xr:uid="{06D17B70-679F-493A-BCED-61F60887BE96}"/>
    <cellStyle name="Normal 5 4 2 5 4" xfId="9887" xr:uid="{0A880833-41AB-4C93-B78B-436611BBB876}"/>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EE64E507-FAF8-460D-9D2C-9DAE61A6B9B1}"/>
    <cellStyle name="Normal 5 4 2 6 2 3" xfId="12445" xr:uid="{02070109-995A-4FBC-A7B0-A697DB8C03B1}"/>
    <cellStyle name="Normal 5 4 2 6 3" xfId="6068" xr:uid="{00000000-0005-0000-0000-0000F61A0000}"/>
    <cellStyle name="Normal 5 4 2 6 3 2" xfId="14518" xr:uid="{97BA3792-AD0A-474F-A7A1-D7CA35ED89CB}"/>
    <cellStyle name="Normal 5 4 2 6 4" xfId="10300" xr:uid="{2F6075B9-2ED0-484F-A0C9-0E79803CBA3A}"/>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64D75A4F-DF1A-44FE-8949-6D6EE3D7A803}"/>
    <cellStyle name="Normal 5 4 2 7 2 3" xfId="12858" xr:uid="{E5C3AF9A-13CE-47C6-8F78-1891FF8B1874}"/>
    <cellStyle name="Normal 5 4 2 7 3" xfId="6481" xr:uid="{00000000-0005-0000-0000-0000FA1A0000}"/>
    <cellStyle name="Normal 5 4 2 7 3 2" xfId="14931" xr:uid="{94772C72-872B-4C90-9332-6DDFF4C6F117}"/>
    <cellStyle name="Normal 5 4 2 7 4" xfId="10713" xr:uid="{E108C2FA-6A71-4B8D-AB75-CD6D470B567B}"/>
    <cellStyle name="Normal 5 4 2 8" xfId="2611" xr:uid="{00000000-0005-0000-0000-0000FB1A0000}"/>
    <cellStyle name="Normal 5 4 2 8 2" xfId="6894" xr:uid="{00000000-0005-0000-0000-0000FC1A0000}"/>
    <cellStyle name="Normal 5 4 2 8 2 2" xfId="15344" xr:uid="{7FB78575-5D31-4974-A03A-AFC856EB64A9}"/>
    <cellStyle name="Normal 5 4 2 8 3" xfId="11126" xr:uid="{C4584862-F70A-4BDC-90D9-7CBE4A0AA272}"/>
    <cellStyle name="Normal 5 4 2 9" xfId="4829" xr:uid="{00000000-0005-0000-0000-0000FD1A0000}"/>
    <cellStyle name="Normal 5 4 2 9 2" xfId="13279" xr:uid="{C3F0B550-41F7-4A84-A9AD-14E6D39F5D3A}"/>
    <cellStyle name="Normal 5 4 3" xfId="461" xr:uid="{00000000-0005-0000-0000-0000FE1A0000}"/>
    <cellStyle name="Normal 5 4 3 10" xfId="18338" xr:uid="{446D5496-AF37-448F-847C-B777F6F36A20}"/>
    <cellStyle name="Normal 5 4 3 11" xfId="19167" xr:uid="{D97486F0-2233-42BD-BEAF-9A40197EDA7D}"/>
    <cellStyle name="Normal 5 4 3 12" xfId="9065" xr:uid="{0C65B384-A73D-4644-B602-3C569C9F89E3}"/>
    <cellStyle name="Normal 5 4 3 2" xfId="462" xr:uid="{00000000-0005-0000-0000-0000FF1A0000}"/>
    <cellStyle name="Normal 5 4 3 2 10" xfId="19168" xr:uid="{A92D5249-B3C5-4FDB-BE43-D68379A3F96A}"/>
    <cellStyle name="Normal 5 4 3 2 11" xfId="9066" xr:uid="{89328566-C278-4A24-99BA-11343291BFD6}"/>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251EEF5C-EC41-4277-AFB7-07BA77916728}"/>
    <cellStyle name="Normal 5 4 3 2 2 2 3" xfId="11624" xr:uid="{DB818E5A-4EAA-4957-940D-E2EFE25142A8}"/>
    <cellStyle name="Normal 5 4 3 2 2 3" xfId="5247" xr:uid="{00000000-0005-0000-0000-0000031B0000}"/>
    <cellStyle name="Normal 5 4 3 2 2 3 2" xfId="13697" xr:uid="{F4BA33CF-15BC-4245-A9E1-2494AA4B50DA}"/>
    <cellStyle name="Normal 5 4 3 2 2 4" xfId="17925" xr:uid="{C1B263FC-B64A-4CEF-B3C4-CD22009E438A}"/>
    <cellStyle name="Normal 5 4 3 2 2 5" xfId="18755" xr:uid="{E33CB4CE-0F20-4220-B39B-4C3825129B09}"/>
    <cellStyle name="Normal 5 4 3 2 2 6" xfId="19584" xr:uid="{CB0ECB47-8BAA-4B0F-9996-A34BCCEECFFF}"/>
    <cellStyle name="Normal 5 4 3 2 2 7" xfId="9479" xr:uid="{AF215577-AB58-4389-B6ED-8DDFAAF1E27E}"/>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59508EFB-2245-455E-B957-125EEC4BF761}"/>
    <cellStyle name="Normal 5 4 3 2 3 2 3" xfId="12037" xr:uid="{3B06321B-4A10-481D-9188-8BE61C5F5E7B}"/>
    <cellStyle name="Normal 5 4 3 2 3 3" xfId="5660" xr:uid="{00000000-0005-0000-0000-0000071B0000}"/>
    <cellStyle name="Normal 5 4 3 2 3 3 2" xfId="14110" xr:uid="{63887257-7CE4-4485-8190-8FE432334E49}"/>
    <cellStyle name="Normal 5 4 3 2 3 4" xfId="9892" xr:uid="{9B5A8318-D767-42A1-9909-BA06DB52B1EE}"/>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B87BC03A-EAC4-455E-AA5B-8909B772FE2E}"/>
    <cellStyle name="Normal 5 4 3 2 4 2 3" xfId="12450" xr:uid="{024C514C-D2DC-4BCD-9179-4429636BFE2E}"/>
    <cellStyle name="Normal 5 4 3 2 4 3" xfId="6073" xr:uid="{00000000-0005-0000-0000-00000B1B0000}"/>
    <cellStyle name="Normal 5 4 3 2 4 3 2" xfId="14523" xr:uid="{D3E95049-4854-4C4C-9822-F7DB8C9B53A1}"/>
    <cellStyle name="Normal 5 4 3 2 4 4" xfId="10305" xr:uid="{34FFE11F-6DDC-4ED0-8E99-D42DA2F98A2E}"/>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0BB17E12-487C-4C1A-B68E-6FC817D9567D}"/>
    <cellStyle name="Normal 5 4 3 2 5 2 3" xfId="12863" xr:uid="{FF24C0F9-8BAF-493B-9A86-BF2437231DE5}"/>
    <cellStyle name="Normal 5 4 3 2 5 3" xfId="6486" xr:uid="{00000000-0005-0000-0000-00000F1B0000}"/>
    <cellStyle name="Normal 5 4 3 2 5 3 2" xfId="14936" xr:uid="{7592564F-C24C-464A-B786-C1EB4097BE78}"/>
    <cellStyle name="Normal 5 4 3 2 5 4" xfId="10718" xr:uid="{AE44134C-2784-4EE1-A48B-D799AD33CEAC}"/>
    <cellStyle name="Normal 5 4 3 2 6" xfId="2616" xr:uid="{00000000-0005-0000-0000-0000101B0000}"/>
    <cellStyle name="Normal 5 4 3 2 6 2" xfId="6899" xr:uid="{00000000-0005-0000-0000-0000111B0000}"/>
    <cellStyle name="Normal 5 4 3 2 6 2 2" xfId="15349" xr:uid="{326AD346-A2D2-42D3-8511-9A7B0425ECC0}"/>
    <cellStyle name="Normal 5 4 3 2 6 3" xfId="11131" xr:uid="{F0E26932-1E2F-4911-A21D-12F21B697ADD}"/>
    <cellStyle name="Normal 5 4 3 2 7" xfId="4834" xr:uid="{00000000-0005-0000-0000-0000121B0000}"/>
    <cellStyle name="Normal 5 4 3 2 7 2" xfId="13284" xr:uid="{CE8318B2-EDBF-4DA9-9FBC-0B492E66D661}"/>
    <cellStyle name="Normal 5 4 3 2 8" xfId="17506" xr:uid="{95CB49FD-90C6-4CF0-8A16-52CE761AE272}"/>
    <cellStyle name="Normal 5 4 3 2 9" xfId="18339" xr:uid="{CDD0397B-F157-4B36-8F16-1EBC4020B4D6}"/>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0F8718A8-FB54-4419-95FC-4A1DF3E08B6B}"/>
    <cellStyle name="Normal 5 4 3 3 2 3" xfId="11623" xr:uid="{62C21E2C-11C3-40EE-8C93-31FF3AB84ECB}"/>
    <cellStyle name="Normal 5 4 3 3 3" xfId="5246" xr:uid="{00000000-0005-0000-0000-0000161B0000}"/>
    <cellStyle name="Normal 5 4 3 3 3 2" xfId="13696" xr:uid="{62AEA34D-0117-4135-ADDA-9E36D50DE3A6}"/>
    <cellStyle name="Normal 5 4 3 3 4" xfId="17924" xr:uid="{A88BD8A1-4964-4294-81E3-B8959FD3C7BE}"/>
    <cellStyle name="Normal 5 4 3 3 5" xfId="18754" xr:uid="{EC8EBEF4-6658-493B-9F9C-1040A9A1DE60}"/>
    <cellStyle name="Normal 5 4 3 3 6" xfId="19583" xr:uid="{AFC24B52-C15F-46FE-A447-2F8A42F38616}"/>
    <cellStyle name="Normal 5 4 3 3 7" xfId="9478" xr:uid="{2E2F1D9B-8FCD-4719-89F2-1907D6DEC9D6}"/>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856D8B16-2CBD-44E2-A2A8-31AE4B69F32E}"/>
    <cellStyle name="Normal 5 4 3 4 2 3" xfId="12036" xr:uid="{3A8A5382-FDF0-4C83-94C6-38B11DCEDAA4}"/>
    <cellStyle name="Normal 5 4 3 4 3" xfId="5659" xr:uid="{00000000-0005-0000-0000-00001A1B0000}"/>
    <cellStyle name="Normal 5 4 3 4 3 2" xfId="14109" xr:uid="{2B271603-A588-4AA4-95CA-46E54B11E792}"/>
    <cellStyle name="Normal 5 4 3 4 4" xfId="9891" xr:uid="{3EC178B1-FF77-4E9B-BF2A-E5DBBF6635ED}"/>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7EDA8EB3-8186-4333-8394-63D031A5EDE3}"/>
    <cellStyle name="Normal 5 4 3 5 2 3" xfId="12449" xr:uid="{540C5652-A110-47F1-9C94-E877FCE2BA02}"/>
    <cellStyle name="Normal 5 4 3 5 3" xfId="6072" xr:uid="{00000000-0005-0000-0000-00001E1B0000}"/>
    <cellStyle name="Normal 5 4 3 5 3 2" xfId="14522" xr:uid="{F3209002-7ACD-4A28-A72F-1AA5F8E4B48D}"/>
    <cellStyle name="Normal 5 4 3 5 4" xfId="10304" xr:uid="{DF1375DE-00FA-4488-B6DA-A1C10D956EA3}"/>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77822F06-9EDF-45AB-A1B7-6E92419BF722}"/>
    <cellStyle name="Normal 5 4 3 6 2 3" xfId="12862" xr:uid="{D9DE4E7D-4318-48B9-B5FB-DBD05AAFA6A0}"/>
    <cellStyle name="Normal 5 4 3 6 3" xfId="6485" xr:uid="{00000000-0005-0000-0000-0000221B0000}"/>
    <cellStyle name="Normal 5 4 3 6 3 2" xfId="14935" xr:uid="{2EC65565-482A-4F64-8612-4EDF39C6D275}"/>
    <cellStyle name="Normal 5 4 3 6 4" xfId="10717" xr:uid="{D89A0224-0FB5-4AAE-BA51-F9B114726D7C}"/>
    <cellStyle name="Normal 5 4 3 7" xfId="2615" xr:uid="{00000000-0005-0000-0000-0000231B0000}"/>
    <cellStyle name="Normal 5 4 3 7 2" xfId="6898" xr:uid="{00000000-0005-0000-0000-0000241B0000}"/>
    <cellStyle name="Normal 5 4 3 7 2 2" xfId="15348" xr:uid="{42037F9A-FE2E-48AA-B616-9AA9102FDC4C}"/>
    <cellStyle name="Normal 5 4 3 7 3" xfId="11130" xr:uid="{3F4EEF92-4A20-44D8-B859-73F2C41CA0CA}"/>
    <cellStyle name="Normal 5 4 3 8" xfId="4833" xr:uid="{00000000-0005-0000-0000-0000251B0000}"/>
    <cellStyle name="Normal 5 4 3 8 2" xfId="13283" xr:uid="{F06792A9-3F97-48FD-9C45-8D83F4FCB889}"/>
    <cellStyle name="Normal 5 4 3 9" xfId="17505" xr:uid="{20171A92-04BF-456D-827F-1276A3F86829}"/>
    <cellStyle name="Normal 5 4 4" xfId="463" xr:uid="{00000000-0005-0000-0000-0000261B0000}"/>
    <cellStyle name="Normal 5 4 4 10" xfId="19169" xr:uid="{8068EA25-2A33-4953-BEA6-6158377A7760}"/>
    <cellStyle name="Normal 5 4 4 11" xfId="9067" xr:uid="{E65A9185-DDA9-4356-8DFF-95C72E861204}"/>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6636D4B1-E182-4945-9522-A986881749F7}"/>
    <cellStyle name="Normal 5 4 4 2 2 3" xfId="11625" xr:uid="{D1A85469-A65B-407D-8CD6-7E618932FF91}"/>
    <cellStyle name="Normal 5 4 4 2 3" xfId="5248" xr:uid="{00000000-0005-0000-0000-00002A1B0000}"/>
    <cellStyle name="Normal 5 4 4 2 3 2" xfId="13698" xr:uid="{27991367-09F2-45D6-AEA7-38885804FBC6}"/>
    <cellStyle name="Normal 5 4 4 2 4" xfId="17926" xr:uid="{C3DFCBF6-3D7E-40BE-AC14-4EA04636683B}"/>
    <cellStyle name="Normal 5 4 4 2 5" xfId="18756" xr:uid="{0F2DEE21-1144-472C-859F-C34187B13BB0}"/>
    <cellStyle name="Normal 5 4 4 2 6" xfId="19585" xr:uid="{B4001424-EC8D-48D7-91E6-7EA488C6F2A8}"/>
    <cellStyle name="Normal 5 4 4 2 7" xfId="9480" xr:uid="{2160AB6B-32EA-4B18-8F3F-83EF338CF8FD}"/>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50935C44-2574-4467-86DB-7EB5E081D637}"/>
    <cellStyle name="Normal 5 4 4 3 2 3" xfId="12038" xr:uid="{60ED94D0-823D-432B-9293-48C27F155379}"/>
    <cellStyle name="Normal 5 4 4 3 3" xfId="5661" xr:uid="{00000000-0005-0000-0000-00002E1B0000}"/>
    <cellStyle name="Normal 5 4 4 3 3 2" xfId="14111" xr:uid="{144F0DE3-6D33-4C0F-A7AF-29D8715892B5}"/>
    <cellStyle name="Normal 5 4 4 3 4" xfId="9893" xr:uid="{95878F51-8CA5-4162-BB4F-1C15BC804F00}"/>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052F6798-FE9D-462F-B22E-C030E32744BC}"/>
    <cellStyle name="Normal 5 4 4 4 2 3" xfId="12451" xr:uid="{27D1F78F-2741-42CF-9CDE-4064841F2557}"/>
    <cellStyle name="Normal 5 4 4 4 3" xfId="6074" xr:uid="{00000000-0005-0000-0000-0000321B0000}"/>
    <cellStyle name="Normal 5 4 4 4 3 2" xfId="14524" xr:uid="{40A5A1C9-F23D-4965-BB5F-ABE16C630B79}"/>
    <cellStyle name="Normal 5 4 4 4 4" xfId="10306" xr:uid="{43A1A8DC-9850-4BF4-A7A3-92EBD2E744CB}"/>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78EABB4F-B0B5-4E2E-BC21-35DE9A25D696}"/>
    <cellStyle name="Normal 5 4 4 5 2 3" xfId="12864" xr:uid="{A3C273E0-C28E-41E7-96BE-75EFBBFA4E97}"/>
    <cellStyle name="Normal 5 4 4 5 3" xfId="6487" xr:uid="{00000000-0005-0000-0000-0000361B0000}"/>
    <cellStyle name="Normal 5 4 4 5 3 2" xfId="14937" xr:uid="{C98124C7-1A70-4FD3-8FB1-AEF9FF2C1D7E}"/>
    <cellStyle name="Normal 5 4 4 5 4" xfId="10719" xr:uid="{E0129CD7-2C84-4271-BDDD-684229562BA2}"/>
    <cellStyle name="Normal 5 4 4 6" xfId="2617" xr:uid="{00000000-0005-0000-0000-0000371B0000}"/>
    <cellStyle name="Normal 5 4 4 6 2" xfId="6900" xr:uid="{00000000-0005-0000-0000-0000381B0000}"/>
    <cellStyle name="Normal 5 4 4 6 2 2" xfId="15350" xr:uid="{795B662A-573B-4C24-9F93-9AD1B3E1F7A3}"/>
    <cellStyle name="Normal 5 4 4 6 3" xfId="11132" xr:uid="{FFD439C0-1643-4980-98B8-8CBDB2C67385}"/>
    <cellStyle name="Normal 5 4 4 7" xfId="4835" xr:uid="{00000000-0005-0000-0000-0000391B0000}"/>
    <cellStyle name="Normal 5 4 4 7 2" xfId="13285" xr:uid="{D486B509-D24A-4A8A-841E-E4C634347749}"/>
    <cellStyle name="Normal 5 4 4 8" xfId="17507" xr:uid="{64A5BF1D-7CA7-446E-A44A-B1F7513ACE95}"/>
    <cellStyle name="Normal 5 4 4 9" xfId="18340" xr:uid="{C373AC4A-A3CA-4342-974D-E9B3648153E1}"/>
    <cellStyle name="Normal 5 4 5" xfId="930" xr:uid="{00000000-0005-0000-0000-00003A1B0000}"/>
    <cellStyle name="Normal 5 4 5 2" xfId="3164" xr:uid="{00000000-0005-0000-0000-00003B1B0000}"/>
    <cellStyle name="Normal 5 4 5 2 2" xfId="7386" xr:uid="{00000000-0005-0000-0000-00003C1B0000}"/>
    <cellStyle name="Normal 5 4 5 2 2 2" xfId="15836" xr:uid="{906ACA8E-1182-4F6C-9212-53EE88A85F98}"/>
    <cellStyle name="Normal 5 4 5 2 3" xfId="11618" xr:uid="{775FCEDA-E18B-4200-87E9-1F017BBCB428}"/>
    <cellStyle name="Normal 5 4 5 3" xfId="5241" xr:uid="{00000000-0005-0000-0000-00003D1B0000}"/>
    <cellStyle name="Normal 5 4 5 3 2" xfId="13691" xr:uid="{5F4439D2-7F61-4C82-9259-1F30E71D2D3E}"/>
    <cellStyle name="Normal 5 4 5 4" xfId="17919" xr:uid="{021EB3A8-AC72-4223-9C32-C6D821225085}"/>
    <cellStyle name="Normal 5 4 5 5" xfId="18749" xr:uid="{872B85A3-77B9-4881-9E96-E92C623F1CD1}"/>
    <cellStyle name="Normal 5 4 5 6" xfId="19578" xr:uid="{6030C1CE-F856-4943-AD4F-39D894C13AC6}"/>
    <cellStyle name="Normal 5 4 5 7" xfId="9473" xr:uid="{408D592B-14F2-4F9F-90E3-DCEA0E30932E}"/>
    <cellStyle name="Normal 5 4 6" xfId="1347" xr:uid="{00000000-0005-0000-0000-00003E1B0000}"/>
    <cellStyle name="Normal 5 4 6 2" xfId="3577" xr:uid="{00000000-0005-0000-0000-00003F1B0000}"/>
    <cellStyle name="Normal 5 4 6 2 2" xfId="7799" xr:uid="{00000000-0005-0000-0000-0000401B0000}"/>
    <cellStyle name="Normal 5 4 6 2 2 2" xfId="16249" xr:uid="{64D385D2-8137-4C46-A919-1D9DAEE134E5}"/>
    <cellStyle name="Normal 5 4 6 2 3" xfId="12031" xr:uid="{BEF02859-1E74-4FBB-B8EE-F5AE18FEF721}"/>
    <cellStyle name="Normal 5 4 6 3" xfId="5654" xr:uid="{00000000-0005-0000-0000-0000411B0000}"/>
    <cellStyle name="Normal 5 4 6 3 2" xfId="14104" xr:uid="{32E95D93-BE66-4F23-AC79-631EB032AE9B}"/>
    <cellStyle name="Normal 5 4 6 4" xfId="9886" xr:uid="{0F64925B-A18B-4336-A090-73885B8E9314}"/>
    <cellStyle name="Normal 5 4 7" xfId="1760" xr:uid="{00000000-0005-0000-0000-0000421B0000}"/>
    <cellStyle name="Normal 5 4 7 2" xfId="3990" xr:uid="{00000000-0005-0000-0000-0000431B0000}"/>
    <cellStyle name="Normal 5 4 7 2 2" xfId="8212" xr:uid="{00000000-0005-0000-0000-0000441B0000}"/>
    <cellStyle name="Normal 5 4 7 2 2 2" xfId="16662" xr:uid="{3EEF8B92-CBD9-4190-9260-F27FC647C571}"/>
    <cellStyle name="Normal 5 4 7 2 3" xfId="12444" xr:uid="{E86D7350-2D7E-4113-966F-A9BF95FF98D3}"/>
    <cellStyle name="Normal 5 4 7 3" xfId="6067" xr:uid="{00000000-0005-0000-0000-0000451B0000}"/>
    <cellStyle name="Normal 5 4 7 3 2" xfId="14517" xr:uid="{385AE68A-341F-4967-AD1A-1656ED432EA8}"/>
    <cellStyle name="Normal 5 4 7 4" xfId="10299" xr:uid="{FC04B0B4-0595-4875-9358-428AC5D615D7}"/>
    <cellStyle name="Normal 5 4 8" xfId="2174" xr:uid="{00000000-0005-0000-0000-0000461B0000}"/>
    <cellStyle name="Normal 5 4 8 2" xfId="4403" xr:uid="{00000000-0005-0000-0000-0000471B0000}"/>
    <cellStyle name="Normal 5 4 8 2 2" xfId="8625" xr:uid="{00000000-0005-0000-0000-0000481B0000}"/>
    <cellStyle name="Normal 5 4 8 2 2 2" xfId="17075" xr:uid="{D9A29525-395D-4F23-B8A4-ABB33B890746}"/>
    <cellStyle name="Normal 5 4 8 2 3" xfId="12857" xr:uid="{FD11F507-73F9-4022-A5A1-F2A78EC3FCC5}"/>
    <cellStyle name="Normal 5 4 8 3" xfId="6480" xr:uid="{00000000-0005-0000-0000-0000491B0000}"/>
    <cellStyle name="Normal 5 4 8 3 2" xfId="14930" xr:uid="{EAB53DC4-7474-4A15-B149-B712A74DE2CC}"/>
    <cellStyle name="Normal 5 4 8 4" xfId="10712" xr:uid="{D7628812-4D91-4434-8EF7-F229E25DA57A}"/>
    <cellStyle name="Normal 5 4 9" xfId="2610" xr:uid="{00000000-0005-0000-0000-00004A1B0000}"/>
    <cellStyle name="Normal 5 4 9 2" xfId="6893" xr:uid="{00000000-0005-0000-0000-00004B1B0000}"/>
    <cellStyle name="Normal 5 4 9 2 2" xfId="15343" xr:uid="{17756572-1789-49F4-AC12-C28C2B909C15}"/>
    <cellStyle name="Normal 5 4 9 3" xfId="11125" xr:uid="{A76690BC-C350-40A6-82D6-621394E9563E}"/>
    <cellStyle name="Normal 5 5" xfId="464" xr:uid="{00000000-0005-0000-0000-00004C1B0000}"/>
    <cellStyle name="Normal 5 5 10" xfId="17508" xr:uid="{87944A05-3E26-40F3-9845-255990C483F6}"/>
    <cellStyle name="Normal 5 5 11" xfId="18341" xr:uid="{E8D06611-1777-42CD-9CDB-E26A33DE8CC4}"/>
    <cellStyle name="Normal 5 5 12" xfId="19170" xr:uid="{08F98CCA-AB24-4323-A826-1BCB9377CA7F}"/>
    <cellStyle name="Normal 5 5 13" xfId="9068" xr:uid="{2E8E5655-94A4-43EC-B835-EAF70D219A89}"/>
    <cellStyle name="Normal 5 5 2" xfId="465" xr:uid="{00000000-0005-0000-0000-00004D1B0000}"/>
    <cellStyle name="Normal 5 5 2 10" xfId="18342" xr:uid="{9C19391F-D951-4DE6-A47B-D39CECAA98F2}"/>
    <cellStyle name="Normal 5 5 2 11" xfId="19171" xr:uid="{86EF05EA-2065-445B-AA5E-CBB4B58D347A}"/>
    <cellStyle name="Normal 5 5 2 12" xfId="9069" xr:uid="{55ADF196-7786-42B9-B146-3D36DFE58616}"/>
    <cellStyle name="Normal 5 5 2 2" xfId="466" xr:uid="{00000000-0005-0000-0000-00004E1B0000}"/>
    <cellStyle name="Normal 5 5 2 2 10" xfId="19172" xr:uid="{7AEFB303-071E-4DC2-8A13-6ED34A405C53}"/>
    <cellStyle name="Normal 5 5 2 2 11" xfId="9070" xr:uid="{D098B5E5-B4C3-40DB-91FD-DBFFECE0F0D5}"/>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68240426-4EF2-4309-B8D7-3D6B6D99AB0C}"/>
    <cellStyle name="Normal 5 5 2 2 2 2 3" xfId="11628" xr:uid="{02E798C4-2F4F-4DBA-B56E-D6D1010DD831}"/>
    <cellStyle name="Normal 5 5 2 2 2 3" xfId="5251" xr:uid="{00000000-0005-0000-0000-0000521B0000}"/>
    <cellStyle name="Normal 5 5 2 2 2 3 2" xfId="13701" xr:uid="{EADBADF1-364A-4050-9272-032476D3CCB0}"/>
    <cellStyle name="Normal 5 5 2 2 2 4" xfId="17929" xr:uid="{862864F5-B40F-403E-B940-27D498D0871A}"/>
    <cellStyle name="Normal 5 5 2 2 2 5" xfId="18759" xr:uid="{0EC55E3A-EC8F-4D31-AC5A-7A2E24614B04}"/>
    <cellStyle name="Normal 5 5 2 2 2 6" xfId="19588" xr:uid="{7C1A6D58-CFF1-4E68-9AEE-6BF49B950DBA}"/>
    <cellStyle name="Normal 5 5 2 2 2 7" xfId="9483" xr:uid="{1CF1DD71-1D3B-48D8-AD3D-5FC4F5008656}"/>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50A2FD00-2E8C-4F6D-BAB2-63103D028673}"/>
    <cellStyle name="Normal 5 5 2 2 3 2 3" xfId="12041" xr:uid="{1F1F1D14-DCA6-4B12-AD2C-5264B491041A}"/>
    <cellStyle name="Normal 5 5 2 2 3 3" xfId="5664" xr:uid="{00000000-0005-0000-0000-0000561B0000}"/>
    <cellStyle name="Normal 5 5 2 2 3 3 2" xfId="14114" xr:uid="{A122F372-498D-48F8-A3F4-966FE599A6C0}"/>
    <cellStyle name="Normal 5 5 2 2 3 4" xfId="9896" xr:uid="{C8DCDEA9-B159-402B-9606-7C20C4A5BB8A}"/>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3FA23CAA-864F-4113-8127-2539803A5F2C}"/>
    <cellStyle name="Normal 5 5 2 2 4 2 3" xfId="12454" xr:uid="{39C9DB7B-BF76-4D90-8062-456256BD3E6A}"/>
    <cellStyle name="Normal 5 5 2 2 4 3" xfId="6077" xr:uid="{00000000-0005-0000-0000-00005A1B0000}"/>
    <cellStyle name="Normal 5 5 2 2 4 3 2" xfId="14527" xr:uid="{ED0EB284-AE82-47C9-A93A-232133BBE381}"/>
    <cellStyle name="Normal 5 5 2 2 4 4" xfId="10309" xr:uid="{976295D7-7027-4C58-AC5A-9ED0C3B6AC3C}"/>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DE73C8E4-B201-4770-AA0B-F4904C8EBF23}"/>
    <cellStyle name="Normal 5 5 2 2 5 2 3" xfId="12867" xr:uid="{B3766034-8FA7-4909-980D-69FD516EA16D}"/>
    <cellStyle name="Normal 5 5 2 2 5 3" xfId="6490" xr:uid="{00000000-0005-0000-0000-00005E1B0000}"/>
    <cellStyle name="Normal 5 5 2 2 5 3 2" xfId="14940" xr:uid="{FF3FBB00-141A-439C-AA6A-BCD82C61A3B6}"/>
    <cellStyle name="Normal 5 5 2 2 5 4" xfId="10722" xr:uid="{62822180-05E2-427A-B6AA-E5634223C9AC}"/>
    <cellStyle name="Normal 5 5 2 2 6" xfId="2620" xr:uid="{00000000-0005-0000-0000-00005F1B0000}"/>
    <cellStyle name="Normal 5 5 2 2 6 2" xfId="6903" xr:uid="{00000000-0005-0000-0000-0000601B0000}"/>
    <cellStyle name="Normal 5 5 2 2 6 2 2" xfId="15353" xr:uid="{106BD3C7-75C8-44DA-A8E3-79EC86466EF8}"/>
    <cellStyle name="Normal 5 5 2 2 6 3" xfId="11135" xr:uid="{5A22C942-696D-498B-B5E3-C4904CA3731A}"/>
    <cellStyle name="Normal 5 5 2 2 7" xfId="4838" xr:uid="{00000000-0005-0000-0000-0000611B0000}"/>
    <cellStyle name="Normal 5 5 2 2 7 2" xfId="13288" xr:uid="{F1B5F2BC-ED99-47A6-885C-478BADAA3D28}"/>
    <cellStyle name="Normal 5 5 2 2 8" xfId="17510" xr:uid="{CC37CA3B-3C65-4881-AC27-72F0C5C50996}"/>
    <cellStyle name="Normal 5 5 2 2 9" xfId="18343" xr:uid="{87296814-C20B-4986-95EC-E1B6402E592F}"/>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D5F631C8-702C-4FA5-9BAE-F3235DF96446}"/>
    <cellStyle name="Normal 5 5 2 3 2 3" xfId="11627" xr:uid="{73E07AE5-7722-4C27-BB82-0CB82C317A2C}"/>
    <cellStyle name="Normal 5 5 2 3 3" xfId="5250" xr:uid="{00000000-0005-0000-0000-0000651B0000}"/>
    <cellStyle name="Normal 5 5 2 3 3 2" xfId="13700" xr:uid="{F63979C9-530B-49BB-B3B7-991DBBAD7DA4}"/>
    <cellStyle name="Normal 5 5 2 3 4" xfId="17928" xr:uid="{B7F89C2D-9B3A-421B-9DD4-A973BDE8C80F}"/>
    <cellStyle name="Normal 5 5 2 3 5" xfId="18758" xr:uid="{657F2B08-43B1-45C8-80E6-467171F0D55B}"/>
    <cellStyle name="Normal 5 5 2 3 6" xfId="19587" xr:uid="{E167CD86-B10C-4169-B4F6-F8679AF099A0}"/>
    <cellStyle name="Normal 5 5 2 3 7" xfId="9482" xr:uid="{E3465F8A-6664-4FDF-B937-38BA02FF426F}"/>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369B3324-6408-494A-BD61-0ED2C4C6E070}"/>
    <cellStyle name="Normal 5 5 2 4 2 3" xfId="12040" xr:uid="{F1EAA85E-F4EC-4D9C-A143-4A1E8C13C4D8}"/>
    <cellStyle name="Normal 5 5 2 4 3" xfId="5663" xr:uid="{00000000-0005-0000-0000-0000691B0000}"/>
    <cellStyle name="Normal 5 5 2 4 3 2" xfId="14113" xr:uid="{87074694-8878-48EF-9AB7-27BF5C8D1FD6}"/>
    <cellStyle name="Normal 5 5 2 4 4" xfId="9895" xr:uid="{B7D01044-055F-4D9D-B1C4-924B5AFF11A1}"/>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12167C94-4892-4A6B-8BD1-43EDA881D3F7}"/>
    <cellStyle name="Normal 5 5 2 5 2 3" xfId="12453" xr:uid="{D2629FBF-50AD-4EFC-BB5E-FBE4FCD7AC54}"/>
    <cellStyle name="Normal 5 5 2 5 3" xfId="6076" xr:uid="{00000000-0005-0000-0000-00006D1B0000}"/>
    <cellStyle name="Normal 5 5 2 5 3 2" xfId="14526" xr:uid="{E064D79B-C16B-400E-8666-49EA1040D212}"/>
    <cellStyle name="Normal 5 5 2 5 4" xfId="10308" xr:uid="{22E6703D-F95B-4F9B-87B2-BF7D490994F4}"/>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00D40CF2-4E2F-4256-9EFE-5C7124DF2A62}"/>
    <cellStyle name="Normal 5 5 2 6 2 3" xfId="12866" xr:uid="{80514816-E798-44CC-AEB5-05AEB7A32B74}"/>
    <cellStyle name="Normal 5 5 2 6 3" xfId="6489" xr:uid="{00000000-0005-0000-0000-0000711B0000}"/>
    <cellStyle name="Normal 5 5 2 6 3 2" xfId="14939" xr:uid="{F7B5B9C7-56E0-427E-874A-F26B3E3F6706}"/>
    <cellStyle name="Normal 5 5 2 6 4" xfId="10721" xr:uid="{FEF3836D-5C66-4FF8-8442-89D9CE1D3E47}"/>
    <cellStyle name="Normal 5 5 2 7" xfId="2619" xr:uid="{00000000-0005-0000-0000-0000721B0000}"/>
    <cellStyle name="Normal 5 5 2 7 2" xfId="6902" xr:uid="{00000000-0005-0000-0000-0000731B0000}"/>
    <cellStyle name="Normal 5 5 2 7 2 2" xfId="15352" xr:uid="{EC09C9B1-A0D9-4DD5-BDA5-14E20DF4A571}"/>
    <cellStyle name="Normal 5 5 2 7 3" xfId="11134" xr:uid="{B9F157E1-0EA9-4FD2-ABBA-09382A4988D8}"/>
    <cellStyle name="Normal 5 5 2 8" xfId="4837" xr:uid="{00000000-0005-0000-0000-0000741B0000}"/>
    <cellStyle name="Normal 5 5 2 8 2" xfId="13287" xr:uid="{FEC86264-1B95-4685-AAC7-96ECDDB328CA}"/>
    <cellStyle name="Normal 5 5 2 9" xfId="17509" xr:uid="{ED29D693-1D3A-4FEB-831D-A2CDBCFD64A3}"/>
    <cellStyle name="Normal 5 5 3" xfId="467" xr:uid="{00000000-0005-0000-0000-0000751B0000}"/>
    <cellStyle name="Normal 5 5 3 10" xfId="19173" xr:uid="{1E7FDF89-E906-4BA1-85E8-588F655631A2}"/>
    <cellStyle name="Normal 5 5 3 11" xfId="9071" xr:uid="{5738EB9E-E974-42D3-A5C9-D7778921F56E}"/>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E27396A0-53CB-4B14-9B4D-CB56160A3D3C}"/>
    <cellStyle name="Normal 5 5 3 2 2 3" xfId="11629" xr:uid="{EE27BF61-A692-4E94-B2E6-70FB1041CC64}"/>
    <cellStyle name="Normal 5 5 3 2 3" xfId="5252" xr:uid="{00000000-0005-0000-0000-0000791B0000}"/>
    <cellStyle name="Normal 5 5 3 2 3 2" xfId="13702" xr:uid="{E3FC1095-054F-4A43-A791-FDA285C85579}"/>
    <cellStyle name="Normal 5 5 3 2 4" xfId="17930" xr:uid="{CB504717-0E2F-4456-BF08-127448847160}"/>
    <cellStyle name="Normal 5 5 3 2 5" xfId="18760" xr:uid="{7B52BAE1-78C1-4EF7-89C2-3FA86C4D1D65}"/>
    <cellStyle name="Normal 5 5 3 2 6" xfId="19589" xr:uid="{AB4F2409-B25C-428E-AB8E-0BB73AD6BD68}"/>
    <cellStyle name="Normal 5 5 3 2 7" xfId="9484" xr:uid="{33B6919E-C32E-4C90-9DE0-E12ACB0414C8}"/>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3C885C41-9D68-4E77-BECE-EFC493E3DACD}"/>
    <cellStyle name="Normal 5 5 3 3 2 3" xfId="12042" xr:uid="{324127AD-C7BD-4488-806E-0E154BDC38F4}"/>
    <cellStyle name="Normal 5 5 3 3 3" xfId="5665" xr:uid="{00000000-0005-0000-0000-00007D1B0000}"/>
    <cellStyle name="Normal 5 5 3 3 3 2" xfId="14115" xr:uid="{58CFBB1E-9AC7-43D5-B96F-A323E3C31973}"/>
    <cellStyle name="Normal 5 5 3 3 4" xfId="9897" xr:uid="{7A804E66-FB5D-41BB-8189-D191AE9E4212}"/>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5AC5BCBF-A1CE-46AC-9623-FA30B193249A}"/>
    <cellStyle name="Normal 5 5 3 4 2 3" xfId="12455" xr:uid="{0EC8BD29-A31E-4152-A6A8-DF09CBFF3EBC}"/>
    <cellStyle name="Normal 5 5 3 4 3" xfId="6078" xr:uid="{00000000-0005-0000-0000-0000811B0000}"/>
    <cellStyle name="Normal 5 5 3 4 3 2" xfId="14528" xr:uid="{4AED2A67-0527-4B8B-A9D9-F87EC68BFD19}"/>
    <cellStyle name="Normal 5 5 3 4 4" xfId="10310" xr:uid="{90EDB2AE-FB49-4A5B-92A1-779C22F956E6}"/>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120247C9-A13E-469F-AA77-16797C69743A}"/>
    <cellStyle name="Normal 5 5 3 5 2 3" xfId="12868" xr:uid="{09B4E8AA-070E-40A9-899C-D3BA0E578754}"/>
    <cellStyle name="Normal 5 5 3 5 3" xfId="6491" xr:uid="{00000000-0005-0000-0000-0000851B0000}"/>
    <cellStyle name="Normal 5 5 3 5 3 2" xfId="14941" xr:uid="{E4471295-CECE-4430-89A5-8798CD57113B}"/>
    <cellStyle name="Normal 5 5 3 5 4" xfId="10723" xr:uid="{EA68D8A1-A39A-42A6-8262-479123405D80}"/>
    <cellStyle name="Normal 5 5 3 6" xfId="2621" xr:uid="{00000000-0005-0000-0000-0000861B0000}"/>
    <cellStyle name="Normal 5 5 3 6 2" xfId="6904" xr:uid="{00000000-0005-0000-0000-0000871B0000}"/>
    <cellStyle name="Normal 5 5 3 6 2 2" xfId="15354" xr:uid="{5084502E-0026-48D6-ABA2-0FC80843BBA5}"/>
    <cellStyle name="Normal 5 5 3 6 3" xfId="11136" xr:uid="{D2ADA36F-BF09-40D3-B7C3-8962475400D7}"/>
    <cellStyle name="Normal 5 5 3 7" xfId="4839" xr:uid="{00000000-0005-0000-0000-0000881B0000}"/>
    <cellStyle name="Normal 5 5 3 7 2" xfId="13289" xr:uid="{290FF380-3EF8-44F0-BE11-125B6C9180EC}"/>
    <cellStyle name="Normal 5 5 3 8" xfId="17511" xr:uid="{E0104BB0-C6F5-4931-85A4-48C4CC1B0607}"/>
    <cellStyle name="Normal 5 5 3 9" xfId="18344" xr:uid="{34EB5071-5D07-41EE-88E7-9F14B21923CE}"/>
    <cellStyle name="Normal 5 5 4" xfId="938" xr:uid="{00000000-0005-0000-0000-0000891B0000}"/>
    <cellStyle name="Normal 5 5 4 2" xfId="3172" xr:uid="{00000000-0005-0000-0000-00008A1B0000}"/>
    <cellStyle name="Normal 5 5 4 2 2" xfId="7394" xr:uid="{00000000-0005-0000-0000-00008B1B0000}"/>
    <cellStyle name="Normal 5 5 4 2 2 2" xfId="15844" xr:uid="{3CFB6186-382A-4347-AFB3-C0FB9720A853}"/>
    <cellStyle name="Normal 5 5 4 2 3" xfId="11626" xr:uid="{FC96DD57-2434-483D-A931-27C0A3BC1AD7}"/>
    <cellStyle name="Normal 5 5 4 3" xfId="5249" xr:uid="{00000000-0005-0000-0000-00008C1B0000}"/>
    <cellStyle name="Normal 5 5 4 3 2" xfId="13699" xr:uid="{BAC40C8B-78AA-4D94-91D7-E906D9720D6C}"/>
    <cellStyle name="Normal 5 5 4 4" xfId="17927" xr:uid="{7283C800-CAD1-4B9A-A591-5CF256DD490A}"/>
    <cellStyle name="Normal 5 5 4 5" xfId="18757" xr:uid="{8914C891-ED10-4C3C-B3AD-524ED561D679}"/>
    <cellStyle name="Normal 5 5 4 6" xfId="19586" xr:uid="{B21A69A0-F41B-4513-A318-936D9AD2D43D}"/>
    <cellStyle name="Normal 5 5 4 7" xfId="9481" xr:uid="{ED0AE14E-8B7E-4F30-AAB9-8952D6D604F6}"/>
    <cellStyle name="Normal 5 5 5" xfId="1355" xr:uid="{00000000-0005-0000-0000-00008D1B0000}"/>
    <cellStyle name="Normal 5 5 5 2" xfId="3585" xr:uid="{00000000-0005-0000-0000-00008E1B0000}"/>
    <cellStyle name="Normal 5 5 5 2 2" xfId="7807" xr:uid="{00000000-0005-0000-0000-00008F1B0000}"/>
    <cellStyle name="Normal 5 5 5 2 2 2" xfId="16257" xr:uid="{771C97F4-72AB-4C38-99B0-0EF0F2B211C0}"/>
    <cellStyle name="Normal 5 5 5 2 3" xfId="12039" xr:uid="{C5ACF0C9-FBC4-4A14-B575-B3FF0BBBD3EC}"/>
    <cellStyle name="Normal 5 5 5 3" xfId="5662" xr:uid="{00000000-0005-0000-0000-0000901B0000}"/>
    <cellStyle name="Normal 5 5 5 3 2" xfId="14112" xr:uid="{3094CBEE-89C0-40F9-ADCF-A0E6C16466EA}"/>
    <cellStyle name="Normal 5 5 5 4" xfId="9894" xr:uid="{DC9BD380-7DBE-4F7C-AAE0-C91862FB71EF}"/>
    <cellStyle name="Normal 5 5 6" xfId="1768" xr:uid="{00000000-0005-0000-0000-0000911B0000}"/>
    <cellStyle name="Normal 5 5 6 2" xfId="3998" xr:uid="{00000000-0005-0000-0000-0000921B0000}"/>
    <cellStyle name="Normal 5 5 6 2 2" xfId="8220" xr:uid="{00000000-0005-0000-0000-0000931B0000}"/>
    <cellStyle name="Normal 5 5 6 2 2 2" xfId="16670" xr:uid="{76147D7F-4524-42BB-B660-14ACE0F21C00}"/>
    <cellStyle name="Normal 5 5 6 2 3" xfId="12452" xr:uid="{D024740A-5C7F-40ED-AF62-2CD6C09A6C3A}"/>
    <cellStyle name="Normal 5 5 6 3" xfId="6075" xr:uid="{00000000-0005-0000-0000-0000941B0000}"/>
    <cellStyle name="Normal 5 5 6 3 2" xfId="14525" xr:uid="{954CED61-4409-4ECC-8867-8A4872B899DB}"/>
    <cellStyle name="Normal 5 5 6 4" xfId="10307" xr:uid="{A485F2D9-48B8-429E-8AAF-27EB8A0B8774}"/>
    <cellStyle name="Normal 5 5 7" xfId="2182" xr:uid="{00000000-0005-0000-0000-0000951B0000}"/>
    <cellStyle name="Normal 5 5 7 2" xfId="4411" xr:uid="{00000000-0005-0000-0000-0000961B0000}"/>
    <cellStyle name="Normal 5 5 7 2 2" xfId="8633" xr:uid="{00000000-0005-0000-0000-0000971B0000}"/>
    <cellStyle name="Normal 5 5 7 2 2 2" xfId="17083" xr:uid="{623A9118-B917-4535-A599-EEAE109CD270}"/>
    <cellStyle name="Normal 5 5 7 2 3" xfId="12865" xr:uid="{239E03D1-3CA4-4A9D-967A-A43EA7E6E015}"/>
    <cellStyle name="Normal 5 5 7 3" xfId="6488" xr:uid="{00000000-0005-0000-0000-0000981B0000}"/>
    <cellStyle name="Normal 5 5 7 3 2" xfId="14938" xr:uid="{85F4162F-296C-4A73-A067-034A0DF4CBCC}"/>
    <cellStyle name="Normal 5 5 7 4" xfId="10720" xr:uid="{28B6C514-111C-4D42-A0E2-C299708F46C3}"/>
    <cellStyle name="Normal 5 5 8" xfId="2618" xr:uid="{00000000-0005-0000-0000-0000991B0000}"/>
    <cellStyle name="Normal 5 5 8 2" xfId="6901" xr:uid="{00000000-0005-0000-0000-00009A1B0000}"/>
    <cellStyle name="Normal 5 5 8 2 2" xfId="15351" xr:uid="{21A91A1D-A0CC-4A32-BEE4-06B34E2C19AB}"/>
    <cellStyle name="Normal 5 5 8 3" xfId="11133" xr:uid="{1B68E355-9EFA-4538-9F6A-D2071955D698}"/>
    <cellStyle name="Normal 5 5 9" xfId="4836" xr:uid="{00000000-0005-0000-0000-00009B1B0000}"/>
    <cellStyle name="Normal 5 5 9 2" xfId="13286" xr:uid="{D7E12410-1405-480C-917A-7869229C8B74}"/>
    <cellStyle name="Normal 5 6" xfId="468" xr:uid="{00000000-0005-0000-0000-00009C1B0000}"/>
    <cellStyle name="Normal 5 6 10" xfId="18345" xr:uid="{E6A6CB4A-BE98-4571-B481-9ABC1018E019}"/>
    <cellStyle name="Normal 5 6 11" xfId="19174" xr:uid="{85069D6E-01B6-42B4-94A1-099DC8D14C93}"/>
    <cellStyle name="Normal 5 6 12" xfId="9072" xr:uid="{1619B43F-2A01-4825-96DB-1D4D7CBEAAB6}"/>
    <cellStyle name="Normal 5 6 2" xfId="469" xr:uid="{00000000-0005-0000-0000-00009D1B0000}"/>
    <cellStyle name="Normal 5 6 2 10" xfId="19175" xr:uid="{9C42F97A-29E2-4CB1-B408-66B1FB2374E5}"/>
    <cellStyle name="Normal 5 6 2 11" xfId="9073" xr:uid="{5B51402A-1BB1-4846-8241-BF54AF9E2C0B}"/>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2AC1B79F-8DF0-482A-AC5D-DBB045ECB73C}"/>
    <cellStyle name="Normal 5 6 2 2 2 3" xfId="11631" xr:uid="{425C17C6-307F-4C5F-A461-5382A0E6A2A0}"/>
    <cellStyle name="Normal 5 6 2 2 3" xfId="5254" xr:uid="{00000000-0005-0000-0000-0000A11B0000}"/>
    <cellStyle name="Normal 5 6 2 2 3 2" xfId="13704" xr:uid="{F538495F-F9AD-48BD-825D-4FAEEAEFBFD9}"/>
    <cellStyle name="Normal 5 6 2 2 4" xfId="17932" xr:uid="{DB3F5676-DBB4-4EC3-958A-E1ECA819CB2D}"/>
    <cellStyle name="Normal 5 6 2 2 5" xfId="18762" xr:uid="{588D0447-0CB5-43E4-B955-788EAE435369}"/>
    <cellStyle name="Normal 5 6 2 2 6" xfId="19591" xr:uid="{CAD5D579-C30B-4958-8548-1F6EA7A02F5E}"/>
    <cellStyle name="Normal 5 6 2 2 7" xfId="9486" xr:uid="{884F391C-8324-4284-8AEE-E9AA9BE6D59E}"/>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2CCE7940-945F-4D4A-8C0B-680A2157A30E}"/>
    <cellStyle name="Normal 5 6 2 3 2 3" xfId="12044" xr:uid="{B8F2D849-8CD9-4C9F-A2A2-35C52769C6CC}"/>
    <cellStyle name="Normal 5 6 2 3 3" xfId="5667" xr:uid="{00000000-0005-0000-0000-0000A51B0000}"/>
    <cellStyle name="Normal 5 6 2 3 3 2" xfId="14117" xr:uid="{70A2AEB4-B436-4C01-BBB1-331D2850A1BF}"/>
    <cellStyle name="Normal 5 6 2 3 4" xfId="9899" xr:uid="{80FD9038-E69E-4F0A-96C2-39459C6BA6D7}"/>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0D5D963E-6AA3-4DFD-A6A0-996ED8D0C904}"/>
    <cellStyle name="Normal 5 6 2 4 2 3" xfId="12457" xr:uid="{3D8A1F27-327D-44F5-8FA9-1A1D37FA1267}"/>
    <cellStyle name="Normal 5 6 2 4 3" xfId="6080" xr:uid="{00000000-0005-0000-0000-0000A91B0000}"/>
    <cellStyle name="Normal 5 6 2 4 3 2" xfId="14530" xr:uid="{796DCE40-0ABE-44EA-86B9-4C90F7469821}"/>
    <cellStyle name="Normal 5 6 2 4 4" xfId="10312" xr:uid="{45BA50D6-925F-45F2-A8E2-957509DD1167}"/>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44D2C2D5-8D5C-48D0-BF43-E482AFB0C3EA}"/>
    <cellStyle name="Normal 5 6 2 5 2 3" xfId="12870" xr:uid="{66A979FE-A3F4-4702-A012-3BD827D3E2EB}"/>
    <cellStyle name="Normal 5 6 2 5 3" xfId="6493" xr:uid="{00000000-0005-0000-0000-0000AD1B0000}"/>
    <cellStyle name="Normal 5 6 2 5 3 2" xfId="14943" xr:uid="{D33B4CDA-ED76-4F70-8D1E-F41B4D6A5D01}"/>
    <cellStyle name="Normal 5 6 2 5 4" xfId="10725" xr:uid="{4278B7C6-8D23-4206-A82B-D1FC380A7923}"/>
    <cellStyle name="Normal 5 6 2 6" xfId="2623" xr:uid="{00000000-0005-0000-0000-0000AE1B0000}"/>
    <cellStyle name="Normal 5 6 2 6 2" xfId="6906" xr:uid="{00000000-0005-0000-0000-0000AF1B0000}"/>
    <cellStyle name="Normal 5 6 2 6 2 2" xfId="15356" xr:uid="{F42AB646-5950-4EAF-A48D-AEDEE5517CB8}"/>
    <cellStyle name="Normal 5 6 2 6 3" xfId="11138" xr:uid="{353D56A5-FB3D-408E-9524-70B160CF8566}"/>
    <cellStyle name="Normal 5 6 2 7" xfId="4841" xr:uid="{00000000-0005-0000-0000-0000B01B0000}"/>
    <cellStyle name="Normal 5 6 2 7 2" xfId="13291" xr:uid="{57CC0CDA-3EFB-4BB3-932D-D010F9580531}"/>
    <cellStyle name="Normal 5 6 2 8" xfId="17513" xr:uid="{6CFCA024-C403-4110-91C5-A797D787BEC0}"/>
    <cellStyle name="Normal 5 6 2 9" xfId="18346" xr:uid="{20B9F380-FBE9-46F9-B8E8-5F73E063CA84}"/>
    <cellStyle name="Normal 5 6 3" xfId="942" xr:uid="{00000000-0005-0000-0000-0000B11B0000}"/>
    <cellStyle name="Normal 5 6 3 2" xfId="3176" xr:uid="{00000000-0005-0000-0000-0000B21B0000}"/>
    <cellStyle name="Normal 5 6 3 2 2" xfId="7398" xr:uid="{00000000-0005-0000-0000-0000B31B0000}"/>
    <cellStyle name="Normal 5 6 3 2 2 2" xfId="15848" xr:uid="{97EC54FC-D441-48E5-BCF4-E7829D0C15A1}"/>
    <cellStyle name="Normal 5 6 3 2 3" xfId="11630" xr:uid="{99B6A44B-23ED-430E-966B-3AD4E0A54E1B}"/>
    <cellStyle name="Normal 5 6 3 3" xfId="5253" xr:uid="{00000000-0005-0000-0000-0000B41B0000}"/>
    <cellStyle name="Normal 5 6 3 3 2" xfId="13703" xr:uid="{43294B22-A5A4-4B6E-B02F-0FC2B0DC4A2D}"/>
    <cellStyle name="Normal 5 6 3 4" xfId="17931" xr:uid="{85237A22-7A1B-4A3B-9E2D-9EE7A2B32AB2}"/>
    <cellStyle name="Normal 5 6 3 5" xfId="18761" xr:uid="{236C10AD-B7C0-4FAC-A3B1-486A255BABF2}"/>
    <cellStyle name="Normal 5 6 3 6" xfId="19590" xr:uid="{2F158B89-47D6-4022-B4EF-61789092A6E7}"/>
    <cellStyle name="Normal 5 6 3 7" xfId="9485" xr:uid="{0BA35E56-A363-40FC-B146-A7BB7F311B66}"/>
    <cellStyle name="Normal 5 6 4" xfId="1359" xr:uid="{00000000-0005-0000-0000-0000B51B0000}"/>
    <cellStyle name="Normal 5 6 4 2" xfId="3589" xr:uid="{00000000-0005-0000-0000-0000B61B0000}"/>
    <cellStyle name="Normal 5 6 4 2 2" xfId="7811" xr:uid="{00000000-0005-0000-0000-0000B71B0000}"/>
    <cellStyle name="Normal 5 6 4 2 2 2" xfId="16261" xr:uid="{181597FC-2527-4B74-B6F5-FD48EA7589EF}"/>
    <cellStyle name="Normal 5 6 4 2 3" xfId="12043" xr:uid="{3FA909A6-2231-4B19-BE68-92C46AA61FCE}"/>
    <cellStyle name="Normal 5 6 4 3" xfId="5666" xr:uid="{00000000-0005-0000-0000-0000B81B0000}"/>
    <cellStyle name="Normal 5 6 4 3 2" xfId="14116" xr:uid="{234A3080-C277-474C-BFC5-DD0F8E40F21C}"/>
    <cellStyle name="Normal 5 6 4 4" xfId="9898" xr:uid="{3DCCCFB8-730B-4D3E-8F2B-7DCF065C19D3}"/>
    <cellStyle name="Normal 5 6 5" xfId="1772" xr:uid="{00000000-0005-0000-0000-0000B91B0000}"/>
    <cellStyle name="Normal 5 6 5 2" xfId="4002" xr:uid="{00000000-0005-0000-0000-0000BA1B0000}"/>
    <cellStyle name="Normal 5 6 5 2 2" xfId="8224" xr:uid="{00000000-0005-0000-0000-0000BB1B0000}"/>
    <cellStyle name="Normal 5 6 5 2 2 2" xfId="16674" xr:uid="{298A107A-3126-497B-9A7D-E0F4441D0980}"/>
    <cellStyle name="Normal 5 6 5 2 3" xfId="12456" xr:uid="{23038DB7-C4F8-4D30-AA45-939F5EEAB322}"/>
    <cellStyle name="Normal 5 6 5 3" xfId="6079" xr:uid="{00000000-0005-0000-0000-0000BC1B0000}"/>
    <cellStyle name="Normal 5 6 5 3 2" xfId="14529" xr:uid="{FE3E4EBC-6CE6-476A-BB3E-4D30056A154A}"/>
    <cellStyle name="Normal 5 6 5 4" xfId="10311" xr:uid="{5E0E5BA6-C91E-4108-A32B-BA8D4E2CD258}"/>
    <cellStyle name="Normal 5 6 6" xfId="2186" xr:uid="{00000000-0005-0000-0000-0000BD1B0000}"/>
    <cellStyle name="Normal 5 6 6 2" xfId="4415" xr:uid="{00000000-0005-0000-0000-0000BE1B0000}"/>
    <cellStyle name="Normal 5 6 6 2 2" xfId="8637" xr:uid="{00000000-0005-0000-0000-0000BF1B0000}"/>
    <cellStyle name="Normal 5 6 6 2 2 2" xfId="17087" xr:uid="{111750A1-DA1E-4708-BA3D-C36F5B811327}"/>
    <cellStyle name="Normal 5 6 6 2 3" xfId="12869" xr:uid="{0B03A963-F1F2-49A0-A970-B3D6A68C04DC}"/>
    <cellStyle name="Normal 5 6 6 3" xfId="6492" xr:uid="{00000000-0005-0000-0000-0000C01B0000}"/>
    <cellStyle name="Normal 5 6 6 3 2" xfId="14942" xr:uid="{577F3949-2B28-46D1-9EFF-160516FF751D}"/>
    <cellStyle name="Normal 5 6 6 4" xfId="10724" xr:uid="{16AD1D4E-196F-41B6-9A1F-7D9A262A1410}"/>
    <cellStyle name="Normal 5 6 7" xfId="2622" xr:uid="{00000000-0005-0000-0000-0000C11B0000}"/>
    <cellStyle name="Normal 5 6 7 2" xfId="6905" xr:uid="{00000000-0005-0000-0000-0000C21B0000}"/>
    <cellStyle name="Normal 5 6 7 2 2" xfId="15355" xr:uid="{AAFA9AEE-CB46-41B3-B0AC-FD6C1F0E6337}"/>
    <cellStyle name="Normal 5 6 7 3" xfId="11137" xr:uid="{A109DB89-86DA-4408-A195-2AC3C411E8E0}"/>
    <cellStyle name="Normal 5 6 8" xfId="4840" xr:uid="{00000000-0005-0000-0000-0000C31B0000}"/>
    <cellStyle name="Normal 5 6 8 2" xfId="13290" xr:uid="{D4A500F4-1727-48DD-A9B2-3FB0D04111DC}"/>
    <cellStyle name="Normal 5 6 9" xfId="17512" xr:uid="{76821DBD-13B5-4B16-9F6A-76EA31A276F2}"/>
    <cellStyle name="Normal 5 7" xfId="470" xr:uid="{00000000-0005-0000-0000-0000C41B0000}"/>
    <cellStyle name="Normal 5 7 10" xfId="19176" xr:uid="{765D22AF-F19B-4F18-AE27-DE1FD8DB8892}"/>
    <cellStyle name="Normal 5 7 11" xfId="9074" xr:uid="{406A0003-54FF-4096-A717-B7D8F7E4DCB6}"/>
    <cellStyle name="Normal 5 7 2" xfId="944" xr:uid="{00000000-0005-0000-0000-0000C51B0000}"/>
    <cellStyle name="Normal 5 7 2 2" xfId="3178" xr:uid="{00000000-0005-0000-0000-0000C61B0000}"/>
    <cellStyle name="Normal 5 7 2 2 2" xfId="7400" xr:uid="{00000000-0005-0000-0000-0000C71B0000}"/>
    <cellStyle name="Normal 5 7 2 2 2 2" xfId="15850" xr:uid="{B3BC4614-4671-437A-AE6B-7F6C8ECD69C3}"/>
    <cellStyle name="Normal 5 7 2 2 3" xfId="11632" xr:uid="{0E05B3B3-E4C4-4C3B-8935-837CE723A106}"/>
    <cellStyle name="Normal 5 7 2 3" xfId="5255" xr:uid="{00000000-0005-0000-0000-0000C81B0000}"/>
    <cellStyle name="Normal 5 7 2 3 2" xfId="13705" xr:uid="{DCC1322D-93CA-4AFE-8E8A-39A9725C45DA}"/>
    <cellStyle name="Normal 5 7 2 4" xfId="17933" xr:uid="{E38687BB-5DC8-4E37-A7BB-F27A36E95B31}"/>
    <cellStyle name="Normal 5 7 2 5" xfId="18763" xr:uid="{7F778FD2-3889-4EE3-A3DB-D7E144A8C6B8}"/>
    <cellStyle name="Normal 5 7 2 6" xfId="19592" xr:uid="{996716FF-2E93-4289-BD5B-AABCFC387DE1}"/>
    <cellStyle name="Normal 5 7 2 7" xfId="9487" xr:uid="{778C21DA-1F6B-49D6-B12C-178D56941A1C}"/>
    <cellStyle name="Normal 5 7 3" xfId="1361" xr:uid="{00000000-0005-0000-0000-0000C91B0000}"/>
    <cellStyle name="Normal 5 7 3 2" xfId="3591" xr:uid="{00000000-0005-0000-0000-0000CA1B0000}"/>
    <cellStyle name="Normal 5 7 3 2 2" xfId="7813" xr:uid="{00000000-0005-0000-0000-0000CB1B0000}"/>
    <cellStyle name="Normal 5 7 3 2 2 2" xfId="16263" xr:uid="{87772D4D-B4CC-426F-B903-9FE21AC5A145}"/>
    <cellStyle name="Normal 5 7 3 2 3" xfId="12045" xr:uid="{8542246E-0AC5-417E-A552-D7BF0D78D807}"/>
    <cellStyle name="Normal 5 7 3 3" xfId="5668" xr:uid="{00000000-0005-0000-0000-0000CC1B0000}"/>
    <cellStyle name="Normal 5 7 3 3 2" xfId="14118" xr:uid="{F92CB53A-59F7-4ECC-B94D-9D3C69781263}"/>
    <cellStyle name="Normal 5 7 3 4" xfId="9900" xr:uid="{390BFA19-AB7F-4C78-A85D-9B3AB6C37FF1}"/>
    <cellStyle name="Normal 5 7 4" xfId="1774" xr:uid="{00000000-0005-0000-0000-0000CD1B0000}"/>
    <cellStyle name="Normal 5 7 4 2" xfId="4004" xr:uid="{00000000-0005-0000-0000-0000CE1B0000}"/>
    <cellStyle name="Normal 5 7 4 2 2" xfId="8226" xr:uid="{00000000-0005-0000-0000-0000CF1B0000}"/>
    <cellStyle name="Normal 5 7 4 2 2 2" xfId="16676" xr:uid="{2691D478-3603-4997-B7A2-67C4D0D8774F}"/>
    <cellStyle name="Normal 5 7 4 2 3" xfId="12458" xr:uid="{7FB917C9-57DE-469A-AFC4-CFE1D224FE76}"/>
    <cellStyle name="Normal 5 7 4 3" xfId="6081" xr:uid="{00000000-0005-0000-0000-0000D01B0000}"/>
    <cellStyle name="Normal 5 7 4 3 2" xfId="14531" xr:uid="{B3C5EF85-7DC6-4601-949E-23B1D48131B3}"/>
    <cellStyle name="Normal 5 7 4 4" xfId="10313" xr:uid="{33ACBD1E-6FE3-4EC6-B0FB-59514D901EBD}"/>
    <cellStyle name="Normal 5 7 5" xfId="2188" xr:uid="{00000000-0005-0000-0000-0000D11B0000}"/>
    <cellStyle name="Normal 5 7 5 2" xfId="4417" xr:uid="{00000000-0005-0000-0000-0000D21B0000}"/>
    <cellStyle name="Normal 5 7 5 2 2" xfId="8639" xr:uid="{00000000-0005-0000-0000-0000D31B0000}"/>
    <cellStyle name="Normal 5 7 5 2 2 2" xfId="17089" xr:uid="{41E3B14E-A253-4A28-85A0-4E806362D5C7}"/>
    <cellStyle name="Normal 5 7 5 2 3" xfId="12871" xr:uid="{07DA0E73-1D2D-48E1-A711-A785347A5B74}"/>
    <cellStyle name="Normal 5 7 5 3" xfId="6494" xr:uid="{00000000-0005-0000-0000-0000D41B0000}"/>
    <cellStyle name="Normal 5 7 5 3 2" xfId="14944" xr:uid="{3FFF21FC-63E4-4D3D-9EC9-816A91CEE816}"/>
    <cellStyle name="Normal 5 7 5 4" xfId="10726" xr:uid="{2DBB4BF2-27E9-4408-8883-A262A9D2DF50}"/>
    <cellStyle name="Normal 5 7 6" xfId="2624" xr:uid="{00000000-0005-0000-0000-0000D51B0000}"/>
    <cellStyle name="Normal 5 7 6 2" xfId="6907" xr:uid="{00000000-0005-0000-0000-0000D61B0000}"/>
    <cellStyle name="Normal 5 7 6 2 2" xfId="15357" xr:uid="{94600ED3-7223-4393-8C09-3DEE86AAD8B4}"/>
    <cellStyle name="Normal 5 7 6 3" xfId="11139" xr:uid="{54225642-0E5F-4076-B699-9E5C2C06EBAF}"/>
    <cellStyle name="Normal 5 7 7" xfId="4842" xr:uid="{00000000-0005-0000-0000-0000D71B0000}"/>
    <cellStyle name="Normal 5 7 7 2" xfId="13292" xr:uid="{9844F7F8-DBD7-4C50-86F9-7D02E75144A6}"/>
    <cellStyle name="Normal 5 7 8" xfId="17514" xr:uid="{AAC64740-AD04-4BA5-A09F-BFC35BE9DFB9}"/>
    <cellStyle name="Normal 5 7 9" xfId="18347" xr:uid="{5F4D5F6E-0CEF-4B54-84F7-27CDE4B26265}"/>
    <cellStyle name="Normal 5 8" xfId="880" xr:uid="{00000000-0005-0000-0000-0000D81B0000}"/>
    <cellStyle name="Normal 5 8 2" xfId="3115" xr:uid="{00000000-0005-0000-0000-0000D91B0000}"/>
    <cellStyle name="Normal 5 8 2 2" xfId="7337" xr:uid="{00000000-0005-0000-0000-0000DA1B0000}"/>
    <cellStyle name="Normal 5 8 2 2 2" xfId="15787" xr:uid="{8671DD45-C57D-4EA4-986F-B9C6C1D1B2B7}"/>
    <cellStyle name="Normal 5 8 2 3" xfId="11569" xr:uid="{2CF3AB0F-F588-4069-BAEE-02C63D7B6231}"/>
    <cellStyle name="Normal 5 8 3" xfId="5192" xr:uid="{00000000-0005-0000-0000-0000DB1B0000}"/>
    <cellStyle name="Normal 5 8 3 2" xfId="13642" xr:uid="{07AFB368-1A47-4D15-A128-C955717303ED}"/>
    <cellStyle name="Normal 5 8 4" xfId="17870" xr:uid="{806D2B85-3C0C-4B29-B098-E62ABD63A804}"/>
    <cellStyle name="Normal 5 8 5" xfId="18700" xr:uid="{910BC4DC-F71D-445A-BFD3-5FCEB1F32045}"/>
    <cellStyle name="Normal 5 8 6" xfId="19529" xr:uid="{BEA6E412-61D4-4539-84B1-6CA2C68B3823}"/>
    <cellStyle name="Normal 5 8 7" xfId="9424" xr:uid="{0558A0B8-5CA0-4636-B149-25F99FE05DF7}"/>
    <cellStyle name="Normal 5 9" xfId="1298" xr:uid="{00000000-0005-0000-0000-0000DC1B0000}"/>
    <cellStyle name="Normal 5 9 2" xfId="3528" xr:uid="{00000000-0005-0000-0000-0000DD1B0000}"/>
    <cellStyle name="Normal 5 9 2 2" xfId="7750" xr:uid="{00000000-0005-0000-0000-0000DE1B0000}"/>
    <cellStyle name="Normal 5 9 2 2 2" xfId="16200" xr:uid="{F2C85D00-CB76-4FB4-93ED-9B0821420F64}"/>
    <cellStyle name="Normal 5 9 2 3" xfId="11982" xr:uid="{1E2C73DA-4375-43F1-86E7-CB09A7334984}"/>
    <cellStyle name="Normal 5 9 3" xfId="5605" xr:uid="{00000000-0005-0000-0000-0000DF1B0000}"/>
    <cellStyle name="Normal 5 9 3 2" xfId="14055" xr:uid="{F6EFC8AC-468C-4233-849E-9E936DC722B4}"/>
    <cellStyle name="Normal 5 9 4" xfId="9837" xr:uid="{A61C9C89-6F0B-4656-A6CF-78B5F18543C6}"/>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ED6942C6-6CD4-4BD8-B365-5B08BC565FE0}"/>
    <cellStyle name="Normal 8 10 2 3" xfId="12872" xr:uid="{2074F64D-1E7B-4AC4-958E-2D432FC18390}"/>
    <cellStyle name="Normal 8 10 3" xfId="6495" xr:uid="{00000000-0005-0000-0000-0000EB1B0000}"/>
    <cellStyle name="Normal 8 10 3 2" xfId="14945" xr:uid="{E63CC13E-4418-4077-BA54-F92F7CE5E9B0}"/>
    <cellStyle name="Normal 8 10 4" xfId="10727" xr:uid="{3407C7B8-D043-4F2D-A542-80C111850CA8}"/>
    <cellStyle name="Normal 8 11" xfId="2625" xr:uid="{00000000-0005-0000-0000-0000EC1B0000}"/>
    <cellStyle name="Normal 8 11 2" xfId="6908" xr:uid="{00000000-0005-0000-0000-0000ED1B0000}"/>
    <cellStyle name="Normal 8 11 2 2" xfId="15358" xr:uid="{735F67EC-3847-4DCC-BFA0-914BFEB080FB}"/>
    <cellStyle name="Normal 8 11 3" xfId="11140" xr:uid="{904C9A35-5CE8-4687-892F-3D4557E5E3E2}"/>
    <cellStyle name="Normal 8 12" xfId="4843" xr:uid="{00000000-0005-0000-0000-0000EE1B0000}"/>
    <cellStyle name="Normal 8 12 2" xfId="13293" xr:uid="{6136FD1A-FB14-4A00-9341-E1826A5418F7}"/>
    <cellStyle name="Normal 8 13" xfId="17515" xr:uid="{98D1D48C-76A4-4124-A018-03577B9732EE}"/>
    <cellStyle name="Normal 8 14" xfId="18348" xr:uid="{F379B8CD-6A3F-48DF-ADE6-07D794A676ED}"/>
    <cellStyle name="Normal 8 15" xfId="19177" xr:uid="{2CF1BADB-B3B0-4DD8-8B3A-236EFB8FD4F6}"/>
    <cellStyle name="Normal 8 16" xfId="9075" xr:uid="{364C1E7A-EFCD-419C-ADAC-64D1D6D21078}"/>
    <cellStyle name="Normal 8 2" xfId="479" xr:uid="{00000000-0005-0000-0000-0000EF1B0000}"/>
    <cellStyle name="Normal 8 2 10" xfId="2626" xr:uid="{00000000-0005-0000-0000-0000F01B0000}"/>
    <cellStyle name="Normal 8 2 10 2" xfId="6909" xr:uid="{00000000-0005-0000-0000-0000F11B0000}"/>
    <cellStyle name="Normal 8 2 10 2 2" xfId="15359" xr:uid="{F39289A7-940F-4F5A-BEAE-D10F2A66D27B}"/>
    <cellStyle name="Normal 8 2 10 3" xfId="11141" xr:uid="{14B1AEE5-61D5-4A33-8894-52704800C76C}"/>
    <cellStyle name="Normal 8 2 11" xfId="4844" xr:uid="{00000000-0005-0000-0000-0000F21B0000}"/>
    <cellStyle name="Normal 8 2 11 2" xfId="13294" xr:uid="{02464917-1B26-4C94-875E-375AF7F8DBE4}"/>
    <cellStyle name="Normal 8 2 12" xfId="17516" xr:uid="{7EEB7D93-19E4-4ED5-81B6-F82AA28A2EC1}"/>
    <cellStyle name="Normal 8 2 13" xfId="18349" xr:uid="{62EB11EB-3991-4AC3-8419-5A21F3DEB524}"/>
    <cellStyle name="Normal 8 2 14" xfId="19178" xr:uid="{6FEE70A9-EA1A-4E08-BA0A-2D836D9C0FE4}"/>
    <cellStyle name="Normal 8 2 15" xfId="9076" xr:uid="{2D5213D5-D12D-43D7-9F1F-401484D39AB1}"/>
    <cellStyle name="Normal 8 2 2" xfId="480" xr:uid="{00000000-0005-0000-0000-0000F31B0000}"/>
    <cellStyle name="Normal 8 2 2 10" xfId="4845" xr:uid="{00000000-0005-0000-0000-0000F41B0000}"/>
    <cellStyle name="Normal 8 2 2 10 2" xfId="13295" xr:uid="{5D5CFC59-E339-4EA4-BFBD-480FC03CAE05}"/>
    <cellStyle name="Normal 8 2 2 11" xfId="17517" xr:uid="{D4CD3CB3-7F17-4CFF-9F82-9D795E1DBAE0}"/>
    <cellStyle name="Normal 8 2 2 12" xfId="18350" xr:uid="{0904B138-E91C-4541-A9B0-017B6B5D45D4}"/>
    <cellStyle name="Normal 8 2 2 13" xfId="19179" xr:uid="{1B45056A-DCD5-4797-864C-E4EC720E27AE}"/>
    <cellStyle name="Normal 8 2 2 14" xfId="9077" xr:uid="{114337E9-E82B-4F67-9C82-D3653CA8A965}"/>
    <cellStyle name="Normal 8 2 2 2" xfId="481" xr:uid="{00000000-0005-0000-0000-0000F51B0000}"/>
    <cellStyle name="Normal 8 2 2 2 10" xfId="17518" xr:uid="{7C4A02C8-403B-48CB-A43E-E745DE5E201C}"/>
    <cellStyle name="Normal 8 2 2 2 11" xfId="18351" xr:uid="{C64B78D1-1E24-4699-A854-FD26CC5C1CDF}"/>
    <cellStyle name="Normal 8 2 2 2 12" xfId="19180" xr:uid="{AF4B518A-4777-4AB8-A200-1B618D4A66B8}"/>
    <cellStyle name="Normal 8 2 2 2 13" xfId="9078" xr:uid="{76E4E48D-979A-4388-B4A7-F0170C546CF4}"/>
    <cellStyle name="Normal 8 2 2 2 2" xfId="482" xr:uid="{00000000-0005-0000-0000-0000F61B0000}"/>
    <cellStyle name="Normal 8 2 2 2 2 10" xfId="18352" xr:uid="{8F75037D-8868-4C19-BEB6-F1FB28D76ED0}"/>
    <cellStyle name="Normal 8 2 2 2 2 11" xfId="19181" xr:uid="{881B9B4A-5173-4B85-AC16-A57E71784938}"/>
    <cellStyle name="Normal 8 2 2 2 2 12" xfId="9079" xr:uid="{A1E82B50-3E67-4EE8-AAD9-CF0092CEF967}"/>
    <cellStyle name="Normal 8 2 2 2 2 2" xfId="483" xr:uid="{00000000-0005-0000-0000-0000F71B0000}"/>
    <cellStyle name="Normal 8 2 2 2 2 2 10" xfId="19182" xr:uid="{A3892F0F-270C-4786-BE29-D1075079A373}"/>
    <cellStyle name="Normal 8 2 2 2 2 2 11" xfId="9080" xr:uid="{0A694862-EA3E-484E-8A33-022AAF47D3C1}"/>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FB768497-FB66-433D-BDE8-B7DED76ABD19}"/>
    <cellStyle name="Normal 8 2 2 2 2 2 2 2 3" xfId="11638" xr:uid="{2AAC1B82-34D6-4CDE-9CF3-F553E29C1B9D}"/>
    <cellStyle name="Normal 8 2 2 2 2 2 2 3" xfId="5261" xr:uid="{00000000-0005-0000-0000-0000FB1B0000}"/>
    <cellStyle name="Normal 8 2 2 2 2 2 2 3 2" xfId="13711" xr:uid="{722F1736-D58D-41D0-8589-45F96AF9E53E}"/>
    <cellStyle name="Normal 8 2 2 2 2 2 2 4" xfId="17939" xr:uid="{FF7E55B0-70D7-46CA-8DE9-29A0B2FB2BFF}"/>
    <cellStyle name="Normal 8 2 2 2 2 2 2 5" xfId="18769" xr:uid="{A7883C5C-CEA7-4BEE-B5B4-DA9C9C2D97A4}"/>
    <cellStyle name="Normal 8 2 2 2 2 2 2 6" xfId="19598" xr:uid="{5CD8D096-2478-4BDC-ADA4-6E5B385798E6}"/>
    <cellStyle name="Normal 8 2 2 2 2 2 2 7" xfId="9493" xr:uid="{6484318B-DCF1-4384-B169-DD6498CC2A7F}"/>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88C6ECCF-F0FD-4BF1-AFB1-233D9AB3F811}"/>
    <cellStyle name="Normal 8 2 2 2 2 2 3 2 3" xfId="12051" xr:uid="{29C1F2D4-099F-43FC-814E-E1F35C31BDC4}"/>
    <cellStyle name="Normal 8 2 2 2 2 2 3 3" xfId="5674" xr:uid="{00000000-0005-0000-0000-0000FF1B0000}"/>
    <cellStyle name="Normal 8 2 2 2 2 2 3 3 2" xfId="14124" xr:uid="{3CDAEBE7-C3C1-4867-BADF-1936315BC560}"/>
    <cellStyle name="Normal 8 2 2 2 2 2 3 4" xfId="9906" xr:uid="{B378F803-CD0F-4C39-9391-19F71E4A1A21}"/>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BD6C39C9-BD1C-4921-A19E-978DF035A1A1}"/>
    <cellStyle name="Normal 8 2 2 2 2 2 4 2 3" xfId="12464" xr:uid="{3E3032AE-01A5-4405-BF5C-9472F9DD4002}"/>
    <cellStyle name="Normal 8 2 2 2 2 2 4 3" xfId="6087" xr:uid="{00000000-0005-0000-0000-0000031C0000}"/>
    <cellStyle name="Normal 8 2 2 2 2 2 4 3 2" xfId="14537" xr:uid="{27A9272F-B985-4BC8-BFD5-A3A3C3E14737}"/>
    <cellStyle name="Normal 8 2 2 2 2 2 4 4" xfId="10319" xr:uid="{8D263D28-EE6A-41C3-A1E1-52B9B7297F06}"/>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4B0B8DF8-F24C-4B5B-A83E-49697A429A0B}"/>
    <cellStyle name="Normal 8 2 2 2 2 2 5 2 3" xfId="12877" xr:uid="{BB776827-7A2D-4F2B-8DD0-515C7344EF4C}"/>
    <cellStyle name="Normal 8 2 2 2 2 2 5 3" xfId="6500" xr:uid="{00000000-0005-0000-0000-0000071C0000}"/>
    <cellStyle name="Normal 8 2 2 2 2 2 5 3 2" xfId="14950" xr:uid="{771780BE-9642-446A-9E66-7F2117F29772}"/>
    <cellStyle name="Normal 8 2 2 2 2 2 5 4" xfId="10732" xr:uid="{341B4678-14CD-4164-AB3F-EB90EC342E61}"/>
    <cellStyle name="Normal 8 2 2 2 2 2 6" xfId="2630" xr:uid="{00000000-0005-0000-0000-0000081C0000}"/>
    <cellStyle name="Normal 8 2 2 2 2 2 6 2" xfId="6913" xr:uid="{00000000-0005-0000-0000-0000091C0000}"/>
    <cellStyle name="Normal 8 2 2 2 2 2 6 2 2" xfId="15363" xr:uid="{64DBC6FD-CC51-4A4E-8746-D6D68758E018}"/>
    <cellStyle name="Normal 8 2 2 2 2 2 6 3" xfId="11145" xr:uid="{7B23DE70-FC3A-4ACF-A34F-6F90F697C90F}"/>
    <cellStyle name="Normal 8 2 2 2 2 2 7" xfId="4848" xr:uid="{00000000-0005-0000-0000-00000A1C0000}"/>
    <cellStyle name="Normal 8 2 2 2 2 2 7 2" xfId="13298" xr:uid="{0BED5654-5F39-4520-868A-21C8EC8DC0AE}"/>
    <cellStyle name="Normal 8 2 2 2 2 2 8" xfId="17520" xr:uid="{BF721021-F400-445F-89DE-5D5D3FB79CE4}"/>
    <cellStyle name="Normal 8 2 2 2 2 2 9" xfId="18353" xr:uid="{F0C6CBEC-BC35-4696-B828-E16CCE39DAAF}"/>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5782FB1E-A551-4F5A-964B-B60DA9B9D4BB}"/>
    <cellStyle name="Normal 8 2 2 2 2 3 2 3" xfId="11637" xr:uid="{32AE93B9-A3CA-4341-B91C-FE084564A359}"/>
    <cellStyle name="Normal 8 2 2 2 2 3 3" xfId="5260" xr:uid="{00000000-0005-0000-0000-00000E1C0000}"/>
    <cellStyle name="Normal 8 2 2 2 2 3 3 2" xfId="13710" xr:uid="{9DF222FF-F9F6-4D5F-96A7-3709B73A27F3}"/>
    <cellStyle name="Normal 8 2 2 2 2 3 4" xfId="17938" xr:uid="{5F713ACF-BCDA-4AC2-B715-5A3C6CAD3C47}"/>
    <cellStyle name="Normal 8 2 2 2 2 3 5" xfId="18768" xr:uid="{0106C149-527D-4B8F-ABF1-647AC6A75689}"/>
    <cellStyle name="Normal 8 2 2 2 2 3 6" xfId="19597" xr:uid="{EAF3252F-0912-436F-AE18-7C4C8E9B6FED}"/>
    <cellStyle name="Normal 8 2 2 2 2 3 7" xfId="9492" xr:uid="{BFCC8BAF-C33C-443F-AB09-BB245CBC4F29}"/>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F78DC746-7D37-4EA9-9BFA-45DF6BCB84CE}"/>
    <cellStyle name="Normal 8 2 2 2 2 4 2 3" xfId="12050" xr:uid="{1B86774E-8161-4D49-8A25-D4824E65623F}"/>
    <cellStyle name="Normal 8 2 2 2 2 4 3" xfId="5673" xr:uid="{00000000-0005-0000-0000-0000121C0000}"/>
    <cellStyle name="Normal 8 2 2 2 2 4 3 2" xfId="14123" xr:uid="{9CE85826-10B9-4939-B8AE-2171A967C2C6}"/>
    <cellStyle name="Normal 8 2 2 2 2 4 4" xfId="9905" xr:uid="{DD8171BB-BA7C-433A-9C1A-64ADF45B6141}"/>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D1ED7157-B4DE-4D29-A1DC-F562580667DD}"/>
    <cellStyle name="Normal 8 2 2 2 2 5 2 3" xfId="12463" xr:uid="{A5CCCD6D-A647-44A1-AF4B-A919AF49B83E}"/>
    <cellStyle name="Normal 8 2 2 2 2 5 3" xfId="6086" xr:uid="{00000000-0005-0000-0000-0000161C0000}"/>
    <cellStyle name="Normal 8 2 2 2 2 5 3 2" xfId="14536" xr:uid="{03655AE6-5762-441B-9764-76CF958C1D54}"/>
    <cellStyle name="Normal 8 2 2 2 2 5 4" xfId="10318" xr:uid="{6AF7848E-851A-494F-8FA2-26CA9CD9A5F2}"/>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456A217C-E6AC-4F2C-B2A9-9C4BB9BA2655}"/>
    <cellStyle name="Normal 8 2 2 2 2 6 2 3" xfId="12876" xr:uid="{2DF91044-85D9-4AC8-A7F5-909E92FC00C7}"/>
    <cellStyle name="Normal 8 2 2 2 2 6 3" xfId="6499" xr:uid="{00000000-0005-0000-0000-00001A1C0000}"/>
    <cellStyle name="Normal 8 2 2 2 2 6 3 2" xfId="14949" xr:uid="{177735F7-74A3-4ACC-8C1C-B5A9AC47717D}"/>
    <cellStyle name="Normal 8 2 2 2 2 6 4" xfId="10731" xr:uid="{BF9BF69A-5620-4D1B-AFC4-8B6C78DAEE63}"/>
    <cellStyle name="Normal 8 2 2 2 2 7" xfId="2629" xr:uid="{00000000-0005-0000-0000-00001B1C0000}"/>
    <cellStyle name="Normal 8 2 2 2 2 7 2" xfId="6912" xr:uid="{00000000-0005-0000-0000-00001C1C0000}"/>
    <cellStyle name="Normal 8 2 2 2 2 7 2 2" xfId="15362" xr:uid="{BD2B6691-8B5D-494E-9529-5EC8ADC5981E}"/>
    <cellStyle name="Normal 8 2 2 2 2 7 3" xfId="11144" xr:uid="{7368872E-F561-4277-AED1-F476E0B3BFF0}"/>
    <cellStyle name="Normal 8 2 2 2 2 8" xfId="4847" xr:uid="{00000000-0005-0000-0000-00001D1C0000}"/>
    <cellStyle name="Normal 8 2 2 2 2 8 2" xfId="13297" xr:uid="{B0A32BF3-76A4-4F3B-930A-E875A48254B3}"/>
    <cellStyle name="Normal 8 2 2 2 2 9" xfId="17519" xr:uid="{1EE3A661-89F2-409F-B7B5-E634CA4B3C90}"/>
    <cellStyle name="Normal 8 2 2 2 3" xfId="484" xr:uid="{00000000-0005-0000-0000-00001E1C0000}"/>
    <cellStyle name="Normal 8 2 2 2 3 10" xfId="19183" xr:uid="{C45D7896-6917-42E3-895A-CD70672DEAFD}"/>
    <cellStyle name="Normal 8 2 2 2 3 11" xfId="9081" xr:uid="{F437B3AA-4292-4B4F-8601-E71ACD228DE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A03BBED3-D81E-42C7-885A-6E02F249E63F}"/>
    <cellStyle name="Normal 8 2 2 2 3 2 2 3" xfId="11639" xr:uid="{B6E9261C-A88A-4AB7-86FE-F37CECBDF0DE}"/>
    <cellStyle name="Normal 8 2 2 2 3 2 3" xfId="5262" xr:uid="{00000000-0005-0000-0000-0000221C0000}"/>
    <cellStyle name="Normal 8 2 2 2 3 2 3 2" xfId="13712" xr:uid="{47B10AED-EC05-4A08-86C4-A33ADC165B0E}"/>
    <cellStyle name="Normal 8 2 2 2 3 2 4" xfId="17940" xr:uid="{31E54AA1-50EA-472C-83E6-12E86B04D5D3}"/>
    <cellStyle name="Normal 8 2 2 2 3 2 5" xfId="18770" xr:uid="{9C121C05-8261-4CC8-BB42-A7E88810ABBC}"/>
    <cellStyle name="Normal 8 2 2 2 3 2 6" xfId="19599" xr:uid="{9301D66A-02A0-443B-BA33-CC002C7F4C5D}"/>
    <cellStyle name="Normal 8 2 2 2 3 2 7" xfId="9494" xr:uid="{06913332-F14E-4FE0-91BC-BF502DFA2B63}"/>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C26DC25D-190B-44C5-820E-144E5F517626}"/>
    <cellStyle name="Normal 8 2 2 2 3 3 2 3" xfId="12052" xr:uid="{EEEE6466-EC64-47EE-916A-31B8F1F85011}"/>
    <cellStyle name="Normal 8 2 2 2 3 3 3" xfId="5675" xr:uid="{00000000-0005-0000-0000-0000261C0000}"/>
    <cellStyle name="Normal 8 2 2 2 3 3 3 2" xfId="14125" xr:uid="{0E9C1735-DE58-4A78-B527-EE1B8E2D5870}"/>
    <cellStyle name="Normal 8 2 2 2 3 3 4" xfId="9907" xr:uid="{DD5F0BF6-8248-464F-8134-13F8640AB1FF}"/>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87348B82-54AA-4BB6-9FD3-C28D659FB173}"/>
    <cellStyle name="Normal 8 2 2 2 3 4 2 3" xfId="12465" xr:uid="{6FF973C4-1E8B-4511-AE99-99ED63D91262}"/>
    <cellStyle name="Normal 8 2 2 2 3 4 3" xfId="6088" xr:uid="{00000000-0005-0000-0000-00002A1C0000}"/>
    <cellStyle name="Normal 8 2 2 2 3 4 3 2" xfId="14538" xr:uid="{0D206E19-4F8A-4DAC-ACAE-E80E9F5E259C}"/>
    <cellStyle name="Normal 8 2 2 2 3 4 4" xfId="10320" xr:uid="{269F3FFB-8BC1-4518-B802-BBE3C431FDFE}"/>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8C38C690-3D0F-4F4E-B631-6BCB633FCBE2}"/>
    <cellStyle name="Normal 8 2 2 2 3 5 2 3" xfId="12878" xr:uid="{A0D9CBA3-1447-408B-B6BB-4B410A3AF36E}"/>
    <cellStyle name="Normal 8 2 2 2 3 5 3" xfId="6501" xr:uid="{00000000-0005-0000-0000-00002E1C0000}"/>
    <cellStyle name="Normal 8 2 2 2 3 5 3 2" xfId="14951" xr:uid="{8C6E5DF9-8DB4-4B72-AF83-57FE490ED5B9}"/>
    <cellStyle name="Normal 8 2 2 2 3 5 4" xfId="10733" xr:uid="{E45D06E9-7764-4340-87D2-EABEAAA6F94A}"/>
    <cellStyle name="Normal 8 2 2 2 3 6" xfId="2631" xr:uid="{00000000-0005-0000-0000-00002F1C0000}"/>
    <cellStyle name="Normal 8 2 2 2 3 6 2" xfId="6914" xr:uid="{00000000-0005-0000-0000-0000301C0000}"/>
    <cellStyle name="Normal 8 2 2 2 3 6 2 2" xfId="15364" xr:uid="{8B277546-1232-4F88-9668-6234CB369C80}"/>
    <cellStyle name="Normal 8 2 2 2 3 6 3" xfId="11146" xr:uid="{05CBCCDD-B81E-4FE9-8406-43B122990B74}"/>
    <cellStyle name="Normal 8 2 2 2 3 7" xfId="4849" xr:uid="{00000000-0005-0000-0000-0000311C0000}"/>
    <cellStyle name="Normal 8 2 2 2 3 7 2" xfId="13299" xr:uid="{7AC4750B-BDBC-4898-8554-E3D25395F54F}"/>
    <cellStyle name="Normal 8 2 2 2 3 8" xfId="17521" xr:uid="{43EE4E89-07A4-4CB0-8F56-5F81E1D02FA6}"/>
    <cellStyle name="Normal 8 2 2 2 3 9" xfId="18354" xr:uid="{E06FA43B-1C07-4205-9E03-1B18985C9D39}"/>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A5E15E13-4E82-4302-8FC4-9F61CE5B653A}"/>
    <cellStyle name="Normal 8 2 2 2 4 2 3" xfId="11636" xr:uid="{DA28C7FB-4A1F-468A-A4E7-519B85626615}"/>
    <cellStyle name="Normal 8 2 2 2 4 3" xfId="5259" xr:uid="{00000000-0005-0000-0000-0000351C0000}"/>
    <cellStyle name="Normal 8 2 2 2 4 3 2" xfId="13709" xr:uid="{B43496D1-E066-41E7-B215-7B56F91901E0}"/>
    <cellStyle name="Normal 8 2 2 2 4 4" xfId="17937" xr:uid="{D4C84003-A517-4FA4-AE02-85E09B42E961}"/>
    <cellStyle name="Normal 8 2 2 2 4 5" xfId="18767" xr:uid="{D79719FD-48FE-4300-9D32-8E454D814885}"/>
    <cellStyle name="Normal 8 2 2 2 4 6" xfId="19596" xr:uid="{01AC4EDE-8C00-4699-945F-59C8914A3406}"/>
    <cellStyle name="Normal 8 2 2 2 4 7" xfId="9491" xr:uid="{3814020A-3871-47F5-B15E-E25806252240}"/>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00172F2C-B399-44AC-AD45-2258F6A83092}"/>
    <cellStyle name="Normal 8 2 2 2 5 2 3" xfId="12049" xr:uid="{ED116B67-BDF0-49EA-9369-4024709FF51E}"/>
    <cellStyle name="Normal 8 2 2 2 5 3" xfId="5672" xr:uid="{00000000-0005-0000-0000-0000391C0000}"/>
    <cellStyle name="Normal 8 2 2 2 5 3 2" xfId="14122" xr:uid="{A0137404-F103-4375-A7E8-D613286CB0C6}"/>
    <cellStyle name="Normal 8 2 2 2 5 4" xfId="9904" xr:uid="{CBCC9B78-FBB4-4A0C-86D2-6193C8524C95}"/>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D942CE04-8D1A-4A75-A1E7-82F339C84E07}"/>
    <cellStyle name="Normal 8 2 2 2 6 2 3" xfId="12462" xr:uid="{AC420667-D9AF-4E28-AF10-C252064C13B7}"/>
    <cellStyle name="Normal 8 2 2 2 6 3" xfId="6085" xr:uid="{00000000-0005-0000-0000-00003D1C0000}"/>
    <cellStyle name="Normal 8 2 2 2 6 3 2" xfId="14535" xr:uid="{219E3CB1-BECA-4E9F-AD8E-85B7E5057E04}"/>
    <cellStyle name="Normal 8 2 2 2 6 4" xfId="10317" xr:uid="{93320149-614A-468A-A51B-B3B09CE56750}"/>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534CD0B7-0BAE-4ADB-9DD7-D1474C035B5D}"/>
    <cellStyle name="Normal 8 2 2 2 7 2 3" xfId="12875" xr:uid="{83C621E6-128B-4F5B-8339-B93E9ED992F3}"/>
    <cellStyle name="Normal 8 2 2 2 7 3" xfId="6498" xr:uid="{00000000-0005-0000-0000-0000411C0000}"/>
    <cellStyle name="Normal 8 2 2 2 7 3 2" xfId="14948" xr:uid="{9E8E9036-BDED-440C-8230-B21C7A8CCA59}"/>
    <cellStyle name="Normal 8 2 2 2 7 4" xfId="10730" xr:uid="{5B158DC6-5026-4AB6-97B6-52D9DA6C6616}"/>
    <cellStyle name="Normal 8 2 2 2 8" xfId="2628" xr:uid="{00000000-0005-0000-0000-0000421C0000}"/>
    <cellStyle name="Normal 8 2 2 2 8 2" xfId="6911" xr:uid="{00000000-0005-0000-0000-0000431C0000}"/>
    <cellStyle name="Normal 8 2 2 2 8 2 2" xfId="15361" xr:uid="{DB414E3B-B684-4C78-9ED3-CE6F431FCFC0}"/>
    <cellStyle name="Normal 8 2 2 2 8 3" xfId="11143" xr:uid="{1CA5319B-1608-440B-BB35-3652BA6B1FBB}"/>
    <cellStyle name="Normal 8 2 2 2 9" xfId="4846" xr:uid="{00000000-0005-0000-0000-0000441C0000}"/>
    <cellStyle name="Normal 8 2 2 2 9 2" xfId="13296" xr:uid="{E7A620F4-F409-4689-96F9-6E3F20ECEE82}"/>
    <cellStyle name="Normal 8 2 2 3" xfId="485" xr:uid="{00000000-0005-0000-0000-0000451C0000}"/>
    <cellStyle name="Normal 8 2 2 3 10" xfId="18355" xr:uid="{35F1DC9B-C2E3-424C-BE9F-8880FDDDD0E4}"/>
    <cellStyle name="Normal 8 2 2 3 11" xfId="19184" xr:uid="{445B6D18-A469-4260-BBCB-1AED141EA82C}"/>
    <cellStyle name="Normal 8 2 2 3 12" xfId="9082" xr:uid="{D1920A1F-AB93-466E-A359-B85538F8C511}"/>
    <cellStyle name="Normal 8 2 2 3 2" xfId="486" xr:uid="{00000000-0005-0000-0000-0000461C0000}"/>
    <cellStyle name="Normal 8 2 2 3 2 10" xfId="19185" xr:uid="{FE85F1B9-446D-43B7-B0CD-E89FFEE49548}"/>
    <cellStyle name="Normal 8 2 2 3 2 11" xfId="9083" xr:uid="{996B407D-9EF8-4394-A178-2C934F750A68}"/>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478487D6-789D-4077-8726-DE8F079C3723}"/>
    <cellStyle name="Normal 8 2 2 3 2 2 2 3" xfId="11641" xr:uid="{E6AA2D7B-CD16-4A87-84E0-3BF6C9BB61B6}"/>
    <cellStyle name="Normal 8 2 2 3 2 2 3" xfId="5264" xr:uid="{00000000-0005-0000-0000-00004A1C0000}"/>
    <cellStyle name="Normal 8 2 2 3 2 2 3 2" xfId="13714" xr:uid="{8A6D6ED2-4C87-4DA5-970F-755F452E27C3}"/>
    <cellStyle name="Normal 8 2 2 3 2 2 4" xfId="17942" xr:uid="{7842B38F-4977-4026-813D-3465821BD472}"/>
    <cellStyle name="Normal 8 2 2 3 2 2 5" xfId="18772" xr:uid="{97CE32AF-212A-434D-9F33-6A51BB735DF8}"/>
    <cellStyle name="Normal 8 2 2 3 2 2 6" xfId="19601" xr:uid="{563728CC-B969-4401-B57F-CFA79D2F8C8B}"/>
    <cellStyle name="Normal 8 2 2 3 2 2 7" xfId="9496" xr:uid="{AAFF4324-DA35-4969-AC40-E6A8D2D93E96}"/>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557DA3B7-70E5-448F-B35F-34198E3901CE}"/>
    <cellStyle name="Normal 8 2 2 3 2 3 2 3" xfId="12054" xr:uid="{A9EDCADE-37DD-4457-B120-68BE84F5BF3D}"/>
    <cellStyle name="Normal 8 2 2 3 2 3 3" xfId="5677" xr:uid="{00000000-0005-0000-0000-00004E1C0000}"/>
    <cellStyle name="Normal 8 2 2 3 2 3 3 2" xfId="14127" xr:uid="{AB20B704-B263-4CCD-B09F-3DAAC5A4F527}"/>
    <cellStyle name="Normal 8 2 2 3 2 3 4" xfId="9909" xr:uid="{68345483-1A95-4D9A-9793-DA4A9A4FDFD5}"/>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DFA732E9-6D5A-4152-A09D-58BCFAD8121A}"/>
    <cellStyle name="Normal 8 2 2 3 2 4 2 3" xfId="12467" xr:uid="{7C8AFD2E-EDFA-42E2-9B60-4857C500E3E0}"/>
    <cellStyle name="Normal 8 2 2 3 2 4 3" xfId="6090" xr:uid="{00000000-0005-0000-0000-0000521C0000}"/>
    <cellStyle name="Normal 8 2 2 3 2 4 3 2" xfId="14540" xr:uid="{85A97FB3-4883-4B29-B91D-6CB81DFCEF47}"/>
    <cellStyle name="Normal 8 2 2 3 2 4 4" xfId="10322" xr:uid="{7C590E10-A0F6-4CA6-9972-2EE73DC097B2}"/>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7B889120-57D7-49A8-A9FA-E8BE36B43A2A}"/>
    <cellStyle name="Normal 8 2 2 3 2 5 2 3" xfId="12880" xr:uid="{ABD2A60A-8035-4621-98EE-90732F98E5BC}"/>
    <cellStyle name="Normal 8 2 2 3 2 5 3" xfId="6503" xr:uid="{00000000-0005-0000-0000-0000561C0000}"/>
    <cellStyle name="Normal 8 2 2 3 2 5 3 2" xfId="14953" xr:uid="{F190D9E4-2C70-429D-BB16-9795DBD586AF}"/>
    <cellStyle name="Normal 8 2 2 3 2 5 4" xfId="10735" xr:uid="{33FB4433-581F-4DAB-8000-BB49E65D4FDE}"/>
    <cellStyle name="Normal 8 2 2 3 2 6" xfId="2633" xr:uid="{00000000-0005-0000-0000-0000571C0000}"/>
    <cellStyle name="Normal 8 2 2 3 2 6 2" xfId="6916" xr:uid="{00000000-0005-0000-0000-0000581C0000}"/>
    <cellStyle name="Normal 8 2 2 3 2 6 2 2" xfId="15366" xr:uid="{82F73E68-B5F7-44B0-B37F-28FE6A294ED1}"/>
    <cellStyle name="Normal 8 2 2 3 2 6 3" xfId="11148" xr:uid="{F92D6814-834C-4AD3-A803-1D99FCA0B73C}"/>
    <cellStyle name="Normal 8 2 2 3 2 7" xfId="4851" xr:uid="{00000000-0005-0000-0000-0000591C0000}"/>
    <cellStyle name="Normal 8 2 2 3 2 7 2" xfId="13301" xr:uid="{1E06B345-F374-4CAD-A376-A10D61FD7D7B}"/>
    <cellStyle name="Normal 8 2 2 3 2 8" xfId="17523" xr:uid="{7E65D053-8A75-4476-9CF5-34E91D4CA25D}"/>
    <cellStyle name="Normal 8 2 2 3 2 9" xfId="18356" xr:uid="{A4281FCB-6B91-4412-BEEA-FB3D5ED2F14F}"/>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24A2C78F-D8DF-4810-A3A9-76AD522F4D21}"/>
    <cellStyle name="Normal 8 2 2 3 3 2 3" xfId="11640" xr:uid="{8081EFF7-8901-4068-93F3-BB84F0B96E02}"/>
    <cellStyle name="Normal 8 2 2 3 3 3" xfId="5263" xr:uid="{00000000-0005-0000-0000-00005D1C0000}"/>
    <cellStyle name="Normal 8 2 2 3 3 3 2" xfId="13713" xr:uid="{A37ADFFC-AAC6-4582-9667-BF7DEEC59E47}"/>
    <cellStyle name="Normal 8 2 2 3 3 4" xfId="17941" xr:uid="{15F20DCD-E707-4427-88CB-108EE5A7BE56}"/>
    <cellStyle name="Normal 8 2 2 3 3 5" xfId="18771" xr:uid="{93525EEE-2500-423F-B0D1-EF7F72376AF1}"/>
    <cellStyle name="Normal 8 2 2 3 3 6" xfId="19600" xr:uid="{9AE4AA5C-7E55-4342-AF6C-8DA3A9874C22}"/>
    <cellStyle name="Normal 8 2 2 3 3 7" xfId="9495" xr:uid="{25C66199-A0AE-4F65-B9A7-455225EC4EC5}"/>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8A66C871-F9DE-484F-B155-2F9F764BE262}"/>
    <cellStyle name="Normal 8 2 2 3 4 2 3" xfId="12053" xr:uid="{10D9698A-089B-4BEF-9260-2600905BAB70}"/>
    <cellStyle name="Normal 8 2 2 3 4 3" xfId="5676" xr:uid="{00000000-0005-0000-0000-0000611C0000}"/>
    <cellStyle name="Normal 8 2 2 3 4 3 2" xfId="14126" xr:uid="{CEC5FD3E-6CF5-44EF-BA65-7C6C7604D703}"/>
    <cellStyle name="Normal 8 2 2 3 4 4" xfId="9908" xr:uid="{E2D57726-2D71-4586-B79B-5B92BCBD0A03}"/>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E490914A-6A6D-4989-9920-8407510FC745}"/>
    <cellStyle name="Normal 8 2 2 3 5 2 3" xfId="12466" xr:uid="{3E4594D1-A6B3-486B-8BCA-257918D55A4D}"/>
    <cellStyle name="Normal 8 2 2 3 5 3" xfId="6089" xr:uid="{00000000-0005-0000-0000-0000651C0000}"/>
    <cellStyle name="Normal 8 2 2 3 5 3 2" xfId="14539" xr:uid="{A35AC141-0ADF-4A3C-8577-DBBB8C02AFF6}"/>
    <cellStyle name="Normal 8 2 2 3 5 4" xfId="10321" xr:uid="{BAB6DF6C-6C6F-4FC2-A643-57ED131A3AFD}"/>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5416BAD7-0650-4843-86F4-AA167F3DE290}"/>
    <cellStyle name="Normal 8 2 2 3 6 2 3" xfId="12879" xr:uid="{7E569606-9585-4EB8-AB20-5C1B4F05779A}"/>
    <cellStyle name="Normal 8 2 2 3 6 3" xfId="6502" xr:uid="{00000000-0005-0000-0000-0000691C0000}"/>
    <cellStyle name="Normal 8 2 2 3 6 3 2" xfId="14952" xr:uid="{82C545CF-1AA8-41F3-9F3A-0F1C4171EE23}"/>
    <cellStyle name="Normal 8 2 2 3 6 4" xfId="10734" xr:uid="{097B21F5-6F47-4123-A822-24E131C24A22}"/>
    <cellStyle name="Normal 8 2 2 3 7" xfId="2632" xr:uid="{00000000-0005-0000-0000-00006A1C0000}"/>
    <cellStyle name="Normal 8 2 2 3 7 2" xfId="6915" xr:uid="{00000000-0005-0000-0000-00006B1C0000}"/>
    <cellStyle name="Normal 8 2 2 3 7 2 2" xfId="15365" xr:uid="{5C9A9FAD-4A50-4D5A-82DC-D5C80F1E9810}"/>
    <cellStyle name="Normal 8 2 2 3 7 3" xfId="11147" xr:uid="{7F2AE397-9850-45C1-9955-A5DEFD973D11}"/>
    <cellStyle name="Normal 8 2 2 3 8" xfId="4850" xr:uid="{00000000-0005-0000-0000-00006C1C0000}"/>
    <cellStyle name="Normal 8 2 2 3 8 2" xfId="13300" xr:uid="{CA44C078-D4DE-450A-B04D-B43D58C89423}"/>
    <cellStyle name="Normal 8 2 2 3 9" xfId="17522" xr:uid="{E44180E7-4AC0-43D6-9900-663B0A49DC62}"/>
    <cellStyle name="Normal 8 2 2 4" xfId="487" xr:uid="{00000000-0005-0000-0000-00006D1C0000}"/>
    <cellStyle name="Normal 8 2 2 4 10" xfId="19186" xr:uid="{4F56C737-1F9D-4F77-B314-401CCC605527}"/>
    <cellStyle name="Normal 8 2 2 4 11" xfId="9084" xr:uid="{347D7437-0F99-4D1B-9F41-359BE02B4A75}"/>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D37A9174-E877-4C3C-893D-CC6B16714AB1}"/>
    <cellStyle name="Normal 8 2 2 4 2 2 3" xfId="11642" xr:uid="{6BBB2B3C-BFCC-408E-813E-1BE4B689618D}"/>
    <cellStyle name="Normal 8 2 2 4 2 3" xfId="5265" xr:uid="{00000000-0005-0000-0000-0000711C0000}"/>
    <cellStyle name="Normal 8 2 2 4 2 3 2" xfId="13715" xr:uid="{6E27F619-CE43-49BD-9D02-6D4C0ADAD712}"/>
    <cellStyle name="Normal 8 2 2 4 2 4" xfId="17943" xr:uid="{E2B42797-2FCB-4C51-A57F-43DCC54B2414}"/>
    <cellStyle name="Normal 8 2 2 4 2 5" xfId="18773" xr:uid="{F44618E2-8F92-464F-A69C-DAE8B9DFFEE1}"/>
    <cellStyle name="Normal 8 2 2 4 2 6" xfId="19602" xr:uid="{27F63559-273C-460A-9186-B290F0894F26}"/>
    <cellStyle name="Normal 8 2 2 4 2 7" xfId="9497" xr:uid="{98DBC751-CE03-4684-B419-ACB359739665}"/>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E660CC88-431A-42FC-9D4C-07F191194480}"/>
    <cellStyle name="Normal 8 2 2 4 3 2 3" xfId="12055" xr:uid="{ECF414DD-3DC0-47E6-A87C-F0130B015F05}"/>
    <cellStyle name="Normal 8 2 2 4 3 3" xfId="5678" xr:uid="{00000000-0005-0000-0000-0000751C0000}"/>
    <cellStyle name="Normal 8 2 2 4 3 3 2" xfId="14128" xr:uid="{46035617-6F6F-4B25-A1C2-64E3B917409A}"/>
    <cellStyle name="Normal 8 2 2 4 3 4" xfId="9910" xr:uid="{732A8AB6-E206-48FD-A602-2A4295C5243B}"/>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04ED17A3-04A2-4E91-A817-EB9154F6481F}"/>
    <cellStyle name="Normal 8 2 2 4 4 2 3" xfId="12468" xr:uid="{6D36602E-69C7-47EE-8D4A-1E97075C0EE6}"/>
    <cellStyle name="Normal 8 2 2 4 4 3" xfId="6091" xr:uid="{00000000-0005-0000-0000-0000791C0000}"/>
    <cellStyle name="Normal 8 2 2 4 4 3 2" xfId="14541" xr:uid="{3EFD5235-66E2-4995-8EC6-D35F39089C5E}"/>
    <cellStyle name="Normal 8 2 2 4 4 4" xfId="10323" xr:uid="{48E8DB85-270D-4A80-BF4E-176BB630883C}"/>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3F40EDBC-8CD1-4B36-90BA-2589692F22DC}"/>
    <cellStyle name="Normal 8 2 2 4 5 2 3" xfId="12881" xr:uid="{8AB12E13-2CF0-40E7-A0B1-C29C288A3430}"/>
    <cellStyle name="Normal 8 2 2 4 5 3" xfId="6504" xr:uid="{00000000-0005-0000-0000-00007D1C0000}"/>
    <cellStyle name="Normal 8 2 2 4 5 3 2" xfId="14954" xr:uid="{D3821F1A-252B-498F-AD32-1E614933313B}"/>
    <cellStyle name="Normal 8 2 2 4 5 4" xfId="10736" xr:uid="{47944501-4B54-42CC-9F85-D2A9C1F89539}"/>
    <cellStyle name="Normal 8 2 2 4 6" xfId="2634" xr:uid="{00000000-0005-0000-0000-00007E1C0000}"/>
    <cellStyle name="Normal 8 2 2 4 6 2" xfId="6917" xr:uid="{00000000-0005-0000-0000-00007F1C0000}"/>
    <cellStyle name="Normal 8 2 2 4 6 2 2" xfId="15367" xr:uid="{FCA6C6CF-6478-4B40-8F65-A5A235141E4C}"/>
    <cellStyle name="Normal 8 2 2 4 6 3" xfId="11149" xr:uid="{62DCD648-6731-4B50-9F58-6A9B1EB7C18B}"/>
    <cellStyle name="Normal 8 2 2 4 7" xfId="4852" xr:uid="{00000000-0005-0000-0000-0000801C0000}"/>
    <cellStyle name="Normal 8 2 2 4 7 2" xfId="13302" xr:uid="{127DE1EA-6C56-4B8E-B410-19549769010B}"/>
    <cellStyle name="Normal 8 2 2 4 8" xfId="17524" xr:uid="{7C373A0D-DA48-4FC0-B8A0-0907D4DDBC4B}"/>
    <cellStyle name="Normal 8 2 2 4 9" xfId="18357" xr:uid="{17C0FA56-A2CA-4684-A8A9-E5BD9A1FC129}"/>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9E570992-B99D-4C66-B0BA-7866B5991B22}"/>
    <cellStyle name="Normal 8 2 2 5 2 3" xfId="11635" xr:uid="{D4395E3A-E710-4936-9365-7CAC4191C121}"/>
    <cellStyle name="Normal 8 2 2 5 3" xfId="5258" xr:uid="{00000000-0005-0000-0000-0000841C0000}"/>
    <cellStyle name="Normal 8 2 2 5 3 2" xfId="13708" xr:uid="{92382F95-CD19-4EDE-AF04-63ECD2E348CD}"/>
    <cellStyle name="Normal 8 2 2 5 4" xfId="17936" xr:uid="{2B810F13-CC29-4AD9-99FA-F91B665FDF30}"/>
    <cellStyle name="Normal 8 2 2 5 5" xfId="18766" xr:uid="{C67EBE5D-B5B2-4691-B5B2-2A975C72681D}"/>
    <cellStyle name="Normal 8 2 2 5 6" xfId="19595" xr:uid="{5FA3EAF6-68C3-465B-A62E-6AF76BD3DCBA}"/>
    <cellStyle name="Normal 8 2 2 5 7" xfId="9490" xr:uid="{CA1F1DB5-958D-4D9B-BCEE-8EA7503B3B17}"/>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727E289F-4DD7-4A98-AC66-AA6D2829B81F}"/>
    <cellStyle name="Normal 8 2 2 6 2 3" xfId="12048" xr:uid="{BDEAD320-F32C-4AC9-A9EA-281BC0B49255}"/>
    <cellStyle name="Normal 8 2 2 6 3" xfId="5671" xr:uid="{00000000-0005-0000-0000-0000881C0000}"/>
    <cellStyle name="Normal 8 2 2 6 3 2" xfId="14121" xr:uid="{8064253D-98D7-45CA-BCA3-5ECD0F70FB16}"/>
    <cellStyle name="Normal 8 2 2 6 4" xfId="9903" xr:uid="{AC4EA490-B997-4B0A-BC4C-AC6135B198FC}"/>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40905CDD-3AAE-4583-8041-7CE0CCEBEFFC}"/>
    <cellStyle name="Normal 8 2 2 7 2 3" xfId="12461" xr:uid="{D28ED64A-7833-4FAB-86BF-D44C33E660C5}"/>
    <cellStyle name="Normal 8 2 2 7 3" xfId="6084" xr:uid="{00000000-0005-0000-0000-00008C1C0000}"/>
    <cellStyle name="Normal 8 2 2 7 3 2" xfId="14534" xr:uid="{31FD63B6-C3BA-4B51-851F-BDC02AA226E5}"/>
    <cellStyle name="Normal 8 2 2 7 4" xfId="10316" xr:uid="{6F9DE4BF-1DAA-4C65-996F-ED8E2B80E6AE}"/>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46500012-9315-4F3C-BD51-9087D245041B}"/>
    <cellStyle name="Normal 8 2 2 8 2 3" xfId="12874" xr:uid="{08BA0161-75B0-46EB-A54E-0AE8F2EABD28}"/>
    <cellStyle name="Normal 8 2 2 8 3" xfId="6497" xr:uid="{00000000-0005-0000-0000-0000901C0000}"/>
    <cellStyle name="Normal 8 2 2 8 3 2" xfId="14947" xr:uid="{A0AD2972-AFE3-494F-A8C8-3F895C92B76F}"/>
    <cellStyle name="Normal 8 2 2 8 4" xfId="10729" xr:uid="{C5EFC4CA-184A-424A-94D8-174A7CD5B50B}"/>
    <cellStyle name="Normal 8 2 2 9" xfId="2627" xr:uid="{00000000-0005-0000-0000-0000911C0000}"/>
    <cellStyle name="Normal 8 2 2 9 2" xfId="6910" xr:uid="{00000000-0005-0000-0000-0000921C0000}"/>
    <cellStyle name="Normal 8 2 2 9 2 2" xfId="15360" xr:uid="{0FCDC897-5886-4D83-A265-8A618CA28F45}"/>
    <cellStyle name="Normal 8 2 2 9 3" xfId="11142" xr:uid="{F6C26862-D188-4474-BBF4-6837C69E21AA}"/>
    <cellStyle name="Normal 8 2 3" xfId="488" xr:uid="{00000000-0005-0000-0000-0000931C0000}"/>
    <cellStyle name="Normal 8 2 3 10" xfId="17525" xr:uid="{0E861861-F243-4F7D-9259-B6CFBA9C7B7B}"/>
    <cellStyle name="Normal 8 2 3 11" xfId="18358" xr:uid="{0190DC95-70FB-4175-A113-7EC9D61BCB23}"/>
    <cellStyle name="Normal 8 2 3 12" xfId="19187" xr:uid="{15A0FB12-4A7D-44AD-837F-45D67C605D33}"/>
    <cellStyle name="Normal 8 2 3 13" xfId="9085" xr:uid="{2AF0E475-6DCF-455F-B718-B68BEDAE6884}"/>
    <cellStyle name="Normal 8 2 3 2" xfId="489" xr:uid="{00000000-0005-0000-0000-0000941C0000}"/>
    <cellStyle name="Normal 8 2 3 2 10" xfId="18359" xr:uid="{303FA700-0DEF-4488-B830-0304672F0B4B}"/>
    <cellStyle name="Normal 8 2 3 2 11" xfId="19188" xr:uid="{C43771E2-4732-4AA8-88BA-CD3DB858D9AF}"/>
    <cellStyle name="Normal 8 2 3 2 12" xfId="9086" xr:uid="{FE6F34D2-5CA2-4FA5-901D-1A6843E5B199}"/>
    <cellStyle name="Normal 8 2 3 2 2" xfId="490" xr:uid="{00000000-0005-0000-0000-0000951C0000}"/>
    <cellStyle name="Normal 8 2 3 2 2 10" xfId="19189" xr:uid="{D4E0E25F-0DE6-4607-9138-402C50043AA4}"/>
    <cellStyle name="Normal 8 2 3 2 2 11" xfId="9087" xr:uid="{A98FE5F9-9F9F-4BC4-8011-C26305B6030A}"/>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53B160C8-5844-450D-9B36-53A22D700307}"/>
    <cellStyle name="Normal 8 2 3 2 2 2 2 3" xfId="11645" xr:uid="{4EB1F85B-D9BB-47B8-8E47-96EFBCA6A456}"/>
    <cellStyle name="Normal 8 2 3 2 2 2 3" xfId="5268" xr:uid="{00000000-0005-0000-0000-0000991C0000}"/>
    <cellStyle name="Normal 8 2 3 2 2 2 3 2" xfId="13718" xr:uid="{31791FEA-C729-4D65-B9BF-31E99CDC3D61}"/>
    <cellStyle name="Normal 8 2 3 2 2 2 4" xfId="17946" xr:uid="{E7BBE44A-C840-45C1-B6F6-BE789B7E9DBD}"/>
    <cellStyle name="Normal 8 2 3 2 2 2 5" xfId="18776" xr:uid="{F1EC4B8F-DE0B-4161-B04F-C4AA22E18D2A}"/>
    <cellStyle name="Normal 8 2 3 2 2 2 6" xfId="19605" xr:uid="{ABECCC33-DEEF-4FA3-B229-A2F6EF301FD2}"/>
    <cellStyle name="Normal 8 2 3 2 2 2 7" xfId="9500" xr:uid="{C3E5C40B-5086-4EE0-9230-C5B34D609AD6}"/>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0F663C9F-79BD-4687-97B0-98EA3EF77ED6}"/>
    <cellStyle name="Normal 8 2 3 2 2 3 2 3" xfId="12058" xr:uid="{03FF1A4E-BB7C-4E39-851A-58FC4ECCFB0D}"/>
    <cellStyle name="Normal 8 2 3 2 2 3 3" xfId="5681" xr:uid="{00000000-0005-0000-0000-00009D1C0000}"/>
    <cellStyle name="Normal 8 2 3 2 2 3 3 2" xfId="14131" xr:uid="{A0670687-340A-44AE-95ED-97BE1D503DD7}"/>
    <cellStyle name="Normal 8 2 3 2 2 3 4" xfId="9913" xr:uid="{55C2E151-8DBE-4050-B6EB-997289D54884}"/>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E1006A4F-7AFC-4572-BB42-077B532B727A}"/>
    <cellStyle name="Normal 8 2 3 2 2 4 2 3" xfId="12471" xr:uid="{5439D916-9714-43EA-99EA-D5403F373322}"/>
    <cellStyle name="Normal 8 2 3 2 2 4 3" xfId="6094" xr:uid="{00000000-0005-0000-0000-0000A11C0000}"/>
    <cellStyle name="Normal 8 2 3 2 2 4 3 2" xfId="14544" xr:uid="{235BF8EA-DCBB-4698-A3A8-0AE90EA6F3AF}"/>
    <cellStyle name="Normal 8 2 3 2 2 4 4" xfId="10326" xr:uid="{07387421-D8E8-426A-97BD-F480D26795D8}"/>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6DF387B9-38CF-485C-A629-7CAF5A554C11}"/>
    <cellStyle name="Normal 8 2 3 2 2 5 2 3" xfId="12884" xr:uid="{3DBA8360-3B10-49B6-82C8-AC989C39E362}"/>
    <cellStyle name="Normal 8 2 3 2 2 5 3" xfId="6507" xr:uid="{00000000-0005-0000-0000-0000A51C0000}"/>
    <cellStyle name="Normal 8 2 3 2 2 5 3 2" xfId="14957" xr:uid="{DAC4FAD5-28A1-4AFC-A17F-CC0F98CCD42C}"/>
    <cellStyle name="Normal 8 2 3 2 2 5 4" xfId="10739" xr:uid="{821FFDED-9A65-46F5-819B-836E67F53F3C}"/>
    <cellStyle name="Normal 8 2 3 2 2 6" xfId="2637" xr:uid="{00000000-0005-0000-0000-0000A61C0000}"/>
    <cellStyle name="Normal 8 2 3 2 2 6 2" xfId="6920" xr:uid="{00000000-0005-0000-0000-0000A71C0000}"/>
    <cellStyle name="Normal 8 2 3 2 2 6 2 2" xfId="15370" xr:uid="{79F428E3-1260-4E9F-9AAB-4712185CB85A}"/>
    <cellStyle name="Normal 8 2 3 2 2 6 3" xfId="11152" xr:uid="{51A7DF48-BEF4-4789-AA11-EEC7E4BDF591}"/>
    <cellStyle name="Normal 8 2 3 2 2 7" xfId="4855" xr:uid="{00000000-0005-0000-0000-0000A81C0000}"/>
    <cellStyle name="Normal 8 2 3 2 2 7 2" xfId="13305" xr:uid="{FEFAAB6A-9106-42B1-A0BE-C1FF53EDC232}"/>
    <cellStyle name="Normal 8 2 3 2 2 8" xfId="17527" xr:uid="{81F9118F-E324-4242-8911-CED36B7A6EE3}"/>
    <cellStyle name="Normal 8 2 3 2 2 9" xfId="18360" xr:uid="{0CD9FAF5-480F-4482-B664-1B7B8632663F}"/>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4263E2B0-774B-4C6C-AB98-35C0B004604C}"/>
    <cellStyle name="Normal 8 2 3 2 3 2 3" xfId="11644" xr:uid="{9B6D4558-2CBF-43A1-9D93-A236AE3BC3E5}"/>
    <cellStyle name="Normal 8 2 3 2 3 3" xfId="5267" xr:uid="{00000000-0005-0000-0000-0000AC1C0000}"/>
    <cellStyle name="Normal 8 2 3 2 3 3 2" xfId="13717" xr:uid="{F71D8969-7EDC-45D5-B95A-9E602800EBC2}"/>
    <cellStyle name="Normal 8 2 3 2 3 4" xfId="17945" xr:uid="{BBCADC64-FB98-414A-83D7-A2D4926CD3B0}"/>
    <cellStyle name="Normal 8 2 3 2 3 5" xfId="18775" xr:uid="{9CDD627C-9C93-432F-A556-86DAE07829E9}"/>
    <cellStyle name="Normal 8 2 3 2 3 6" xfId="19604" xr:uid="{A6074650-17EA-47A9-9E56-EC38AEA4D96D}"/>
    <cellStyle name="Normal 8 2 3 2 3 7" xfId="9499" xr:uid="{C5F64906-83E4-47A8-AA21-B9AB2164A160}"/>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C35220A4-548F-46C0-9C59-C26DD9BCC5A2}"/>
    <cellStyle name="Normal 8 2 3 2 4 2 3" xfId="12057" xr:uid="{87430343-D853-49A8-82E2-E21C6A25F07E}"/>
    <cellStyle name="Normal 8 2 3 2 4 3" xfId="5680" xr:uid="{00000000-0005-0000-0000-0000B01C0000}"/>
    <cellStyle name="Normal 8 2 3 2 4 3 2" xfId="14130" xr:uid="{6BF5D308-8679-4CA4-B017-482B31525A81}"/>
    <cellStyle name="Normal 8 2 3 2 4 4" xfId="9912" xr:uid="{1D226EEB-61BE-4A6F-8FF9-73A4BD4E3F0A}"/>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5078FFA7-1FB1-4849-917A-BDF52FF23A90}"/>
    <cellStyle name="Normal 8 2 3 2 5 2 3" xfId="12470" xr:uid="{D036E69A-CB03-4C8E-83FB-BBC294793266}"/>
    <cellStyle name="Normal 8 2 3 2 5 3" xfId="6093" xr:uid="{00000000-0005-0000-0000-0000B41C0000}"/>
    <cellStyle name="Normal 8 2 3 2 5 3 2" xfId="14543" xr:uid="{3384EB81-160D-44BA-9C0E-3E1384BDCA87}"/>
    <cellStyle name="Normal 8 2 3 2 5 4" xfId="10325" xr:uid="{5508C7EF-E909-45A4-AC4C-F2616C93D33B}"/>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4E188ACA-6116-4588-847C-85CFF160FB6F}"/>
    <cellStyle name="Normal 8 2 3 2 6 2 3" xfId="12883" xr:uid="{BCAADDC2-4289-4220-A935-65911763D4C0}"/>
    <cellStyle name="Normal 8 2 3 2 6 3" xfId="6506" xr:uid="{00000000-0005-0000-0000-0000B81C0000}"/>
    <cellStyle name="Normal 8 2 3 2 6 3 2" xfId="14956" xr:uid="{9AEA1F7E-8E22-4D32-86ED-31C944F56E56}"/>
    <cellStyle name="Normal 8 2 3 2 6 4" xfId="10738" xr:uid="{838D8B20-0A3C-4D37-8063-F738A9EBB482}"/>
    <cellStyle name="Normal 8 2 3 2 7" xfId="2636" xr:uid="{00000000-0005-0000-0000-0000B91C0000}"/>
    <cellStyle name="Normal 8 2 3 2 7 2" xfId="6919" xr:uid="{00000000-0005-0000-0000-0000BA1C0000}"/>
    <cellStyle name="Normal 8 2 3 2 7 2 2" xfId="15369" xr:uid="{66FFF50F-B4EE-478B-87AA-81B6932BCB9B}"/>
    <cellStyle name="Normal 8 2 3 2 7 3" xfId="11151" xr:uid="{84649F8C-2DFF-4862-AAF2-218786B61574}"/>
    <cellStyle name="Normal 8 2 3 2 8" xfId="4854" xr:uid="{00000000-0005-0000-0000-0000BB1C0000}"/>
    <cellStyle name="Normal 8 2 3 2 8 2" xfId="13304" xr:uid="{79465D0B-C9A7-4D5D-979D-240D39450D20}"/>
    <cellStyle name="Normal 8 2 3 2 9" xfId="17526" xr:uid="{B108A030-D821-447F-8F04-349FFA793647}"/>
    <cellStyle name="Normal 8 2 3 3" xfId="491" xr:uid="{00000000-0005-0000-0000-0000BC1C0000}"/>
    <cellStyle name="Normal 8 2 3 3 10" xfId="19190" xr:uid="{044C1870-DD25-4E00-9E26-CE5699945C46}"/>
    <cellStyle name="Normal 8 2 3 3 11" xfId="9088" xr:uid="{BF3F721B-C05C-4CCE-A785-00A0A3906862}"/>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1595976B-7DBF-4A4E-899B-76DED69C965F}"/>
    <cellStyle name="Normal 8 2 3 3 2 2 3" xfId="11646" xr:uid="{2E30155B-7B22-4552-8500-C4BB31D4AF1B}"/>
    <cellStyle name="Normal 8 2 3 3 2 3" xfId="5269" xr:uid="{00000000-0005-0000-0000-0000C01C0000}"/>
    <cellStyle name="Normal 8 2 3 3 2 3 2" xfId="13719" xr:uid="{F0307135-25BA-4DA1-821C-236B4555E377}"/>
    <cellStyle name="Normal 8 2 3 3 2 4" xfId="17947" xr:uid="{CC7BF15E-F455-4979-AAFD-AD7794143523}"/>
    <cellStyle name="Normal 8 2 3 3 2 5" xfId="18777" xr:uid="{9CB7BDCB-3585-426B-AA9E-737BADD10188}"/>
    <cellStyle name="Normal 8 2 3 3 2 6" xfId="19606" xr:uid="{EAA07D50-0FBA-469A-95B2-50D0B1F7FD5F}"/>
    <cellStyle name="Normal 8 2 3 3 2 7" xfId="9501" xr:uid="{3F6EA6BD-B27C-4FC3-858F-4F44B4F94B66}"/>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EBF0ACF1-E34F-45C3-B806-A32CFDA6A2D2}"/>
    <cellStyle name="Normal 8 2 3 3 3 2 3" xfId="12059" xr:uid="{9297F68E-1242-482D-90D9-857A2C89E468}"/>
    <cellStyle name="Normal 8 2 3 3 3 3" xfId="5682" xr:uid="{00000000-0005-0000-0000-0000C41C0000}"/>
    <cellStyle name="Normal 8 2 3 3 3 3 2" xfId="14132" xr:uid="{9D2B7B64-85CA-436B-BC34-74268BAAB014}"/>
    <cellStyle name="Normal 8 2 3 3 3 4" xfId="9914" xr:uid="{48FB7572-BFD0-44A3-BCDB-9B3201F025E1}"/>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41073D3F-2FE4-45B9-9089-4239798B4518}"/>
    <cellStyle name="Normal 8 2 3 3 4 2 3" xfId="12472" xr:uid="{18AB0C49-B268-4169-AB10-8326DBA2D808}"/>
    <cellStyle name="Normal 8 2 3 3 4 3" xfId="6095" xr:uid="{00000000-0005-0000-0000-0000C81C0000}"/>
    <cellStyle name="Normal 8 2 3 3 4 3 2" xfId="14545" xr:uid="{1B2502F8-6ACB-45B7-8E6C-D971E49E7AFF}"/>
    <cellStyle name="Normal 8 2 3 3 4 4" xfId="10327" xr:uid="{12572312-C5D2-4009-9964-AAAA2A0981B2}"/>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7A6AB5FD-A48B-4A9B-82C4-DF2E7EE1120D}"/>
    <cellStyle name="Normal 8 2 3 3 5 2 3" xfId="12885" xr:uid="{33BD786D-91E3-4CF6-9BB6-6412B2FABB67}"/>
    <cellStyle name="Normal 8 2 3 3 5 3" xfId="6508" xr:uid="{00000000-0005-0000-0000-0000CC1C0000}"/>
    <cellStyle name="Normal 8 2 3 3 5 3 2" xfId="14958" xr:uid="{3D2341F0-DE83-496A-9062-ACC46A40CA37}"/>
    <cellStyle name="Normal 8 2 3 3 5 4" xfId="10740" xr:uid="{7825B6D1-5FD0-449A-9D42-3ACAF6253BD1}"/>
    <cellStyle name="Normal 8 2 3 3 6" xfId="2638" xr:uid="{00000000-0005-0000-0000-0000CD1C0000}"/>
    <cellStyle name="Normal 8 2 3 3 6 2" xfId="6921" xr:uid="{00000000-0005-0000-0000-0000CE1C0000}"/>
    <cellStyle name="Normal 8 2 3 3 6 2 2" xfId="15371" xr:uid="{6BA91E35-B813-4525-8998-22632B0DA472}"/>
    <cellStyle name="Normal 8 2 3 3 6 3" xfId="11153" xr:uid="{8D4CB1FB-0CAD-4669-8DA6-3C26D662972B}"/>
    <cellStyle name="Normal 8 2 3 3 7" xfId="4856" xr:uid="{00000000-0005-0000-0000-0000CF1C0000}"/>
    <cellStyle name="Normal 8 2 3 3 7 2" xfId="13306" xr:uid="{6EBF4CEB-6919-4E68-8F9D-3CF04858BC69}"/>
    <cellStyle name="Normal 8 2 3 3 8" xfId="17528" xr:uid="{C78187BD-2953-4ACC-88FE-2FA1BA3D6B7F}"/>
    <cellStyle name="Normal 8 2 3 3 9" xfId="18361" xr:uid="{13F70078-4937-416C-AF6E-C5D19B53F403}"/>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EA970A8E-5FAF-45EC-88CF-674B820CBD24}"/>
    <cellStyle name="Normal 8 2 3 4 2 3" xfId="11643" xr:uid="{460F78F8-802C-48A6-9E57-5FA81D400F35}"/>
    <cellStyle name="Normal 8 2 3 4 3" xfId="5266" xr:uid="{00000000-0005-0000-0000-0000D31C0000}"/>
    <cellStyle name="Normal 8 2 3 4 3 2" xfId="13716" xr:uid="{F0A3CABD-48AD-4B46-AF29-6A1AE1D5557A}"/>
    <cellStyle name="Normal 8 2 3 4 4" xfId="17944" xr:uid="{CF6C2337-6D9A-4B4E-91F0-BC7A7F35AEE5}"/>
    <cellStyle name="Normal 8 2 3 4 5" xfId="18774" xr:uid="{4BF42D8A-DEA3-4ADA-AE83-7906F721FF71}"/>
    <cellStyle name="Normal 8 2 3 4 6" xfId="19603" xr:uid="{07CB7AD8-4335-4795-AA0B-FE53A32FD87C}"/>
    <cellStyle name="Normal 8 2 3 4 7" xfId="9498" xr:uid="{823452DF-6AFF-44AB-8097-D83569007097}"/>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0D08A704-B81F-46A1-AF9E-66E678646DFB}"/>
    <cellStyle name="Normal 8 2 3 5 2 3" xfId="12056" xr:uid="{45862DFE-9641-430E-9FDF-6CB63C43FAF2}"/>
    <cellStyle name="Normal 8 2 3 5 3" xfId="5679" xr:uid="{00000000-0005-0000-0000-0000D71C0000}"/>
    <cellStyle name="Normal 8 2 3 5 3 2" xfId="14129" xr:uid="{32D2DE1F-8390-4AAE-82D2-BD38E434D4D6}"/>
    <cellStyle name="Normal 8 2 3 5 4" xfId="9911" xr:uid="{09EDD78D-3E38-4E43-A423-DD26EC7FCDCD}"/>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CAB691A5-3FAB-4E8A-B740-D054D85BDDE3}"/>
    <cellStyle name="Normal 8 2 3 6 2 3" xfId="12469" xr:uid="{93F0319A-6C37-4817-9DF6-FC5CC348BB07}"/>
    <cellStyle name="Normal 8 2 3 6 3" xfId="6092" xr:uid="{00000000-0005-0000-0000-0000DB1C0000}"/>
    <cellStyle name="Normal 8 2 3 6 3 2" xfId="14542" xr:uid="{57C9C31A-A5C7-4AA0-B99A-A02EBBBC1750}"/>
    <cellStyle name="Normal 8 2 3 6 4" xfId="10324" xr:uid="{BA2792D9-1E60-4BE0-A65B-79173DA33493}"/>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464AA182-3317-4E92-92C3-DEB3AD3AC4A2}"/>
    <cellStyle name="Normal 8 2 3 7 2 3" xfId="12882" xr:uid="{B4443976-32A7-48A1-92C0-60FAA7F6B575}"/>
    <cellStyle name="Normal 8 2 3 7 3" xfId="6505" xr:uid="{00000000-0005-0000-0000-0000DF1C0000}"/>
    <cellStyle name="Normal 8 2 3 7 3 2" xfId="14955" xr:uid="{5ACE1EFE-7C37-4501-B138-7A071963BC00}"/>
    <cellStyle name="Normal 8 2 3 7 4" xfId="10737" xr:uid="{9EA488B5-DA2F-4045-AFD0-3A9B46613226}"/>
    <cellStyle name="Normal 8 2 3 8" xfId="2635" xr:uid="{00000000-0005-0000-0000-0000E01C0000}"/>
    <cellStyle name="Normal 8 2 3 8 2" xfId="6918" xr:uid="{00000000-0005-0000-0000-0000E11C0000}"/>
    <cellStyle name="Normal 8 2 3 8 2 2" xfId="15368" xr:uid="{DFD65F69-0504-4FA4-9801-254D4DE0EC14}"/>
    <cellStyle name="Normal 8 2 3 8 3" xfId="11150" xr:uid="{7BD228A3-F1E1-4988-AD78-44F313DE7CE4}"/>
    <cellStyle name="Normal 8 2 3 9" xfId="4853" xr:uid="{00000000-0005-0000-0000-0000E21C0000}"/>
    <cellStyle name="Normal 8 2 3 9 2" xfId="13303" xr:uid="{C5D156A0-3CBF-4AFD-9A1F-F15E3D31D61F}"/>
    <cellStyle name="Normal 8 2 4" xfId="492" xr:uid="{00000000-0005-0000-0000-0000E31C0000}"/>
    <cellStyle name="Normal 8 2 4 10" xfId="18362" xr:uid="{A0E2553D-C4D7-4FAF-9076-BA0386000A63}"/>
    <cellStyle name="Normal 8 2 4 11" xfId="19191" xr:uid="{AF6AD82F-81B0-4E85-8408-1346169BCC47}"/>
    <cellStyle name="Normal 8 2 4 12" xfId="9089" xr:uid="{192B4882-8677-46FF-8EB3-9359C287977F}"/>
    <cellStyle name="Normal 8 2 4 2" xfId="493" xr:uid="{00000000-0005-0000-0000-0000E41C0000}"/>
    <cellStyle name="Normal 8 2 4 2 10" xfId="19192" xr:uid="{0A231BF3-803C-4403-972E-BF9AFD4FA744}"/>
    <cellStyle name="Normal 8 2 4 2 11" xfId="9090" xr:uid="{51357C25-526D-4F55-B0BF-D07D5180280C}"/>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8C579464-4068-47B1-8C3E-51783388D6D6}"/>
    <cellStyle name="Normal 8 2 4 2 2 2 3" xfId="11648" xr:uid="{F65B814A-E659-46D4-9797-D7CA02A0BEDA}"/>
    <cellStyle name="Normal 8 2 4 2 2 3" xfId="5271" xr:uid="{00000000-0005-0000-0000-0000E81C0000}"/>
    <cellStyle name="Normal 8 2 4 2 2 3 2" xfId="13721" xr:uid="{C86946AD-C69D-4C6F-9ACA-F7855E19B15B}"/>
    <cellStyle name="Normal 8 2 4 2 2 4" xfId="17949" xr:uid="{93493155-8891-4EB1-9AFC-FF861C5C081E}"/>
    <cellStyle name="Normal 8 2 4 2 2 5" xfId="18779" xr:uid="{21D3AF7A-4780-43E6-AB21-BFE0E95B0652}"/>
    <cellStyle name="Normal 8 2 4 2 2 6" xfId="19608" xr:uid="{87B8757C-8FCA-4D12-B220-814B768D1C0D}"/>
    <cellStyle name="Normal 8 2 4 2 2 7" xfId="9503" xr:uid="{7464A2D7-769D-492C-A774-B9D6EBD23DA8}"/>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C4B284A9-AD5C-4FB4-A633-AD75E820229A}"/>
    <cellStyle name="Normal 8 2 4 2 3 2 3" xfId="12061" xr:uid="{9D311C5D-68B0-4442-B698-AA90386DED3C}"/>
    <cellStyle name="Normal 8 2 4 2 3 3" xfId="5684" xr:uid="{00000000-0005-0000-0000-0000EC1C0000}"/>
    <cellStyle name="Normal 8 2 4 2 3 3 2" xfId="14134" xr:uid="{6F0834A1-3CD7-4D17-AE74-6CAE8ECF383B}"/>
    <cellStyle name="Normal 8 2 4 2 3 4" xfId="9916" xr:uid="{818B7E14-EF54-49F7-A643-B8590A4445D0}"/>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DDA6E492-6DE8-4226-9A6F-537490C0A88C}"/>
    <cellStyle name="Normal 8 2 4 2 4 2 3" xfId="12474" xr:uid="{637F376B-549B-4DF6-B1B9-0AB01B2D14A3}"/>
    <cellStyle name="Normal 8 2 4 2 4 3" xfId="6097" xr:uid="{00000000-0005-0000-0000-0000F01C0000}"/>
    <cellStyle name="Normal 8 2 4 2 4 3 2" xfId="14547" xr:uid="{E253E873-97E7-4025-A23C-6D8205AA6604}"/>
    <cellStyle name="Normal 8 2 4 2 4 4" xfId="10329" xr:uid="{DB77B099-BEE8-4DE5-AE30-01B7D5C2E40E}"/>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BA0DFA78-8B65-4A20-A511-032C66DBE760}"/>
    <cellStyle name="Normal 8 2 4 2 5 2 3" xfId="12887" xr:uid="{B89699AE-CE63-4C5B-A47F-466E1892F76A}"/>
    <cellStyle name="Normal 8 2 4 2 5 3" xfId="6510" xr:uid="{00000000-0005-0000-0000-0000F41C0000}"/>
    <cellStyle name="Normal 8 2 4 2 5 3 2" xfId="14960" xr:uid="{D3729F7E-53CB-481C-8BFB-3A3E866C57B2}"/>
    <cellStyle name="Normal 8 2 4 2 5 4" xfId="10742" xr:uid="{99B28F5C-35D7-4A40-8AB2-34A28ABA0109}"/>
    <cellStyle name="Normal 8 2 4 2 6" xfId="2640" xr:uid="{00000000-0005-0000-0000-0000F51C0000}"/>
    <cellStyle name="Normal 8 2 4 2 6 2" xfId="6923" xr:uid="{00000000-0005-0000-0000-0000F61C0000}"/>
    <cellStyle name="Normal 8 2 4 2 6 2 2" xfId="15373" xr:uid="{BC393B1F-A89A-4F79-BC4A-7C311D4341EE}"/>
    <cellStyle name="Normal 8 2 4 2 6 3" xfId="11155" xr:uid="{83588C2C-51E6-447A-9520-392D361B86FB}"/>
    <cellStyle name="Normal 8 2 4 2 7" xfId="4858" xr:uid="{00000000-0005-0000-0000-0000F71C0000}"/>
    <cellStyle name="Normal 8 2 4 2 7 2" xfId="13308" xr:uid="{FE013B3D-B0F3-4AD5-8CFC-E599CF649B3C}"/>
    <cellStyle name="Normal 8 2 4 2 8" xfId="17530" xr:uid="{88767D9F-31C9-4B66-A24B-855B67828BFE}"/>
    <cellStyle name="Normal 8 2 4 2 9" xfId="18363" xr:uid="{27C02AD3-116F-42A0-9C16-E54829156EE9}"/>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C5B648DD-23D7-408A-BD06-FC002E6117B1}"/>
    <cellStyle name="Normal 8 2 4 3 2 3" xfId="11647" xr:uid="{6763878B-B58B-488F-B08C-7EBC6057390F}"/>
    <cellStyle name="Normal 8 2 4 3 3" xfId="5270" xr:uid="{00000000-0005-0000-0000-0000FB1C0000}"/>
    <cellStyle name="Normal 8 2 4 3 3 2" xfId="13720" xr:uid="{9483D64A-B1E1-457F-A04B-6DAEB6F08F8D}"/>
    <cellStyle name="Normal 8 2 4 3 4" xfId="17948" xr:uid="{79F74546-723E-45E4-877A-50CE44190AC8}"/>
    <cellStyle name="Normal 8 2 4 3 5" xfId="18778" xr:uid="{DE76E4C8-09D1-44F7-9CFF-D602071F3E28}"/>
    <cellStyle name="Normal 8 2 4 3 6" xfId="19607" xr:uid="{DBC17B75-AA45-4A42-8817-7B5C28DAABF5}"/>
    <cellStyle name="Normal 8 2 4 3 7" xfId="9502" xr:uid="{D6A6D1E5-C7F5-4ED7-9748-9815D0659BF4}"/>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72D98682-43E6-4019-84AA-A25E7C7C902E}"/>
    <cellStyle name="Normal 8 2 4 4 2 3" xfId="12060" xr:uid="{3161CF0F-820A-4EFA-BA63-F16583A31C67}"/>
    <cellStyle name="Normal 8 2 4 4 3" xfId="5683" xr:uid="{00000000-0005-0000-0000-0000FF1C0000}"/>
    <cellStyle name="Normal 8 2 4 4 3 2" xfId="14133" xr:uid="{3E93566B-3DAB-4298-9665-68B57BD76378}"/>
    <cellStyle name="Normal 8 2 4 4 4" xfId="9915" xr:uid="{C45D8D7C-CD27-4D48-8D51-B21388E6D1BD}"/>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286DF97F-60F0-495E-AF37-8BE7B9CF76AA}"/>
    <cellStyle name="Normal 8 2 4 5 2 3" xfId="12473" xr:uid="{D5CB3576-7349-4D1F-A473-363C8183ECA5}"/>
    <cellStyle name="Normal 8 2 4 5 3" xfId="6096" xr:uid="{00000000-0005-0000-0000-0000031D0000}"/>
    <cellStyle name="Normal 8 2 4 5 3 2" xfId="14546" xr:uid="{A603C12D-9920-4B37-92D2-F1BB8CC5F8E2}"/>
    <cellStyle name="Normal 8 2 4 5 4" xfId="10328" xr:uid="{0642E2F5-84FB-4202-B9C3-F2DC9AB1FBDB}"/>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C2E100EE-A7BE-4C73-B9BA-4AC704D0130B}"/>
    <cellStyle name="Normal 8 2 4 6 2 3" xfId="12886" xr:uid="{E1B079F1-0A9A-47A3-AD3B-8A8BFDF0F6B0}"/>
    <cellStyle name="Normal 8 2 4 6 3" xfId="6509" xr:uid="{00000000-0005-0000-0000-0000071D0000}"/>
    <cellStyle name="Normal 8 2 4 6 3 2" xfId="14959" xr:uid="{108803A0-347E-4D17-8154-0A5629CA0B09}"/>
    <cellStyle name="Normal 8 2 4 6 4" xfId="10741" xr:uid="{5DAED14B-33AB-4431-BEFE-C3C07B233F1C}"/>
    <cellStyle name="Normal 8 2 4 7" xfId="2639" xr:uid="{00000000-0005-0000-0000-0000081D0000}"/>
    <cellStyle name="Normal 8 2 4 7 2" xfId="6922" xr:uid="{00000000-0005-0000-0000-0000091D0000}"/>
    <cellStyle name="Normal 8 2 4 7 2 2" xfId="15372" xr:uid="{4516DBD7-EB4B-46A1-B69F-453657A013FC}"/>
    <cellStyle name="Normal 8 2 4 7 3" xfId="11154" xr:uid="{47F8272D-B1B0-4D95-98C9-C40069206CA3}"/>
    <cellStyle name="Normal 8 2 4 8" xfId="4857" xr:uid="{00000000-0005-0000-0000-00000A1D0000}"/>
    <cellStyle name="Normal 8 2 4 8 2" xfId="13307" xr:uid="{67959CE6-A2E3-4889-83E9-E3FAEF605C5E}"/>
    <cellStyle name="Normal 8 2 4 9" xfId="17529" xr:uid="{6376D912-4E12-4328-BF7E-F6CD8AC4AD20}"/>
    <cellStyle name="Normal 8 2 5" xfId="494" xr:uid="{00000000-0005-0000-0000-00000B1D0000}"/>
    <cellStyle name="Normal 8 2 5 10" xfId="19193" xr:uid="{7EA55069-FFCB-4FAC-92CB-CC1361E80E07}"/>
    <cellStyle name="Normal 8 2 5 11" xfId="9091" xr:uid="{BE7B704E-617B-43B0-9463-27BDA39426E2}"/>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F9D15354-D9EF-4864-A4E7-481B7C4D2A04}"/>
    <cellStyle name="Normal 8 2 5 2 2 3" xfId="11649" xr:uid="{8C5B6E24-A58F-4EC9-922C-560EEC413D8F}"/>
    <cellStyle name="Normal 8 2 5 2 3" xfId="5272" xr:uid="{00000000-0005-0000-0000-00000F1D0000}"/>
    <cellStyle name="Normal 8 2 5 2 3 2" xfId="13722" xr:uid="{073919EB-F275-4DBF-8249-771C81AE717A}"/>
    <cellStyle name="Normal 8 2 5 2 4" xfId="17950" xr:uid="{6CFFFFF2-725C-4BAA-9492-5A65E7C304A0}"/>
    <cellStyle name="Normal 8 2 5 2 5" xfId="18780" xr:uid="{F53F69DE-00CF-4D91-A2FE-37E8C287244F}"/>
    <cellStyle name="Normal 8 2 5 2 6" xfId="19609" xr:uid="{B04439BE-F492-4F55-9FD2-125874E31012}"/>
    <cellStyle name="Normal 8 2 5 2 7" xfId="9504" xr:uid="{EB7BC7C6-B050-4F83-9B91-9EB8F3849A59}"/>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CB36667D-CACC-4E23-B5B8-0D65D82EF8F4}"/>
    <cellStyle name="Normal 8 2 5 3 2 3" xfId="12062" xr:uid="{6026FD2B-9448-4182-8CE0-64606826F59F}"/>
    <cellStyle name="Normal 8 2 5 3 3" xfId="5685" xr:uid="{00000000-0005-0000-0000-0000131D0000}"/>
    <cellStyle name="Normal 8 2 5 3 3 2" xfId="14135" xr:uid="{23B74A2A-2540-4074-AA38-7A93EC071A1C}"/>
    <cellStyle name="Normal 8 2 5 3 4" xfId="9917" xr:uid="{5F441032-5F7B-41F9-A9BF-E5FAF3651BBC}"/>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9DE0B619-1607-4D5F-8761-61A0A593EB6E}"/>
    <cellStyle name="Normal 8 2 5 4 2 3" xfId="12475" xr:uid="{12898E3A-2FE4-4C05-9C96-6DE3A0070756}"/>
    <cellStyle name="Normal 8 2 5 4 3" xfId="6098" xr:uid="{00000000-0005-0000-0000-0000171D0000}"/>
    <cellStyle name="Normal 8 2 5 4 3 2" xfId="14548" xr:uid="{133AEFC1-2360-4843-A6A3-B1B5A0266C74}"/>
    <cellStyle name="Normal 8 2 5 4 4" xfId="10330" xr:uid="{58001FE9-5E9A-4177-B02A-17A4F793FF6A}"/>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853113BF-D14A-45EF-93B1-462E7C1330F5}"/>
    <cellStyle name="Normal 8 2 5 5 2 3" xfId="12888" xr:uid="{30036E68-F2B2-46C0-A057-00D4A5D182A8}"/>
    <cellStyle name="Normal 8 2 5 5 3" xfId="6511" xr:uid="{00000000-0005-0000-0000-00001B1D0000}"/>
    <cellStyle name="Normal 8 2 5 5 3 2" xfId="14961" xr:uid="{E9A6683E-F06A-46A1-A077-BC60D39B185D}"/>
    <cellStyle name="Normal 8 2 5 5 4" xfId="10743" xr:uid="{BAFB7946-F554-443F-9ACA-7D0538742256}"/>
    <cellStyle name="Normal 8 2 5 6" xfId="2641" xr:uid="{00000000-0005-0000-0000-00001C1D0000}"/>
    <cellStyle name="Normal 8 2 5 6 2" xfId="6924" xr:uid="{00000000-0005-0000-0000-00001D1D0000}"/>
    <cellStyle name="Normal 8 2 5 6 2 2" xfId="15374" xr:uid="{628E8BCC-1C86-4C76-BE65-E81D83731E88}"/>
    <cellStyle name="Normal 8 2 5 6 3" xfId="11156" xr:uid="{23DEA2C3-84A0-454E-9BD2-30B35A62276C}"/>
    <cellStyle name="Normal 8 2 5 7" xfId="4859" xr:uid="{00000000-0005-0000-0000-00001E1D0000}"/>
    <cellStyle name="Normal 8 2 5 7 2" xfId="13309" xr:uid="{4ECE7FE1-7C35-47AE-8FB7-66DB981123EC}"/>
    <cellStyle name="Normal 8 2 5 8" xfId="17531" xr:uid="{5AB83EFD-C6A2-4EA8-9F24-1B33AB13B917}"/>
    <cellStyle name="Normal 8 2 5 9" xfId="18364" xr:uid="{65B1B5F8-693C-4F2F-9E87-927BB463C951}"/>
    <cellStyle name="Normal 8 2 6" xfId="946" xr:uid="{00000000-0005-0000-0000-00001F1D0000}"/>
    <cellStyle name="Normal 8 2 6 2" xfId="3180" xr:uid="{00000000-0005-0000-0000-0000201D0000}"/>
    <cellStyle name="Normal 8 2 6 2 2" xfId="7402" xr:uid="{00000000-0005-0000-0000-0000211D0000}"/>
    <cellStyle name="Normal 8 2 6 2 2 2" xfId="15852" xr:uid="{D366897D-4C8A-4AEB-87E2-690DE5277C94}"/>
    <cellStyle name="Normal 8 2 6 2 3" xfId="11634" xr:uid="{CC851A70-121E-4807-943D-3B8512314BAE}"/>
    <cellStyle name="Normal 8 2 6 3" xfId="5257" xr:uid="{00000000-0005-0000-0000-0000221D0000}"/>
    <cellStyle name="Normal 8 2 6 3 2" xfId="13707" xr:uid="{2518034A-0511-4C6D-98B4-4263E1C600E6}"/>
    <cellStyle name="Normal 8 2 6 4" xfId="17935" xr:uid="{B4B72D4F-1175-48ED-9339-34A0B6A762EA}"/>
    <cellStyle name="Normal 8 2 6 5" xfId="18765" xr:uid="{8ADD4C52-E598-492D-AFB5-E6F4891A9783}"/>
    <cellStyle name="Normal 8 2 6 6" xfId="19594" xr:uid="{70E609DB-DA70-4C4F-890A-0F04103D407D}"/>
    <cellStyle name="Normal 8 2 6 7" xfId="9489" xr:uid="{5D34B52A-2C63-43FE-814D-944B788B6C42}"/>
    <cellStyle name="Normal 8 2 7" xfId="1363" xr:uid="{00000000-0005-0000-0000-0000231D0000}"/>
    <cellStyle name="Normal 8 2 7 2" xfId="3593" xr:uid="{00000000-0005-0000-0000-0000241D0000}"/>
    <cellStyle name="Normal 8 2 7 2 2" xfId="7815" xr:uid="{00000000-0005-0000-0000-0000251D0000}"/>
    <cellStyle name="Normal 8 2 7 2 2 2" xfId="16265" xr:uid="{9B7CC1BA-A05C-44B8-92CA-C5F96664589D}"/>
    <cellStyle name="Normal 8 2 7 2 3" xfId="12047" xr:uid="{4A50B6D2-EFEE-4113-A6FF-A3F4B8A5B2A9}"/>
    <cellStyle name="Normal 8 2 7 3" xfId="5670" xr:uid="{00000000-0005-0000-0000-0000261D0000}"/>
    <cellStyle name="Normal 8 2 7 3 2" xfId="14120" xr:uid="{9DCA29C2-6029-44B0-9520-C24FAC85547A}"/>
    <cellStyle name="Normal 8 2 7 4" xfId="9902" xr:uid="{9CF3B5E4-6DE7-4AF1-84C3-81535143BC95}"/>
    <cellStyle name="Normal 8 2 8" xfId="1776" xr:uid="{00000000-0005-0000-0000-0000271D0000}"/>
    <cellStyle name="Normal 8 2 8 2" xfId="4006" xr:uid="{00000000-0005-0000-0000-0000281D0000}"/>
    <cellStyle name="Normal 8 2 8 2 2" xfId="8228" xr:uid="{00000000-0005-0000-0000-0000291D0000}"/>
    <cellStyle name="Normal 8 2 8 2 2 2" xfId="16678" xr:uid="{2320DC5F-561F-4B6A-8167-0B58BCEB9F6A}"/>
    <cellStyle name="Normal 8 2 8 2 3" xfId="12460" xr:uid="{18599A9A-A83F-4FCA-9C26-C58D518FB4D9}"/>
    <cellStyle name="Normal 8 2 8 3" xfId="6083" xr:uid="{00000000-0005-0000-0000-00002A1D0000}"/>
    <cellStyle name="Normal 8 2 8 3 2" xfId="14533" xr:uid="{61C8974F-5730-48BF-8C54-7BE6967509F7}"/>
    <cellStyle name="Normal 8 2 8 4" xfId="10315" xr:uid="{3B07AF78-3D3A-45CB-A2D9-B8D3BDE765A3}"/>
    <cellStyle name="Normal 8 2 9" xfId="2190" xr:uid="{00000000-0005-0000-0000-00002B1D0000}"/>
    <cellStyle name="Normal 8 2 9 2" xfId="4419" xr:uid="{00000000-0005-0000-0000-00002C1D0000}"/>
    <cellStyle name="Normal 8 2 9 2 2" xfId="8641" xr:uid="{00000000-0005-0000-0000-00002D1D0000}"/>
    <cellStyle name="Normal 8 2 9 2 2 2" xfId="17091" xr:uid="{06D44646-056E-4BB3-924B-1820292C2DFA}"/>
    <cellStyle name="Normal 8 2 9 2 3" xfId="12873" xr:uid="{5E5BB4F2-0A8E-476E-8B34-2179CB0DC187}"/>
    <cellStyle name="Normal 8 2 9 3" xfId="6496" xr:uid="{00000000-0005-0000-0000-00002E1D0000}"/>
    <cellStyle name="Normal 8 2 9 3 2" xfId="14946" xr:uid="{7F82B8F0-E303-479F-92BC-A0C9E76057DB}"/>
    <cellStyle name="Normal 8 2 9 4" xfId="10728" xr:uid="{00C629D5-3543-4474-872A-D9D7785B7879}"/>
    <cellStyle name="Normal 8 3" xfId="495" xr:uid="{00000000-0005-0000-0000-00002F1D0000}"/>
    <cellStyle name="Normal 8 3 10" xfId="4860" xr:uid="{00000000-0005-0000-0000-0000301D0000}"/>
    <cellStyle name="Normal 8 3 10 2" xfId="13310" xr:uid="{ECF0F1C5-E5E5-4D80-9CF8-393C1DB917D9}"/>
    <cellStyle name="Normal 8 3 11" xfId="17532" xr:uid="{4FA3A9BF-1176-47F5-B15E-F933892EDE77}"/>
    <cellStyle name="Normal 8 3 12" xfId="18365" xr:uid="{CF53E251-D63E-4561-A1F4-458C59011E97}"/>
    <cellStyle name="Normal 8 3 13" xfId="19194" xr:uid="{1454313B-C998-481D-A55B-D20CD9CB5B27}"/>
    <cellStyle name="Normal 8 3 14" xfId="9092" xr:uid="{9B6EADB7-409E-46F2-AB4B-3AB13CE2F42F}"/>
    <cellStyle name="Normal 8 3 2" xfId="496" xr:uid="{00000000-0005-0000-0000-0000311D0000}"/>
    <cellStyle name="Normal 8 3 2 10" xfId="17533" xr:uid="{D011358E-9F21-4852-80AF-2E26DAE19F7C}"/>
    <cellStyle name="Normal 8 3 2 11" xfId="18366" xr:uid="{E220EEA8-5A95-4235-B99C-4D95CC259D03}"/>
    <cellStyle name="Normal 8 3 2 12" xfId="19195" xr:uid="{599A7FFB-5CAE-4F60-B63D-D4CC5CE15112}"/>
    <cellStyle name="Normal 8 3 2 13" xfId="9093" xr:uid="{AC4B4549-76CA-4F0F-9C2E-6CB5FC60F537}"/>
    <cellStyle name="Normal 8 3 2 2" xfId="497" xr:uid="{00000000-0005-0000-0000-0000321D0000}"/>
    <cellStyle name="Normal 8 3 2 2 10" xfId="18367" xr:uid="{F16B3551-150A-48F8-AEF5-F4AC6B6A9F25}"/>
    <cellStyle name="Normal 8 3 2 2 11" xfId="19196" xr:uid="{CD03111F-7C2D-441A-AF10-435CC217BA7A}"/>
    <cellStyle name="Normal 8 3 2 2 12" xfId="9094" xr:uid="{16B71BBB-17AA-45D4-90F8-CACCED6E96E0}"/>
    <cellStyle name="Normal 8 3 2 2 2" xfId="498" xr:uid="{00000000-0005-0000-0000-0000331D0000}"/>
    <cellStyle name="Normal 8 3 2 2 2 10" xfId="19197" xr:uid="{5116A276-F1CF-4E0A-AD89-906E524220DA}"/>
    <cellStyle name="Normal 8 3 2 2 2 11" xfId="9095" xr:uid="{84D59E5B-65FA-4460-A733-C9D27FCE05E6}"/>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1B35F45E-A8F3-462D-BF64-1D742322F0D2}"/>
    <cellStyle name="Normal 8 3 2 2 2 2 2 3" xfId="11653" xr:uid="{DBFD1619-04EA-47D6-8250-14D2ECD6D508}"/>
    <cellStyle name="Normal 8 3 2 2 2 2 3" xfId="5276" xr:uid="{00000000-0005-0000-0000-0000371D0000}"/>
    <cellStyle name="Normal 8 3 2 2 2 2 3 2" xfId="13726" xr:uid="{8930DB97-FDBD-4B59-ACAA-A6994EDDC00C}"/>
    <cellStyle name="Normal 8 3 2 2 2 2 4" xfId="17954" xr:uid="{43B0D857-9469-4AAE-B347-8604060D3D0E}"/>
    <cellStyle name="Normal 8 3 2 2 2 2 5" xfId="18784" xr:uid="{FF7C9D5F-E3CE-41A4-A4E1-9E3A0FCAE9EF}"/>
    <cellStyle name="Normal 8 3 2 2 2 2 6" xfId="19613" xr:uid="{6CD03C07-8A11-4236-A586-A6FEC6615F7D}"/>
    <cellStyle name="Normal 8 3 2 2 2 2 7" xfId="9508" xr:uid="{B5DECB2D-E3D5-4766-B370-0059D1B56EFB}"/>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445AF8B2-C787-476F-85DB-D9C74ADEC851}"/>
    <cellStyle name="Normal 8 3 2 2 2 3 2 3" xfId="12066" xr:uid="{BFEB2E2D-EA65-4303-B630-81AB436344A3}"/>
    <cellStyle name="Normal 8 3 2 2 2 3 3" xfId="5689" xr:uid="{00000000-0005-0000-0000-00003B1D0000}"/>
    <cellStyle name="Normal 8 3 2 2 2 3 3 2" xfId="14139" xr:uid="{3F437C82-AB3B-4D78-8391-241EC8FB5272}"/>
    <cellStyle name="Normal 8 3 2 2 2 3 4" xfId="9921" xr:uid="{308B977B-6FD7-4B31-91BB-03B0D14535BF}"/>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9423713F-CA75-445B-A6A4-EFE61FF2AEAD}"/>
    <cellStyle name="Normal 8 3 2 2 2 4 2 3" xfId="12479" xr:uid="{52FB43B6-ADBA-482B-923C-44CB7841A0B8}"/>
    <cellStyle name="Normal 8 3 2 2 2 4 3" xfId="6102" xr:uid="{00000000-0005-0000-0000-00003F1D0000}"/>
    <cellStyle name="Normal 8 3 2 2 2 4 3 2" xfId="14552" xr:uid="{70B19576-1AF6-40CC-920A-9A680DF22ADF}"/>
    <cellStyle name="Normal 8 3 2 2 2 4 4" xfId="10334" xr:uid="{C137AF66-0160-495A-972B-7DCBD6C63952}"/>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7FCE53AC-1E0B-4E1A-9E5A-6E7844DF5098}"/>
    <cellStyle name="Normal 8 3 2 2 2 5 2 3" xfId="12892" xr:uid="{C8E7F183-814B-4AEE-AA8A-A27A68E025F8}"/>
    <cellStyle name="Normal 8 3 2 2 2 5 3" xfId="6515" xr:uid="{00000000-0005-0000-0000-0000431D0000}"/>
    <cellStyle name="Normal 8 3 2 2 2 5 3 2" xfId="14965" xr:uid="{1A52A212-6649-4164-97C2-A3BA03D367BB}"/>
    <cellStyle name="Normal 8 3 2 2 2 5 4" xfId="10747" xr:uid="{38D95551-31D8-4C0A-A1B5-F60DBF53FC43}"/>
    <cellStyle name="Normal 8 3 2 2 2 6" xfId="2645" xr:uid="{00000000-0005-0000-0000-0000441D0000}"/>
    <cellStyle name="Normal 8 3 2 2 2 6 2" xfId="6928" xr:uid="{00000000-0005-0000-0000-0000451D0000}"/>
    <cellStyle name="Normal 8 3 2 2 2 6 2 2" xfId="15378" xr:uid="{7422E64B-4865-490F-ACDD-7B412E2F0018}"/>
    <cellStyle name="Normal 8 3 2 2 2 6 3" xfId="11160" xr:uid="{D8BF1291-EBD7-498D-909C-47E4C073BBAA}"/>
    <cellStyle name="Normal 8 3 2 2 2 7" xfId="4863" xr:uid="{00000000-0005-0000-0000-0000461D0000}"/>
    <cellStyle name="Normal 8 3 2 2 2 7 2" xfId="13313" xr:uid="{85BD2FD0-D988-4D74-9B89-3E29BC6EF70B}"/>
    <cellStyle name="Normal 8 3 2 2 2 8" xfId="17535" xr:uid="{808A2C34-20B8-49B5-950D-ADC6A316AFED}"/>
    <cellStyle name="Normal 8 3 2 2 2 9" xfId="18368" xr:uid="{0480EE23-C90C-4319-9DB4-577C7E6EE438}"/>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DAE7B05C-1B70-4AF8-A0AB-63DDC1EA74DF}"/>
    <cellStyle name="Normal 8 3 2 2 3 2 3" xfId="11652" xr:uid="{B2CCC47A-02B5-4434-BF04-358DD1EEC9EC}"/>
    <cellStyle name="Normal 8 3 2 2 3 3" xfId="5275" xr:uid="{00000000-0005-0000-0000-00004A1D0000}"/>
    <cellStyle name="Normal 8 3 2 2 3 3 2" xfId="13725" xr:uid="{085FEF7A-3699-437D-849F-2B54397A81D2}"/>
    <cellStyle name="Normal 8 3 2 2 3 4" xfId="17953" xr:uid="{BD9C75C2-5CD7-4CB7-96B0-FD9E4A8DA42E}"/>
    <cellStyle name="Normal 8 3 2 2 3 5" xfId="18783" xr:uid="{30470756-977A-44F4-9C56-DDE02B6703B2}"/>
    <cellStyle name="Normal 8 3 2 2 3 6" xfId="19612" xr:uid="{D16BC472-4C7B-427F-9F59-1DC025B1EE5E}"/>
    <cellStyle name="Normal 8 3 2 2 3 7" xfId="9507" xr:uid="{81788C8D-DE35-4650-A795-A70D3D5C7EBC}"/>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039F9B9D-C74A-4E0C-A908-B84BED7AAA15}"/>
    <cellStyle name="Normal 8 3 2 2 4 2 3" xfId="12065" xr:uid="{49AAC040-328F-41BF-AC01-D43C00E39001}"/>
    <cellStyle name="Normal 8 3 2 2 4 3" xfId="5688" xr:uid="{00000000-0005-0000-0000-00004E1D0000}"/>
    <cellStyle name="Normal 8 3 2 2 4 3 2" xfId="14138" xr:uid="{4A235DB4-7D87-4227-A7D8-FDC43A9CAB19}"/>
    <cellStyle name="Normal 8 3 2 2 4 4" xfId="9920" xr:uid="{5C13121E-07D4-4091-BAD6-F997A0722D93}"/>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EF831A21-0976-466C-99F7-6E2C39012E7E}"/>
    <cellStyle name="Normal 8 3 2 2 5 2 3" xfId="12478" xr:uid="{66605E12-6D98-4DE6-AA0C-4A64626F80C0}"/>
    <cellStyle name="Normal 8 3 2 2 5 3" xfId="6101" xr:uid="{00000000-0005-0000-0000-0000521D0000}"/>
    <cellStyle name="Normal 8 3 2 2 5 3 2" xfId="14551" xr:uid="{1DD21EB0-1093-4FCF-B709-C49511DED231}"/>
    <cellStyle name="Normal 8 3 2 2 5 4" xfId="10333" xr:uid="{0A8EF407-E712-455D-96DB-86ADBE1E63E1}"/>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95DDF1BA-4244-4E8E-839C-D9CD17E29F22}"/>
    <cellStyle name="Normal 8 3 2 2 6 2 3" xfId="12891" xr:uid="{2B9EE038-4082-4178-80B6-7B733868A529}"/>
    <cellStyle name="Normal 8 3 2 2 6 3" xfId="6514" xr:uid="{00000000-0005-0000-0000-0000561D0000}"/>
    <cellStyle name="Normal 8 3 2 2 6 3 2" xfId="14964" xr:uid="{914D9368-4F74-4731-83FB-F6A6EB8E42FD}"/>
    <cellStyle name="Normal 8 3 2 2 6 4" xfId="10746" xr:uid="{6DB64F91-7C3F-44A4-AC9F-0583B412347E}"/>
    <cellStyle name="Normal 8 3 2 2 7" xfId="2644" xr:uid="{00000000-0005-0000-0000-0000571D0000}"/>
    <cellStyle name="Normal 8 3 2 2 7 2" xfId="6927" xr:uid="{00000000-0005-0000-0000-0000581D0000}"/>
    <cellStyle name="Normal 8 3 2 2 7 2 2" xfId="15377" xr:uid="{D97DA6B4-9682-4507-B2BE-C1D6D03E0E02}"/>
    <cellStyle name="Normal 8 3 2 2 7 3" xfId="11159" xr:uid="{31608383-7F88-4EBE-8999-D9A495CEE22D}"/>
    <cellStyle name="Normal 8 3 2 2 8" xfId="4862" xr:uid="{00000000-0005-0000-0000-0000591D0000}"/>
    <cellStyle name="Normal 8 3 2 2 8 2" xfId="13312" xr:uid="{705838D8-D915-4001-83E5-73B7CEF2D4CC}"/>
    <cellStyle name="Normal 8 3 2 2 9" xfId="17534" xr:uid="{997E7152-029D-4364-B0F6-76F966E06F8F}"/>
    <cellStyle name="Normal 8 3 2 3" xfId="499" xr:uid="{00000000-0005-0000-0000-00005A1D0000}"/>
    <cellStyle name="Normal 8 3 2 3 10" xfId="19198" xr:uid="{97B45A3F-138A-4932-9A8D-A5A8CD078AFB}"/>
    <cellStyle name="Normal 8 3 2 3 11" xfId="9096" xr:uid="{334B7DF4-D64D-40E5-996F-F2AD85AA4393}"/>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63B5CCD1-977E-47FB-AE46-292E8E798100}"/>
    <cellStyle name="Normal 8 3 2 3 2 2 3" xfId="11654" xr:uid="{0748CEE8-3E44-4229-9E73-D9669928FDB8}"/>
    <cellStyle name="Normal 8 3 2 3 2 3" xfId="5277" xr:uid="{00000000-0005-0000-0000-00005E1D0000}"/>
    <cellStyle name="Normal 8 3 2 3 2 3 2" xfId="13727" xr:uid="{1BEDF92D-11BD-4F54-A251-2E6CD3D4B912}"/>
    <cellStyle name="Normal 8 3 2 3 2 4" xfId="17955" xr:uid="{0B45B2DB-AEBC-450B-BDA8-0E4459C786A3}"/>
    <cellStyle name="Normal 8 3 2 3 2 5" xfId="18785" xr:uid="{DBD49DD6-6FBC-485D-A7E9-7E1B38E28482}"/>
    <cellStyle name="Normal 8 3 2 3 2 6" xfId="19614" xr:uid="{FC0798B2-C399-4943-A333-378AF9F5A4FC}"/>
    <cellStyle name="Normal 8 3 2 3 2 7" xfId="9509" xr:uid="{93F15CF0-E0DD-4B75-996A-DE4FCE9AD9BE}"/>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C233F670-FD80-4756-BA47-F009F5FA8808}"/>
    <cellStyle name="Normal 8 3 2 3 3 2 3" xfId="12067" xr:uid="{4E0D6EEC-2165-47A5-91B0-05F16F229E75}"/>
    <cellStyle name="Normal 8 3 2 3 3 3" xfId="5690" xr:uid="{00000000-0005-0000-0000-0000621D0000}"/>
    <cellStyle name="Normal 8 3 2 3 3 3 2" xfId="14140" xr:uid="{A96968E4-91B0-47CF-80C6-50AF4ADB60E4}"/>
    <cellStyle name="Normal 8 3 2 3 3 4" xfId="9922" xr:uid="{89CE9427-0AC7-407D-8ED5-EEA3D4F8DF97}"/>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FAF4437B-B715-42A2-A7B0-CC7647BFF559}"/>
    <cellStyle name="Normal 8 3 2 3 4 2 3" xfId="12480" xr:uid="{4806FA9D-64EF-4100-A707-F5D9F9F36614}"/>
    <cellStyle name="Normal 8 3 2 3 4 3" xfId="6103" xr:uid="{00000000-0005-0000-0000-0000661D0000}"/>
    <cellStyle name="Normal 8 3 2 3 4 3 2" xfId="14553" xr:uid="{82879716-3A45-4761-98CD-CE409DF321F1}"/>
    <cellStyle name="Normal 8 3 2 3 4 4" xfId="10335" xr:uid="{D6A6BE0D-5CF6-43FE-8950-7E8539495A8C}"/>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96363E0C-BF3C-47F8-B637-B95E74EB501C}"/>
    <cellStyle name="Normal 8 3 2 3 5 2 3" xfId="12893" xr:uid="{1F728D74-C9D0-4A9C-81EB-F8A81D2E1746}"/>
    <cellStyle name="Normal 8 3 2 3 5 3" xfId="6516" xr:uid="{00000000-0005-0000-0000-00006A1D0000}"/>
    <cellStyle name="Normal 8 3 2 3 5 3 2" xfId="14966" xr:uid="{85337130-EBCC-4EA6-9F0E-C2736829D10B}"/>
    <cellStyle name="Normal 8 3 2 3 5 4" xfId="10748" xr:uid="{7014A9DA-EB51-4818-BE08-BF64F26E8285}"/>
    <cellStyle name="Normal 8 3 2 3 6" xfId="2646" xr:uid="{00000000-0005-0000-0000-00006B1D0000}"/>
    <cellStyle name="Normal 8 3 2 3 6 2" xfId="6929" xr:uid="{00000000-0005-0000-0000-00006C1D0000}"/>
    <cellStyle name="Normal 8 3 2 3 6 2 2" xfId="15379" xr:uid="{06E501B2-8F53-420C-A287-1764D0ECDAD3}"/>
    <cellStyle name="Normal 8 3 2 3 6 3" xfId="11161" xr:uid="{96E85813-C76F-425E-A697-543FF9614941}"/>
    <cellStyle name="Normal 8 3 2 3 7" xfId="4864" xr:uid="{00000000-0005-0000-0000-00006D1D0000}"/>
    <cellStyle name="Normal 8 3 2 3 7 2" xfId="13314" xr:uid="{A38C3F00-8340-4493-B829-6D16B980E9AA}"/>
    <cellStyle name="Normal 8 3 2 3 8" xfId="17536" xr:uid="{2069FF62-0998-4E80-877A-8B3C14406717}"/>
    <cellStyle name="Normal 8 3 2 3 9" xfId="18369" xr:uid="{2DED4E88-1F58-4C4B-B67A-76B058C65D55}"/>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8DA155E6-895D-4B8B-9275-C1F325562A1F}"/>
    <cellStyle name="Normal 8 3 2 4 2 3" xfId="11651" xr:uid="{55DEA123-B6B8-4070-A173-B3F596457E2F}"/>
    <cellStyle name="Normal 8 3 2 4 3" xfId="5274" xr:uid="{00000000-0005-0000-0000-0000711D0000}"/>
    <cellStyle name="Normal 8 3 2 4 3 2" xfId="13724" xr:uid="{F532735B-C1F2-4FD5-A400-88EEDCB5491B}"/>
    <cellStyle name="Normal 8 3 2 4 4" xfId="17952" xr:uid="{80BEDC4D-39BD-456A-B8E7-66D3C76FB070}"/>
    <cellStyle name="Normal 8 3 2 4 5" xfId="18782" xr:uid="{11C847C4-9458-49CA-ADD6-6BD615E2D958}"/>
    <cellStyle name="Normal 8 3 2 4 6" xfId="19611" xr:uid="{13977D1D-DD60-4156-B86D-0D6AE034FE4C}"/>
    <cellStyle name="Normal 8 3 2 4 7" xfId="9506" xr:uid="{1A70D48B-C976-49BB-B78F-95A27265C1B4}"/>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006407CC-A306-417D-83D9-3B29C1F1773B}"/>
    <cellStyle name="Normal 8 3 2 5 2 3" xfId="12064" xr:uid="{917C15D0-0C02-4E1A-AEBC-68E2DC866883}"/>
    <cellStyle name="Normal 8 3 2 5 3" xfId="5687" xr:uid="{00000000-0005-0000-0000-0000751D0000}"/>
    <cellStyle name="Normal 8 3 2 5 3 2" xfId="14137" xr:uid="{A088919F-C23D-43B0-BBD3-EBBCBF301735}"/>
    <cellStyle name="Normal 8 3 2 5 4" xfId="9919" xr:uid="{CD0CB04F-7D21-4F9D-AE25-EC233F18C1BB}"/>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9ECB2AE2-63B5-4049-8638-AF14A11E5AC0}"/>
    <cellStyle name="Normal 8 3 2 6 2 3" xfId="12477" xr:uid="{B749AAE5-2081-49D1-9D07-63CAF57F5055}"/>
    <cellStyle name="Normal 8 3 2 6 3" xfId="6100" xr:uid="{00000000-0005-0000-0000-0000791D0000}"/>
    <cellStyle name="Normal 8 3 2 6 3 2" xfId="14550" xr:uid="{95A1409B-A9F0-495B-8566-85B0BCFFF614}"/>
    <cellStyle name="Normal 8 3 2 6 4" xfId="10332" xr:uid="{FCDEAFC4-E9E3-4F3C-BE35-0F2B52A5AECD}"/>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6C86D06A-8D96-411F-99F3-E705376E7E47}"/>
    <cellStyle name="Normal 8 3 2 7 2 3" xfId="12890" xr:uid="{7E858238-EAE2-4F75-AA9B-69BC9BA624A5}"/>
    <cellStyle name="Normal 8 3 2 7 3" xfId="6513" xr:uid="{00000000-0005-0000-0000-00007D1D0000}"/>
    <cellStyle name="Normal 8 3 2 7 3 2" xfId="14963" xr:uid="{3666F014-3021-44B4-9959-0217412297EE}"/>
    <cellStyle name="Normal 8 3 2 7 4" xfId="10745" xr:uid="{3F86DA92-3637-43A9-B208-C89B5EB4C8D9}"/>
    <cellStyle name="Normal 8 3 2 8" xfId="2643" xr:uid="{00000000-0005-0000-0000-00007E1D0000}"/>
    <cellStyle name="Normal 8 3 2 8 2" xfId="6926" xr:uid="{00000000-0005-0000-0000-00007F1D0000}"/>
    <cellStyle name="Normal 8 3 2 8 2 2" xfId="15376" xr:uid="{D23D00C9-45B2-4400-A9EB-A0E8BA6739C2}"/>
    <cellStyle name="Normal 8 3 2 8 3" xfId="11158" xr:uid="{B9DF71D7-8B65-455A-9EC8-AD5E65827C51}"/>
    <cellStyle name="Normal 8 3 2 9" xfId="4861" xr:uid="{00000000-0005-0000-0000-0000801D0000}"/>
    <cellStyle name="Normal 8 3 2 9 2" xfId="13311" xr:uid="{AC2052DA-4437-490F-98C0-BC05E103F31B}"/>
    <cellStyle name="Normal 8 3 3" xfId="500" xr:uid="{00000000-0005-0000-0000-0000811D0000}"/>
    <cellStyle name="Normal 8 3 3 10" xfId="18370" xr:uid="{460843FF-057A-4411-93A5-B2F90B70DADA}"/>
    <cellStyle name="Normal 8 3 3 11" xfId="19199" xr:uid="{C1BE455B-2BBD-412B-BD59-CB18E8B77A49}"/>
    <cellStyle name="Normal 8 3 3 12" xfId="9097" xr:uid="{92E8DE81-91E8-49AF-9E21-0C7D79B7C730}"/>
    <cellStyle name="Normal 8 3 3 2" xfId="501" xr:uid="{00000000-0005-0000-0000-0000821D0000}"/>
    <cellStyle name="Normal 8 3 3 2 10" xfId="19200" xr:uid="{22463CD1-73ED-4452-ADAB-745B262316A0}"/>
    <cellStyle name="Normal 8 3 3 2 11" xfId="9098" xr:uid="{325C1EE1-5E7D-4C27-841C-AFA31A21BDBB}"/>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D29A66AC-8480-42F2-992F-4649CCBD708E}"/>
    <cellStyle name="Normal 8 3 3 2 2 2 3" xfId="11656" xr:uid="{33751A86-979F-454B-93F2-027C0946CB8E}"/>
    <cellStyle name="Normal 8 3 3 2 2 3" xfId="5279" xr:uid="{00000000-0005-0000-0000-0000861D0000}"/>
    <cellStyle name="Normal 8 3 3 2 2 3 2" xfId="13729" xr:uid="{0B97B20C-D5E4-4CE2-82D8-0F149B80F4FF}"/>
    <cellStyle name="Normal 8 3 3 2 2 4" xfId="17957" xr:uid="{2BF112F8-4091-4AF7-BC1B-EEC2B60B1204}"/>
    <cellStyle name="Normal 8 3 3 2 2 5" xfId="18787" xr:uid="{59EDB6EB-A580-4E28-AA39-C6140DC4CCD3}"/>
    <cellStyle name="Normal 8 3 3 2 2 6" xfId="19616" xr:uid="{8FFB062B-869B-47DD-9736-11F9A265277D}"/>
    <cellStyle name="Normal 8 3 3 2 2 7" xfId="9511" xr:uid="{6F997A85-DFCE-48C7-894F-F54A61EAF46D}"/>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51723B0C-E614-4BE3-9B6E-95C7F25185D7}"/>
    <cellStyle name="Normal 8 3 3 2 3 2 3" xfId="12069" xr:uid="{C9ED0971-36CD-4713-9B1C-2A3174CF9414}"/>
    <cellStyle name="Normal 8 3 3 2 3 3" xfId="5692" xr:uid="{00000000-0005-0000-0000-00008A1D0000}"/>
    <cellStyle name="Normal 8 3 3 2 3 3 2" xfId="14142" xr:uid="{DA9254A7-32D6-4D6D-B338-B3AF47E572FC}"/>
    <cellStyle name="Normal 8 3 3 2 3 4" xfId="9924" xr:uid="{6EE74C87-A0D5-478E-BCE7-7D7BF866E720}"/>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210C2E9A-8FCF-4E54-B260-7054EADE942D}"/>
    <cellStyle name="Normal 8 3 3 2 4 2 3" xfId="12482" xr:uid="{97040CD4-DF50-461F-8552-F12DD2BB9798}"/>
    <cellStyle name="Normal 8 3 3 2 4 3" xfId="6105" xr:uid="{00000000-0005-0000-0000-00008E1D0000}"/>
    <cellStyle name="Normal 8 3 3 2 4 3 2" xfId="14555" xr:uid="{9A66C585-248E-40AD-9EFF-2DAD60A9ACD8}"/>
    <cellStyle name="Normal 8 3 3 2 4 4" xfId="10337" xr:uid="{E6EA3F4A-AB5B-4831-9E9F-E3E1D0E35213}"/>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202999C3-3AA9-4A59-8DC0-EFE1414ED185}"/>
    <cellStyle name="Normal 8 3 3 2 5 2 3" xfId="12895" xr:uid="{0149B0B0-D61C-46F2-AC61-CCEB8A82F6D4}"/>
    <cellStyle name="Normal 8 3 3 2 5 3" xfId="6518" xr:uid="{00000000-0005-0000-0000-0000921D0000}"/>
    <cellStyle name="Normal 8 3 3 2 5 3 2" xfId="14968" xr:uid="{7FBCA031-6428-463F-8E66-85E9920AE9A8}"/>
    <cellStyle name="Normal 8 3 3 2 5 4" xfId="10750" xr:uid="{DD988AD2-DA59-45D6-949E-44AA887B4859}"/>
    <cellStyle name="Normal 8 3 3 2 6" xfId="2648" xr:uid="{00000000-0005-0000-0000-0000931D0000}"/>
    <cellStyle name="Normal 8 3 3 2 6 2" xfId="6931" xr:uid="{00000000-0005-0000-0000-0000941D0000}"/>
    <cellStyle name="Normal 8 3 3 2 6 2 2" xfId="15381" xr:uid="{1C6BFBAB-8805-4353-99BA-9E9AB66264EF}"/>
    <cellStyle name="Normal 8 3 3 2 6 3" xfId="11163" xr:uid="{EC17F8F4-8A6A-4312-A730-E04714F3B64C}"/>
    <cellStyle name="Normal 8 3 3 2 7" xfId="4866" xr:uid="{00000000-0005-0000-0000-0000951D0000}"/>
    <cellStyle name="Normal 8 3 3 2 7 2" xfId="13316" xr:uid="{C54DDE95-9A89-442B-93AD-3AFEC890198C}"/>
    <cellStyle name="Normal 8 3 3 2 8" xfId="17538" xr:uid="{47E6EDEA-EF8B-4157-8059-3B3D3A40EAE4}"/>
    <cellStyle name="Normal 8 3 3 2 9" xfId="18371" xr:uid="{3C2563A6-A2FE-408B-9912-39D90A1D187E}"/>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23FC4E8D-4892-4909-8EBE-9F3CC093068D}"/>
    <cellStyle name="Normal 8 3 3 3 2 3" xfId="11655" xr:uid="{FD804229-343A-499C-9037-DA3B597ECA6D}"/>
    <cellStyle name="Normal 8 3 3 3 3" xfId="5278" xr:uid="{00000000-0005-0000-0000-0000991D0000}"/>
    <cellStyle name="Normal 8 3 3 3 3 2" xfId="13728" xr:uid="{65D66D05-86DC-4A98-A1BF-D848E30CB63B}"/>
    <cellStyle name="Normal 8 3 3 3 4" xfId="17956" xr:uid="{8883061B-4F0D-495A-8453-27E859FF0341}"/>
    <cellStyle name="Normal 8 3 3 3 5" xfId="18786" xr:uid="{C4A53502-5AED-4573-9173-5F2F6195ABA7}"/>
    <cellStyle name="Normal 8 3 3 3 6" xfId="19615" xr:uid="{AE9D384F-646A-4F26-8DB9-61B814EC5F6C}"/>
    <cellStyle name="Normal 8 3 3 3 7" xfId="9510" xr:uid="{E8FD992E-A6F2-45AD-BF7D-5AB46EF1601A}"/>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292B8107-CE27-4861-8638-FB390D7F4D87}"/>
    <cellStyle name="Normal 8 3 3 4 2 3" xfId="12068" xr:uid="{237762A1-0A06-4682-A6C3-C85010C0E7CA}"/>
    <cellStyle name="Normal 8 3 3 4 3" xfId="5691" xr:uid="{00000000-0005-0000-0000-00009D1D0000}"/>
    <cellStyle name="Normal 8 3 3 4 3 2" xfId="14141" xr:uid="{99B6E411-F674-400B-83D0-882D4D27EB8B}"/>
    <cellStyle name="Normal 8 3 3 4 4" xfId="9923" xr:uid="{81D2A37F-4148-4AAA-BC61-94E24178F68A}"/>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4EB05D95-0DA7-40F0-890C-A1A9792E4874}"/>
    <cellStyle name="Normal 8 3 3 5 2 3" xfId="12481" xr:uid="{69CDC2A4-E7CA-4D3F-9ED3-EAD0ED98E156}"/>
    <cellStyle name="Normal 8 3 3 5 3" xfId="6104" xr:uid="{00000000-0005-0000-0000-0000A11D0000}"/>
    <cellStyle name="Normal 8 3 3 5 3 2" xfId="14554" xr:uid="{889DEDCC-F3DB-4359-BBCF-F477FEC81F82}"/>
    <cellStyle name="Normal 8 3 3 5 4" xfId="10336" xr:uid="{FAEEAAF6-1F91-4A10-94D7-66A04D1EABD7}"/>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20375139-140D-40AF-942F-00724A0B9064}"/>
    <cellStyle name="Normal 8 3 3 6 2 3" xfId="12894" xr:uid="{27127EED-443A-47A5-B5D9-19F72FAE8CDF}"/>
    <cellStyle name="Normal 8 3 3 6 3" xfId="6517" xr:uid="{00000000-0005-0000-0000-0000A51D0000}"/>
    <cellStyle name="Normal 8 3 3 6 3 2" xfId="14967" xr:uid="{4D3FEF6C-CD4E-45DD-959B-F5700833FD27}"/>
    <cellStyle name="Normal 8 3 3 6 4" xfId="10749" xr:uid="{FA2439E9-A32A-42BD-BC91-F2F316D45227}"/>
    <cellStyle name="Normal 8 3 3 7" xfId="2647" xr:uid="{00000000-0005-0000-0000-0000A61D0000}"/>
    <cellStyle name="Normal 8 3 3 7 2" xfId="6930" xr:uid="{00000000-0005-0000-0000-0000A71D0000}"/>
    <cellStyle name="Normal 8 3 3 7 2 2" xfId="15380" xr:uid="{33735EC2-FD78-46BC-A825-F22D0C861D88}"/>
    <cellStyle name="Normal 8 3 3 7 3" xfId="11162" xr:uid="{C8224D9E-986C-4589-8BF8-9B57C6F5BB21}"/>
    <cellStyle name="Normal 8 3 3 8" xfId="4865" xr:uid="{00000000-0005-0000-0000-0000A81D0000}"/>
    <cellStyle name="Normal 8 3 3 8 2" xfId="13315" xr:uid="{9376C057-C832-438B-B644-3596156FB4D2}"/>
    <cellStyle name="Normal 8 3 3 9" xfId="17537" xr:uid="{5676D981-C944-4B36-8452-E758D7FFADFB}"/>
    <cellStyle name="Normal 8 3 4" xfId="502" xr:uid="{00000000-0005-0000-0000-0000A91D0000}"/>
    <cellStyle name="Normal 8 3 4 10" xfId="19201" xr:uid="{B331AB9C-53C9-46CC-A503-AB482173D585}"/>
    <cellStyle name="Normal 8 3 4 11" xfId="9099" xr:uid="{AA40850B-069A-41B3-94B9-A608269497DE}"/>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08820B79-DE31-4FB4-8156-9C69B8E5FE57}"/>
    <cellStyle name="Normal 8 3 4 2 2 3" xfId="11657" xr:uid="{28E8F13D-2DDC-4DDD-8C2B-109A6C0359BE}"/>
    <cellStyle name="Normal 8 3 4 2 3" xfId="5280" xr:uid="{00000000-0005-0000-0000-0000AD1D0000}"/>
    <cellStyle name="Normal 8 3 4 2 3 2" xfId="13730" xr:uid="{266D5D7C-963A-4EBF-B0FA-3E1D2DCB5709}"/>
    <cellStyle name="Normal 8 3 4 2 4" xfId="17958" xr:uid="{E0479D84-BC76-4C2F-AFCC-4267E2468BB0}"/>
    <cellStyle name="Normal 8 3 4 2 5" xfId="18788" xr:uid="{4297B6C2-A5A1-4F2F-85D7-221E27B40680}"/>
    <cellStyle name="Normal 8 3 4 2 6" xfId="19617" xr:uid="{12A99EEE-06BA-485F-B52C-FB0C0BC673A8}"/>
    <cellStyle name="Normal 8 3 4 2 7" xfId="9512" xr:uid="{6AB46493-99E3-473B-B6AB-61CD88C5FEDA}"/>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958E7421-D65E-4C73-A8EE-11C743D1D7FA}"/>
    <cellStyle name="Normal 8 3 4 3 2 3" xfId="12070" xr:uid="{EBB1FB67-C939-4D15-952E-9DE3BCEDBE7E}"/>
    <cellStyle name="Normal 8 3 4 3 3" xfId="5693" xr:uid="{00000000-0005-0000-0000-0000B11D0000}"/>
    <cellStyle name="Normal 8 3 4 3 3 2" xfId="14143" xr:uid="{DBC9C3A5-BCB0-4AFD-9169-2D4825D10E3F}"/>
    <cellStyle name="Normal 8 3 4 3 4" xfId="9925" xr:uid="{FA321C0C-94A9-4C3D-A0BF-5CB88C99CF28}"/>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C474FDE3-A7DF-420E-B951-664E82584A18}"/>
    <cellStyle name="Normal 8 3 4 4 2 3" xfId="12483" xr:uid="{BB34DD59-6CF2-4046-8899-146FFC2C5CA7}"/>
    <cellStyle name="Normal 8 3 4 4 3" xfId="6106" xr:uid="{00000000-0005-0000-0000-0000B51D0000}"/>
    <cellStyle name="Normal 8 3 4 4 3 2" xfId="14556" xr:uid="{FDA8103E-9E90-480B-901B-F4BFED2AAF9F}"/>
    <cellStyle name="Normal 8 3 4 4 4" xfId="10338" xr:uid="{6362B9DF-AA34-49E5-ADBC-184039FC4A91}"/>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617E15A9-40A1-4A63-AE9B-1B826C544463}"/>
    <cellStyle name="Normal 8 3 4 5 2 3" xfId="12896" xr:uid="{CEE5FDD5-0698-4017-A01E-35BA94CB8A71}"/>
    <cellStyle name="Normal 8 3 4 5 3" xfId="6519" xr:uid="{00000000-0005-0000-0000-0000B91D0000}"/>
    <cellStyle name="Normal 8 3 4 5 3 2" xfId="14969" xr:uid="{0343A906-1E5A-489C-97EA-30FA140FDA4B}"/>
    <cellStyle name="Normal 8 3 4 5 4" xfId="10751" xr:uid="{AF2C4D7F-C1BB-4228-93C6-BE0DEA66EDBC}"/>
    <cellStyle name="Normal 8 3 4 6" xfId="2649" xr:uid="{00000000-0005-0000-0000-0000BA1D0000}"/>
    <cellStyle name="Normal 8 3 4 6 2" xfId="6932" xr:uid="{00000000-0005-0000-0000-0000BB1D0000}"/>
    <cellStyle name="Normal 8 3 4 6 2 2" xfId="15382" xr:uid="{A88180FC-3A88-45DF-9755-A10F9158829F}"/>
    <cellStyle name="Normal 8 3 4 6 3" xfId="11164" xr:uid="{0D0C857E-458E-41CB-B667-C7600A7DC495}"/>
    <cellStyle name="Normal 8 3 4 7" xfId="4867" xr:uid="{00000000-0005-0000-0000-0000BC1D0000}"/>
    <cellStyle name="Normal 8 3 4 7 2" xfId="13317" xr:uid="{F0AB0DA9-0463-4300-A6EB-87AD2EAC1DA8}"/>
    <cellStyle name="Normal 8 3 4 8" xfId="17539" xr:uid="{14CEF2A2-9DE4-467B-B2AE-5AC7D6A5127D}"/>
    <cellStyle name="Normal 8 3 4 9" xfId="18372" xr:uid="{FFB7B96C-7159-4A5A-BBA6-E04E2D8A4D75}"/>
    <cellStyle name="Normal 8 3 5" xfId="962" xr:uid="{00000000-0005-0000-0000-0000BD1D0000}"/>
    <cellStyle name="Normal 8 3 5 2" xfId="3196" xr:uid="{00000000-0005-0000-0000-0000BE1D0000}"/>
    <cellStyle name="Normal 8 3 5 2 2" xfId="7418" xr:uid="{00000000-0005-0000-0000-0000BF1D0000}"/>
    <cellStyle name="Normal 8 3 5 2 2 2" xfId="15868" xr:uid="{CA2BE081-5674-4147-8459-919D9590398A}"/>
    <cellStyle name="Normal 8 3 5 2 3" xfId="11650" xr:uid="{948CF250-9FAD-4B9E-95E1-76C4CFE43745}"/>
    <cellStyle name="Normal 8 3 5 3" xfId="5273" xr:uid="{00000000-0005-0000-0000-0000C01D0000}"/>
    <cellStyle name="Normal 8 3 5 3 2" xfId="13723" xr:uid="{7D8B3F65-1790-46C9-B47E-A35F62FDFB1C}"/>
    <cellStyle name="Normal 8 3 5 4" xfId="17951" xr:uid="{6ACF413B-EB80-47B3-8121-73EA377BF11A}"/>
    <cellStyle name="Normal 8 3 5 5" xfId="18781" xr:uid="{37AC7AFF-45E5-4AD9-A562-EDFE37D0A46D}"/>
    <cellStyle name="Normal 8 3 5 6" xfId="19610" xr:uid="{337A9D11-98BC-4458-A0D5-A97078E3F113}"/>
    <cellStyle name="Normal 8 3 5 7" xfId="9505" xr:uid="{3956C69D-E859-46E2-B310-AEB9E20EA01E}"/>
    <cellStyle name="Normal 8 3 6" xfId="1379" xr:uid="{00000000-0005-0000-0000-0000C11D0000}"/>
    <cellStyle name="Normal 8 3 6 2" xfId="3609" xr:uid="{00000000-0005-0000-0000-0000C21D0000}"/>
    <cellStyle name="Normal 8 3 6 2 2" xfId="7831" xr:uid="{00000000-0005-0000-0000-0000C31D0000}"/>
    <cellStyle name="Normal 8 3 6 2 2 2" xfId="16281" xr:uid="{2F8B1A19-91EA-4F17-9305-FDB5FF428E41}"/>
    <cellStyle name="Normal 8 3 6 2 3" xfId="12063" xr:uid="{42EE19FA-1E63-4065-8CD3-13725C605CD3}"/>
    <cellStyle name="Normal 8 3 6 3" xfId="5686" xr:uid="{00000000-0005-0000-0000-0000C41D0000}"/>
    <cellStyle name="Normal 8 3 6 3 2" xfId="14136" xr:uid="{C5CA646F-0347-4990-A13D-BBB96400F1A8}"/>
    <cellStyle name="Normal 8 3 6 4" xfId="9918" xr:uid="{BA12F1A9-B9FF-444B-BE79-E472725666F7}"/>
    <cellStyle name="Normal 8 3 7" xfId="1792" xr:uid="{00000000-0005-0000-0000-0000C51D0000}"/>
    <cellStyle name="Normal 8 3 7 2" xfId="4022" xr:uid="{00000000-0005-0000-0000-0000C61D0000}"/>
    <cellStyle name="Normal 8 3 7 2 2" xfId="8244" xr:uid="{00000000-0005-0000-0000-0000C71D0000}"/>
    <cellStyle name="Normal 8 3 7 2 2 2" xfId="16694" xr:uid="{E72E4936-2D81-4769-BD01-35B4C80232BC}"/>
    <cellStyle name="Normal 8 3 7 2 3" xfId="12476" xr:uid="{4BBBE92C-EF40-4988-A72D-A25DCD88270F}"/>
    <cellStyle name="Normal 8 3 7 3" xfId="6099" xr:uid="{00000000-0005-0000-0000-0000C81D0000}"/>
    <cellStyle name="Normal 8 3 7 3 2" xfId="14549" xr:uid="{E8C0EEEC-821E-401F-A721-AE61311BF183}"/>
    <cellStyle name="Normal 8 3 7 4" xfId="10331" xr:uid="{B707707F-6556-4E16-A729-26C0CBF5ED54}"/>
    <cellStyle name="Normal 8 3 8" xfId="2206" xr:uid="{00000000-0005-0000-0000-0000C91D0000}"/>
    <cellStyle name="Normal 8 3 8 2" xfId="4435" xr:uid="{00000000-0005-0000-0000-0000CA1D0000}"/>
    <cellStyle name="Normal 8 3 8 2 2" xfId="8657" xr:uid="{00000000-0005-0000-0000-0000CB1D0000}"/>
    <cellStyle name="Normal 8 3 8 2 2 2" xfId="17107" xr:uid="{DEA7B4A0-22AF-478B-96EA-AA46D9826C63}"/>
    <cellStyle name="Normal 8 3 8 2 3" xfId="12889" xr:uid="{EA09F521-0D44-4E04-AFF5-FB9136FCBF08}"/>
    <cellStyle name="Normal 8 3 8 3" xfId="6512" xr:uid="{00000000-0005-0000-0000-0000CC1D0000}"/>
    <cellStyle name="Normal 8 3 8 3 2" xfId="14962" xr:uid="{76AF47B5-325E-41E2-AA16-B0498021D381}"/>
    <cellStyle name="Normal 8 3 8 4" xfId="10744" xr:uid="{29D0B439-A30C-4F12-93A3-1CFB7E78F38A}"/>
    <cellStyle name="Normal 8 3 9" xfId="2642" xr:uid="{00000000-0005-0000-0000-0000CD1D0000}"/>
    <cellStyle name="Normal 8 3 9 2" xfId="6925" xr:uid="{00000000-0005-0000-0000-0000CE1D0000}"/>
    <cellStyle name="Normal 8 3 9 2 2" xfId="15375" xr:uid="{76B0C86D-D726-4F2E-A0D4-A4E6C844534E}"/>
    <cellStyle name="Normal 8 3 9 3" xfId="11157" xr:uid="{613F4292-E210-4168-A2BC-1AFE2896EB95}"/>
    <cellStyle name="Normal 8 4" xfId="503" xr:uid="{00000000-0005-0000-0000-0000CF1D0000}"/>
    <cellStyle name="Normal 8 4 10" xfId="17540" xr:uid="{953E1882-6CE3-4E37-BBEC-D24BC7395F20}"/>
    <cellStyle name="Normal 8 4 11" xfId="18373" xr:uid="{CBDFA921-199F-4631-8116-6E3A52B9B844}"/>
    <cellStyle name="Normal 8 4 12" xfId="19202" xr:uid="{535BECA8-253A-46DD-90B5-280F4EF0EB46}"/>
    <cellStyle name="Normal 8 4 13" xfId="9100" xr:uid="{C9766CAB-6CF8-4ED3-A973-33567246FEFF}"/>
    <cellStyle name="Normal 8 4 2" xfId="504" xr:uid="{00000000-0005-0000-0000-0000D01D0000}"/>
    <cellStyle name="Normal 8 4 2 10" xfId="18374" xr:uid="{D8796580-90B0-42C1-911C-869033239DF2}"/>
    <cellStyle name="Normal 8 4 2 11" xfId="19203" xr:uid="{5B8732C2-C280-4BF2-B6AF-AE974EF4A3A1}"/>
    <cellStyle name="Normal 8 4 2 12" xfId="9101" xr:uid="{65DF788A-C80D-463B-8086-C69666D18250}"/>
    <cellStyle name="Normal 8 4 2 2" xfId="505" xr:uid="{00000000-0005-0000-0000-0000D11D0000}"/>
    <cellStyle name="Normal 8 4 2 2 10" xfId="19204" xr:uid="{833C6C5F-92FA-4CB4-8867-0017E82A3381}"/>
    <cellStyle name="Normal 8 4 2 2 11" xfId="9102" xr:uid="{7B9BA778-090F-4B05-8C8C-7AB29534CD26}"/>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5DFB91AF-3F75-49AA-A869-46F4CC5C3FD0}"/>
    <cellStyle name="Normal 8 4 2 2 2 2 3" xfId="11660" xr:uid="{19626119-AB6E-4576-AB6E-2F115A4D315A}"/>
    <cellStyle name="Normal 8 4 2 2 2 3" xfId="5283" xr:uid="{00000000-0005-0000-0000-0000D51D0000}"/>
    <cellStyle name="Normal 8 4 2 2 2 3 2" xfId="13733" xr:uid="{21D59E02-B32A-495F-92FC-3326A3E9D99F}"/>
    <cellStyle name="Normal 8 4 2 2 2 4" xfId="17961" xr:uid="{FDD5D40A-8B06-470D-B4B1-4E79F158AC7A}"/>
    <cellStyle name="Normal 8 4 2 2 2 5" xfId="18791" xr:uid="{0317086D-31E8-4506-9C70-40B28F5AB77A}"/>
    <cellStyle name="Normal 8 4 2 2 2 6" xfId="19620" xr:uid="{54E2532F-B624-4D95-B524-61597E611686}"/>
    <cellStyle name="Normal 8 4 2 2 2 7" xfId="9515" xr:uid="{C37CBA79-DCE9-4D7D-B9D7-B8E45F31BDE9}"/>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DBFEEA35-07CE-4624-B505-11725BBD9F82}"/>
    <cellStyle name="Normal 8 4 2 2 3 2 3" xfId="12073" xr:uid="{412ECAC9-F1D8-4F8C-A4A9-CC664267BEA4}"/>
    <cellStyle name="Normal 8 4 2 2 3 3" xfId="5696" xr:uid="{00000000-0005-0000-0000-0000D91D0000}"/>
    <cellStyle name="Normal 8 4 2 2 3 3 2" xfId="14146" xr:uid="{69AC9F04-B113-4621-9480-32E64D805D65}"/>
    <cellStyle name="Normal 8 4 2 2 3 4" xfId="9928" xr:uid="{AADE79AB-54C9-4FE9-A30C-3D345B778A19}"/>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8CBB8AE2-DD2D-4A6D-8556-0F462E3D46D4}"/>
    <cellStyle name="Normal 8 4 2 2 4 2 3" xfId="12486" xr:uid="{F0B8E885-05AF-4B31-924E-2E2E85556A35}"/>
    <cellStyle name="Normal 8 4 2 2 4 3" xfId="6109" xr:uid="{00000000-0005-0000-0000-0000DD1D0000}"/>
    <cellStyle name="Normal 8 4 2 2 4 3 2" xfId="14559" xr:uid="{3FF433D0-6D6F-4729-A1E7-AFAF87D1957A}"/>
    <cellStyle name="Normal 8 4 2 2 4 4" xfId="10341" xr:uid="{D2F79CB6-B6AB-4BEB-932E-956BBC9BD413}"/>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2F4099D1-5D81-4866-B2D2-A584FC0D0743}"/>
    <cellStyle name="Normal 8 4 2 2 5 2 3" xfId="12899" xr:uid="{90D07AED-30A4-462B-AFAB-05284BED8353}"/>
    <cellStyle name="Normal 8 4 2 2 5 3" xfId="6522" xr:uid="{00000000-0005-0000-0000-0000E11D0000}"/>
    <cellStyle name="Normal 8 4 2 2 5 3 2" xfId="14972" xr:uid="{AF70AFF8-90B1-48F3-960A-617CAFDFA917}"/>
    <cellStyle name="Normal 8 4 2 2 5 4" xfId="10754" xr:uid="{DD41ABF8-F155-4566-8595-314A43FC98BB}"/>
    <cellStyle name="Normal 8 4 2 2 6" xfId="2652" xr:uid="{00000000-0005-0000-0000-0000E21D0000}"/>
    <cellStyle name="Normal 8 4 2 2 6 2" xfId="6935" xr:uid="{00000000-0005-0000-0000-0000E31D0000}"/>
    <cellStyle name="Normal 8 4 2 2 6 2 2" xfId="15385" xr:uid="{862F374C-6174-4D27-87F6-9493691A1D8D}"/>
    <cellStyle name="Normal 8 4 2 2 6 3" xfId="11167" xr:uid="{138C9446-9CAF-4C87-B9C8-42B3F5B35ABB}"/>
    <cellStyle name="Normal 8 4 2 2 7" xfId="4870" xr:uid="{00000000-0005-0000-0000-0000E41D0000}"/>
    <cellStyle name="Normal 8 4 2 2 7 2" xfId="13320" xr:uid="{018CAA98-7CDB-47A6-99DF-07E73C3E569C}"/>
    <cellStyle name="Normal 8 4 2 2 8" xfId="17542" xr:uid="{EBBFD737-2608-4F1B-B307-E392FFF0F0E4}"/>
    <cellStyle name="Normal 8 4 2 2 9" xfId="18375" xr:uid="{C341306B-49F7-436E-AD5F-3B95C4810AAC}"/>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89A14BE3-F9B2-420B-ADE4-DDF9F3BEAD8A}"/>
    <cellStyle name="Normal 8 4 2 3 2 3" xfId="11659" xr:uid="{CA6AE48C-DA59-4B36-A5A3-8864C7C9277C}"/>
    <cellStyle name="Normal 8 4 2 3 3" xfId="5282" xr:uid="{00000000-0005-0000-0000-0000E81D0000}"/>
    <cellStyle name="Normal 8 4 2 3 3 2" xfId="13732" xr:uid="{947F6AA5-50D4-4D7C-9725-CD6CB3233AB7}"/>
    <cellStyle name="Normal 8 4 2 3 4" xfId="17960" xr:uid="{2C0F1079-E532-47CC-B2B6-25872C6F5706}"/>
    <cellStyle name="Normal 8 4 2 3 5" xfId="18790" xr:uid="{EE3A8466-AF03-4E58-9E53-D6E443713B9C}"/>
    <cellStyle name="Normal 8 4 2 3 6" xfId="19619" xr:uid="{F3F1B17E-3038-4982-A7A9-EC94DAE63B42}"/>
    <cellStyle name="Normal 8 4 2 3 7" xfId="9514" xr:uid="{220FD9BE-490C-4F45-AE87-6C9742DEF4CE}"/>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CC34D4CA-99B7-43BD-AF36-7D0C04AE6E43}"/>
    <cellStyle name="Normal 8 4 2 4 2 3" xfId="12072" xr:uid="{3FA84541-F0FE-462C-9849-470C18341432}"/>
    <cellStyle name="Normal 8 4 2 4 3" xfId="5695" xr:uid="{00000000-0005-0000-0000-0000EC1D0000}"/>
    <cellStyle name="Normal 8 4 2 4 3 2" xfId="14145" xr:uid="{492C550F-A6ED-4D36-B4FB-F45442C83519}"/>
    <cellStyle name="Normal 8 4 2 4 4" xfId="9927" xr:uid="{B9E19A84-9D09-4934-9C6D-70D302E82079}"/>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76B3E496-C1CB-4EF6-BE94-97885D3C15FF}"/>
    <cellStyle name="Normal 8 4 2 5 2 3" xfId="12485" xr:uid="{7F9EAF01-626F-496B-BFBA-F05FF3DADCE0}"/>
    <cellStyle name="Normal 8 4 2 5 3" xfId="6108" xr:uid="{00000000-0005-0000-0000-0000F01D0000}"/>
    <cellStyle name="Normal 8 4 2 5 3 2" xfId="14558" xr:uid="{8ED54B4A-EB80-42AB-844B-84A2F0E3768D}"/>
    <cellStyle name="Normal 8 4 2 5 4" xfId="10340" xr:uid="{0D39A771-2AA6-4D03-ACA5-3DBE8484ED3C}"/>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D204D78F-3137-4E55-AB6E-38C8D40E1E91}"/>
    <cellStyle name="Normal 8 4 2 6 2 3" xfId="12898" xr:uid="{9E052EB3-AF96-4ECD-AC0E-0F24DE70ABC0}"/>
    <cellStyle name="Normal 8 4 2 6 3" xfId="6521" xr:uid="{00000000-0005-0000-0000-0000F41D0000}"/>
    <cellStyle name="Normal 8 4 2 6 3 2" xfId="14971" xr:uid="{7F63B091-9440-430A-AF4B-1C95236544EA}"/>
    <cellStyle name="Normal 8 4 2 6 4" xfId="10753" xr:uid="{76D679B8-1428-40BF-BC6D-FC45AAFABC95}"/>
    <cellStyle name="Normal 8 4 2 7" xfId="2651" xr:uid="{00000000-0005-0000-0000-0000F51D0000}"/>
    <cellStyle name="Normal 8 4 2 7 2" xfId="6934" xr:uid="{00000000-0005-0000-0000-0000F61D0000}"/>
    <cellStyle name="Normal 8 4 2 7 2 2" xfId="15384" xr:uid="{6C7A579D-F1B0-4979-AA90-546A30AE0233}"/>
    <cellStyle name="Normal 8 4 2 7 3" xfId="11166" xr:uid="{157651D0-631A-45EC-B966-305026DCFAA9}"/>
    <cellStyle name="Normal 8 4 2 8" xfId="4869" xr:uid="{00000000-0005-0000-0000-0000F71D0000}"/>
    <cellStyle name="Normal 8 4 2 8 2" xfId="13319" xr:uid="{C8C2E7B9-C777-4060-A1E7-9CA53A26C2B9}"/>
    <cellStyle name="Normal 8 4 2 9" xfId="17541" xr:uid="{43C38776-40A3-4A5C-8D27-261EA90AAE9B}"/>
    <cellStyle name="Normal 8 4 3" xfId="506" xr:uid="{00000000-0005-0000-0000-0000F81D0000}"/>
    <cellStyle name="Normal 8 4 3 10" xfId="19205" xr:uid="{BD417DB1-133B-4FB5-8BD4-C8274F558464}"/>
    <cellStyle name="Normal 8 4 3 11" xfId="9103" xr:uid="{45EEF92D-8C82-4068-BF05-F6D461A74EC8}"/>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9CC2AE54-F267-47FF-B8B7-FD835DB989D5}"/>
    <cellStyle name="Normal 8 4 3 2 2 3" xfId="11661" xr:uid="{50FEA857-A402-4334-A189-A5E2A8F8E65D}"/>
    <cellStyle name="Normal 8 4 3 2 3" xfId="5284" xr:uid="{00000000-0005-0000-0000-0000FC1D0000}"/>
    <cellStyle name="Normal 8 4 3 2 3 2" xfId="13734" xr:uid="{BDC32DCB-55CA-4495-ACD1-CFCACF4C27CD}"/>
    <cellStyle name="Normal 8 4 3 2 4" xfId="17962" xr:uid="{115643C0-1F66-4DCF-B401-5D6139A42FFC}"/>
    <cellStyle name="Normal 8 4 3 2 5" xfId="18792" xr:uid="{CAB77B67-44A8-4BEF-9ED7-608C80FFC76A}"/>
    <cellStyle name="Normal 8 4 3 2 6" xfId="19621" xr:uid="{DCF2FBE9-0E64-44F3-B1D0-423DEF2EF85E}"/>
    <cellStyle name="Normal 8 4 3 2 7" xfId="9516" xr:uid="{2895B92D-16E3-4C68-9117-05DA2E87FC78}"/>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E9E910BD-85CF-4155-A744-84F9C74F94C2}"/>
    <cellStyle name="Normal 8 4 3 3 2 3" xfId="12074" xr:uid="{DADC1F74-5BE2-46FE-9352-290E54ED21A2}"/>
    <cellStyle name="Normal 8 4 3 3 3" xfId="5697" xr:uid="{00000000-0005-0000-0000-0000001E0000}"/>
    <cellStyle name="Normal 8 4 3 3 3 2" xfId="14147" xr:uid="{13DF52F1-FCE4-4F5A-9523-4418E443F577}"/>
    <cellStyle name="Normal 8 4 3 3 4" xfId="9929" xr:uid="{0C598DAA-02A6-47EB-BB0F-C8FF36DC56E7}"/>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FCA9E155-DBA2-4ACB-B7D9-6504AB6BE1A1}"/>
    <cellStyle name="Normal 8 4 3 4 2 3" xfId="12487" xr:uid="{A8268E8B-84EC-45B8-8520-E8BD275E37C8}"/>
    <cellStyle name="Normal 8 4 3 4 3" xfId="6110" xr:uid="{00000000-0005-0000-0000-0000041E0000}"/>
    <cellStyle name="Normal 8 4 3 4 3 2" xfId="14560" xr:uid="{0349A1F4-8123-4750-AB25-DCF25E9FBDBC}"/>
    <cellStyle name="Normal 8 4 3 4 4" xfId="10342" xr:uid="{F3938A12-C7DE-4876-B52C-79746C5E9A1A}"/>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5D04FF4E-C558-4B27-9BD6-CE8DF4D3062F}"/>
    <cellStyle name="Normal 8 4 3 5 2 3" xfId="12900" xr:uid="{0C413AC0-CAE8-4C4B-A6DD-EB5C2361F51C}"/>
    <cellStyle name="Normal 8 4 3 5 3" xfId="6523" xr:uid="{00000000-0005-0000-0000-0000081E0000}"/>
    <cellStyle name="Normal 8 4 3 5 3 2" xfId="14973" xr:uid="{6BE39CD8-F0AC-4253-9756-CB04BC815D5F}"/>
    <cellStyle name="Normal 8 4 3 5 4" xfId="10755" xr:uid="{9869519A-A325-47F5-BE55-8D82362B9837}"/>
    <cellStyle name="Normal 8 4 3 6" xfId="2653" xr:uid="{00000000-0005-0000-0000-0000091E0000}"/>
    <cellStyle name="Normal 8 4 3 6 2" xfId="6936" xr:uid="{00000000-0005-0000-0000-00000A1E0000}"/>
    <cellStyle name="Normal 8 4 3 6 2 2" xfId="15386" xr:uid="{5F3A2502-3D0D-430A-BD24-D3AC0183FB1E}"/>
    <cellStyle name="Normal 8 4 3 6 3" xfId="11168" xr:uid="{4DA6CE07-332B-4D51-90EB-AEE2DA9D941A}"/>
    <cellStyle name="Normal 8 4 3 7" xfId="4871" xr:uid="{00000000-0005-0000-0000-00000B1E0000}"/>
    <cellStyle name="Normal 8 4 3 7 2" xfId="13321" xr:uid="{514C16A0-B626-4AC1-A6B7-C4EBBF71E89A}"/>
    <cellStyle name="Normal 8 4 3 8" xfId="17543" xr:uid="{B27323FC-9242-4EA7-B81C-58BEE864C12E}"/>
    <cellStyle name="Normal 8 4 3 9" xfId="18376" xr:uid="{A6CB6F9B-5A0B-4216-8DB5-D51561B3F771}"/>
    <cellStyle name="Normal 8 4 4" xfId="970" xr:uid="{00000000-0005-0000-0000-00000C1E0000}"/>
    <cellStyle name="Normal 8 4 4 2" xfId="3204" xr:uid="{00000000-0005-0000-0000-00000D1E0000}"/>
    <cellStyle name="Normal 8 4 4 2 2" xfId="7426" xr:uid="{00000000-0005-0000-0000-00000E1E0000}"/>
    <cellStyle name="Normal 8 4 4 2 2 2" xfId="15876" xr:uid="{99F7A37D-CC68-440B-9B6E-F6477BB3B190}"/>
    <cellStyle name="Normal 8 4 4 2 3" xfId="11658" xr:uid="{FE5F22EF-6AA5-408C-B5F1-7DB9CF121F8B}"/>
    <cellStyle name="Normal 8 4 4 3" xfId="5281" xr:uid="{00000000-0005-0000-0000-00000F1E0000}"/>
    <cellStyle name="Normal 8 4 4 3 2" xfId="13731" xr:uid="{1EA8AC50-CEA8-459D-8B4A-8083CF0659FB}"/>
    <cellStyle name="Normal 8 4 4 4" xfId="17959" xr:uid="{A071EE49-B4F3-42DD-9D3A-5E6CB714BF82}"/>
    <cellStyle name="Normal 8 4 4 5" xfId="18789" xr:uid="{0C7CD2A3-9903-4CE7-9CA7-ECD659FAFCE0}"/>
    <cellStyle name="Normal 8 4 4 6" xfId="19618" xr:uid="{18872E6B-B5AA-4296-A9F1-6191F11B314E}"/>
    <cellStyle name="Normal 8 4 4 7" xfId="9513" xr:uid="{D8DA6138-27B4-4D94-88F2-A56D88786BC1}"/>
    <cellStyle name="Normal 8 4 5" xfId="1387" xr:uid="{00000000-0005-0000-0000-0000101E0000}"/>
    <cellStyle name="Normal 8 4 5 2" xfId="3617" xr:uid="{00000000-0005-0000-0000-0000111E0000}"/>
    <cellStyle name="Normal 8 4 5 2 2" xfId="7839" xr:uid="{00000000-0005-0000-0000-0000121E0000}"/>
    <cellStyle name="Normal 8 4 5 2 2 2" xfId="16289" xr:uid="{0B3A6FA1-66C9-453A-AD09-5BF905AD8BCA}"/>
    <cellStyle name="Normal 8 4 5 2 3" xfId="12071" xr:uid="{0B4C0A74-6675-48A4-80B4-42BDFAD19A94}"/>
    <cellStyle name="Normal 8 4 5 3" xfId="5694" xr:uid="{00000000-0005-0000-0000-0000131E0000}"/>
    <cellStyle name="Normal 8 4 5 3 2" xfId="14144" xr:uid="{F06020E3-F05F-428A-A960-4FD494F82B6E}"/>
    <cellStyle name="Normal 8 4 5 4" xfId="9926" xr:uid="{E05FC253-F80E-42F7-B293-400165F43904}"/>
    <cellStyle name="Normal 8 4 6" xfId="1800" xr:uid="{00000000-0005-0000-0000-0000141E0000}"/>
    <cellStyle name="Normal 8 4 6 2" xfId="4030" xr:uid="{00000000-0005-0000-0000-0000151E0000}"/>
    <cellStyle name="Normal 8 4 6 2 2" xfId="8252" xr:uid="{00000000-0005-0000-0000-0000161E0000}"/>
    <cellStyle name="Normal 8 4 6 2 2 2" xfId="16702" xr:uid="{7EF5932C-A164-4DE7-BC66-5D6EEF6F7415}"/>
    <cellStyle name="Normal 8 4 6 2 3" xfId="12484" xr:uid="{8950E689-5CEC-452B-9420-53839E6FF8F7}"/>
    <cellStyle name="Normal 8 4 6 3" xfId="6107" xr:uid="{00000000-0005-0000-0000-0000171E0000}"/>
    <cellStyle name="Normal 8 4 6 3 2" xfId="14557" xr:uid="{46310898-B8A1-4089-AB0B-E23ACED415DD}"/>
    <cellStyle name="Normal 8 4 6 4" xfId="10339" xr:uid="{CDE226C1-7907-47B3-A85D-2E36979E4B54}"/>
    <cellStyle name="Normal 8 4 7" xfId="2214" xr:uid="{00000000-0005-0000-0000-0000181E0000}"/>
    <cellStyle name="Normal 8 4 7 2" xfId="4443" xr:uid="{00000000-0005-0000-0000-0000191E0000}"/>
    <cellStyle name="Normal 8 4 7 2 2" xfId="8665" xr:uid="{00000000-0005-0000-0000-00001A1E0000}"/>
    <cellStyle name="Normal 8 4 7 2 2 2" xfId="17115" xr:uid="{D5349461-6F19-4BCC-8B3C-85A81A85723D}"/>
    <cellStyle name="Normal 8 4 7 2 3" xfId="12897" xr:uid="{2638FC58-BCBB-4733-A9CD-D18655D5A66D}"/>
    <cellStyle name="Normal 8 4 7 3" xfId="6520" xr:uid="{00000000-0005-0000-0000-00001B1E0000}"/>
    <cellStyle name="Normal 8 4 7 3 2" xfId="14970" xr:uid="{42E88B2A-E145-4C17-82D6-57A8095DF263}"/>
    <cellStyle name="Normal 8 4 7 4" xfId="10752" xr:uid="{5866AE20-8FE8-44B8-81FC-E22D7FF028FD}"/>
    <cellStyle name="Normal 8 4 8" xfId="2650" xr:uid="{00000000-0005-0000-0000-00001C1E0000}"/>
    <cellStyle name="Normal 8 4 8 2" xfId="6933" xr:uid="{00000000-0005-0000-0000-00001D1E0000}"/>
    <cellStyle name="Normal 8 4 8 2 2" xfId="15383" xr:uid="{6FF0BD01-E3CB-470A-86B2-3A6524B4DA71}"/>
    <cellStyle name="Normal 8 4 8 3" xfId="11165" xr:uid="{197D9C38-AAF3-4692-99F9-E923F50F8A36}"/>
    <cellStyle name="Normal 8 4 9" xfId="4868" xr:uid="{00000000-0005-0000-0000-00001E1E0000}"/>
    <cellStyle name="Normal 8 4 9 2" xfId="13318" xr:uid="{2F708F79-A73C-4700-B7DF-D78575FADA14}"/>
    <cellStyle name="Normal 8 5" xfId="507" xr:uid="{00000000-0005-0000-0000-00001F1E0000}"/>
    <cellStyle name="Normal 8 5 10" xfId="18377" xr:uid="{E727F766-9541-4950-92D5-2028FF3A2548}"/>
    <cellStyle name="Normal 8 5 11" xfId="19206" xr:uid="{FE0569E0-D29E-4480-A1CB-B291FECB1126}"/>
    <cellStyle name="Normal 8 5 12" xfId="9104" xr:uid="{D65321BD-1434-4286-93AA-18CA7F7ED456}"/>
    <cellStyle name="Normal 8 5 2" xfId="508" xr:uid="{00000000-0005-0000-0000-0000201E0000}"/>
    <cellStyle name="Normal 8 5 2 10" xfId="19207" xr:uid="{4E4C4952-56D4-46F9-8DFC-B2AE9013BA8A}"/>
    <cellStyle name="Normal 8 5 2 11" xfId="9105" xr:uid="{0EDCB76B-68B2-4722-BA80-BA569A86BE8D}"/>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1638F6EB-9BF7-44B9-9F33-37E0CE7AC2DB}"/>
    <cellStyle name="Normal 8 5 2 2 2 3" xfId="11663" xr:uid="{28F9B3BA-5819-41E5-8EA6-B0BDC1B397FE}"/>
    <cellStyle name="Normal 8 5 2 2 3" xfId="5286" xr:uid="{00000000-0005-0000-0000-0000241E0000}"/>
    <cellStyle name="Normal 8 5 2 2 3 2" xfId="13736" xr:uid="{50217F4B-2E9E-4530-AEFD-EE083F3B2C1A}"/>
    <cellStyle name="Normal 8 5 2 2 4" xfId="17964" xr:uid="{7BCD28E4-F3E8-44DA-B0E8-78879F810112}"/>
    <cellStyle name="Normal 8 5 2 2 5" xfId="18794" xr:uid="{AC9A53EC-0255-453B-8142-8E5A0169B44E}"/>
    <cellStyle name="Normal 8 5 2 2 6" xfId="19623" xr:uid="{5D74646C-83BE-4A62-8A22-96CAFB608642}"/>
    <cellStyle name="Normal 8 5 2 2 7" xfId="9518" xr:uid="{FA97C7C5-17DD-4865-9AFB-7FC8859AC3C6}"/>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8C298919-007F-458A-BE49-272099C485FB}"/>
    <cellStyle name="Normal 8 5 2 3 2 3" xfId="12076" xr:uid="{11A3718C-7474-421E-B0E7-C082771431C4}"/>
    <cellStyle name="Normal 8 5 2 3 3" xfId="5699" xr:uid="{00000000-0005-0000-0000-0000281E0000}"/>
    <cellStyle name="Normal 8 5 2 3 3 2" xfId="14149" xr:uid="{456DD2C0-1F33-4428-8ECB-115E6975971B}"/>
    <cellStyle name="Normal 8 5 2 3 4" xfId="9931" xr:uid="{E5498252-0EC1-4ACD-B37F-3CC0FC45F896}"/>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DCF9B497-08FD-491A-A41E-6691230FB31E}"/>
    <cellStyle name="Normal 8 5 2 4 2 3" xfId="12489" xr:uid="{9B7FFAC0-F666-4197-9608-0D1DD76AE07D}"/>
    <cellStyle name="Normal 8 5 2 4 3" xfId="6112" xr:uid="{00000000-0005-0000-0000-00002C1E0000}"/>
    <cellStyle name="Normal 8 5 2 4 3 2" xfId="14562" xr:uid="{E5FA3307-34CB-40F6-8B60-AC78B14BB103}"/>
    <cellStyle name="Normal 8 5 2 4 4" xfId="10344" xr:uid="{54A3203D-2AD7-40FF-AF61-78906CA83D1D}"/>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4A5DE8E9-EE48-4FD4-BF8A-E9DFD8A4FAD5}"/>
    <cellStyle name="Normal 8 5 2 5 2 3" xfId="12902" xr:uid="{DF472D8B-EF2C-4841-99A9-2ADA94511524}"/>
    <cellStyle name="Normal 8 5 2 5 3" xfId="6525" xr:uid="{00000000-0005-0000-0000-0000301E0000}"/>
    <cellStyle name="Normal 8 5 2 5 3 2" xfId="14975" xr:uid="{AAD36FF9-E8DB-475B-A12A-8159ACE2C66F}"/>
    <cellStyle name="Normal 8 5 2 5 4" xfId="10757" xr:uid="{A8B0CE18-94FE-4616-9161-234E4FC6F5FE}"/>
    <cellStyle name="Normal 8 5 2 6" xfId="2655" xr:uid="{00000000-0005-0000-0000-0000311E0000}"/>
    <cellStyle name="Normal 8 5 2 6 2" xfId="6938" xr:uid="{00000000-0005-0000-0000-0000321E0000}"/>
    <cellStyle name="Normal 8 5 2 6 2 2" xfId="15388" xr:uid="{CB483FE5-D763-4B9A-A44D-A8A49BBDD3D7}"/>
    <cellStyle name="Normal 8 5 2 6 3" xfId="11170" xr:uid="{682CDE7F-B3F0-4C98-85B7-6B2A2BE2B432}"/>
    <cellStyle name="Normal 8 5 2 7" xfId="4873" xr:uid="{00000000-0005-0000-0000-0000331E0000}"/>
    <cellStyle name="Normal 8 5 2 7 2" xfId="13323" xr:uid="{79A079F7-23C3-43E9-A0C3-9DDC02F97D13}"/>
    <cellStyle name="Normal 8 5 2 8" xfId="17545" xr:uid="{642E9A72-C2CE-49A7-8D88-3A10B2EE667B}"/>
    <cellStyle name="Normal 8 5 2 9" xfId="18378" xr:uid="{0E6993F8-637A-4E70-AF3C-D8810B6BFE4F}"/>
    <cellStyle name="Normal 8 5 3" xfId="974" xr:uid="{00000000-0005-0000-0000-0000341E0000}"/>
    <cellStyle name="Normal 8 5 3 2" xfId="3208" xr:uid="{00000000-0005-0000-0000-0000351E0000}"/>
    <cellStyle name="Normal 8 5 3 2 2" xfId="7430" xr:uid="{00000000-0005-0000-0000-0000361E0000}"/>
    <cellStyle name="Normal 8 5 3 2 2 2" xfId="15880" xr:uid="{5F734B4E-2068-4F93-9898-AA1B2A28AD7D}"/>
    <cellStyle name="Normal 8 5 3 2 3" xfId="11662" xr:uid="{722B93E2-55B0-4151-A464-20C3568B737E}"/>
    <cellStyle name="Normal 8 5 3 3" xfId="5285" xr:uid="{00000000-0005-0000-0000-0000371E0000}"/>
    <cellStyle name="Normal 8 5 3 3 2" xfId="13735" xr:uid="{3E1C4B8D-3056-4DC1-8EC3-3708C420B58A}"/>
    <cellStyle name="Normal 8 5 3 4" xfId="17963" xr:uid="{0B5B3FAB-FAB7-42BF-B1B8-B285F8256637}"/>
    <cellStyle name="Normal 8 5 3 5" xfId="18793" xr:uid="{125D8A51-C685-4DC4-B244-4A34FF7FC650}"/>
    <cellStyle name="Normal 8 5 3 6" xfId="19622" xr:uid="{F784DAE6-F697-401F-9A6C-EF54EF204565}"/>
    <cellStyle name="Normal 8 5 3 7" xfId="9517" xr:uid="{23CF345B-031C-4E31-A4D3-7082C46954DE}"/>
    <cellStyle name="Normal 8 5 4" xfId="1391" xr:uid="{00000000-0005-0000-0000-0000381E0000}"/>
    <cellStyle name="Normal 8 5 4 2" xfId="3621" xr:uid="{00000000-0005-0000-0000-0000391E0000}"/>
    <cellStyle name="Normal 8 5 4 2 2" xfId="7843" xr:uid="{00000000-0005-0000-0000-00003A1E0000}"/>
    <cellStyle name="Normal 8 5 4 2 2 2" xfId="16293" xr:uid="{7C2AABE8-60B8-4AAA-9E6E-FD312AD0842F}"/>
    <cellStyle name="Normal 8 5 4 2 3" xfId="12075" xr:uid="{8D9FF569-00D5-43D8-8D9A-718924C125D3}"/>
    <cellStyle name="Normal 8 5 4 3" xfId="5698" xr:uid="{00000000-0005-0000-0000-00003B1E0000}"/>
    <cellStyle name="Normal 8 5 4 3 2" xfId="14148" xr:uid="{627B1E9A-BB46-4917-9B4D-2F4B25343C19}"/>
    <cellStyle name="Normal 8 5 4 4" xfId="9930" xr:uid="{BB187591-5C0E-4D68-B716-AFA17C2380B3}"/>
    <cellStyle name="Normal 8 5 5" xfId="1804" xr:uid="{00000000-0005-0000-0000-00003C1E0000}"/>
    <cellStyle name="Normal 8 5 5 2" xfId="4034" xr:uid="{00000000-0005-0000-0000-00003D1E0000}"/>
    <cellStyle name="Normal 8 5 5 2 2" xfId="8256" xr:uid="{00000000-0005-0000-0000-00003E1E0000}"/>
    <cellStyle name="Normal 8 5 5 2 2 2" xfId="16706" xr:uid="{2D92A897-B694-4822-90A5-B8C9FE2BA33C}"/>
    <cellStyle name="Normal 8 5 5 2 3" xfId="12488" xr:uid="{7E05B617-1088-4CCD-B800-90FFA64973F6}"/>
    <cellStyle name="Normal 8 5 5 3" xfId="6111" xr:uid="{00000000-0005-0000-0000-00003F1E0000}"/>
    <cellStyle name="Normal 8 5 5 3 2" xfId="14561" xr:uid="{A5F28043-C31A-46C1-A28D-D802369252DB}"/>
    <cellStyle name="Normal 8 5 5 4" xfId="10343" xr:uid="{E9BC0933-B0F6-4FE1-B5A7-F33E753686BE}"/>
    <cellStyle name="Normal 8 5 6" xfId="2218" xr:uid="{00000000-0005-0000-0000-0000401E0000}"/>
    <cellStyle name="Normal 8 5 6 2" xfId="4447" xr:uid="{00000000-0005-0000-0000-0000411E0000}"/>
    <cellStyle name="Normal 8 5 6 2 2" xfId="8669" xr:uid="{00000000-0005-0000-0000-0000421E0000}"/>
    <cellStyle name="Normal 8 5 6 2 2 2" xfId="17119" xr:uid="{CE4A786D-329B-4AF0-BF2B-006C6076424D}"/>
    <cellStyle name="Normal 8 5 6 2 3" xfId="12901" xr:uid="{AE869F2A-139A-49CC-B72D-CD9088A2EDBD}"/>
    <cellStyle name="Normal 8 5 6 3" xfId="6524" xr:uid="{00000000-0005-0000-0000-0000431E0000}"/>
    <cellStyle name="Normal 8 5 6 3 2" xfId="14974" xr:uid="{EA36B774-7DAF-473C-862D-E98F5A00701A}"/>
    <cellStyle name="Normal 8 5 6 4" xfId="10756" xr:uid="{5D75DFEB-8486-42C9-A59F-08D7A72B326F}"/>
    <cellStyle name="Normal 8 5 7" xfId="2654" xr:uid="{00000000-0005-0000-0000-0000441E0000}"/>
    <cellStyle name="Normal 8 5 7 2" xfId="6937" xr:uid="{00000000-0005-0000-0000-0000451E0000}"/>
    <cellStyle name="Normal 8 5 7 2 2" xfId="15387" xr:uid="{AA865D11-153F-4C4B-88AE-2B195A02F49D}"/>
    <cellStyle name="Normal 8 5 7 3" xfId="11169" xr:uid="{309617F0-F00D-441B-A27E-916FE98F8047}"/>
    <cellStyle name="Normal 8 5 8" xfId="4872" xr:uid="{00000000-0005-0000-0000-0000461E0000}"/>
    <cellStyle name="Normal 8 5 8 2" xfId="13322" xr:uid="{DD87B2B7-738C-47AF-AF24-39CF3FD4FE44}"/>
    <cellStyle name="Normal 8 5 9" xfId="17544" xr:uid="{B12E9209-9091-4AAE-B0F0-26842B1EB776}"/>
    <cellStyle name="Normal 8 6" xfId="509" xr:uid="{00000000-0005-0000-0000-0000471E0000}"/>
    <cellStyle name="Normal 8 6 10" xfId="19208" xr:uid="{883CCB8F-E066-4B18-9DCE-CEF2E4A13F57}"/>
    <cellStyle name="Normal 8 6 11" xfId="9106" xr:uid="{5D06E990-C6CF-4469-8E63-6164E3D7EA70}"/>
    <cellStyle name="Normal 8 6 2" xfId="976" xr:uid="{00000000-0005-0000-0000-0000481E0000}"/>
    <cellStyle name="Normal 8 6 2 2" xfId="3210" xr:uid="{00000000-0005-0000-0000-0000491E0000}"/>
    <cellStyle name="Normal 8 6 2 2 2" xfId="7432" xr:uid="{00000000-0005-0000-0000-00004A1E0000}"/>
    <cellStyle name="Normal 8 6 2 2 2 2" xfId="15882" xr:uid="{71897CA2-E9A6-46E8-8B25-91EBE14FA434}"/>
    <cellStyle name="Normal 8 6 2 2 3" xfId="11664" xr:uid="{79446EA3-202D-44C5-8619-14DFEDA3923A}"/>
    <cellStyle name="Normal 8 6 2 3" xfId="5287" xr:uid="{00000000-0005-0000-0000-00004B1E0000}"/>
    <cellStyle name="Normal 8 6 2 3 2" xfId="13737" xr:uid="{3749AB7E-D5D2-4D63-9659-F3A8B1D34D23}"/>
    <cellStyle name="Normal 8 6 2 4" xfId="17965" xr:uid="{442B5820-079A-45E9-A768-E1983BF08B39}"/>
    <cellStyle name="Normal 8 6 2 5" xfId="18795" xr:uid="{32AB595C-AEFA-469B-AF82-C4A37BAD506E}"/>
    <cellStyle name="Normal 8 6 2 6" xfId="19624" xr:uid="{DBCEE87A-0C2F-4F60-8030-E46BC5071AE9}"/>
    <cellStyle name="Normal 8 6 2 7" xfId="9519" xr:uid="{170156C2-A9B5-40BA-AD04-7D90BF685311}"/>
    <cellStyle name="Normal 8 6 3" xfId="1393" xr:uid="{00000000-0005-0000-0000-00004C1E0000}"/>
    <cellStyle name="Normal 8 6 3 2" xfId="3623" xr:uid="{00000000-0005-0000-0000-00004D1E0000}"/>
    <cellStyle name="Normal 8 6 3 2 2" xfId="7845" xr:uid="{00000000-0005-0000-0000-00004E1E0000}"/>
    <cellStyle name="Normal 8 6 3 2 2 2" xfId="16295" xr:uid="{6D4551B3-B1F5-48C0-AFCD-83B134C3F8C6}"/>
    <cellStyle name="Normal 8 6 3 2 3" xfId="12077" xr:uid="{BE16174C-5DF7-4D81-9A96-E517933846F4}"/>
    <cellStyle name="Normal 8 6 3 3" xfId="5700" xr:uid="{00000000-0005-0000-0000-00004F1E0000}"/>
    <cellStyle name="Normal 8 6 3 3 2" xfId="14150" xr:uid="{91EBC759-358C-4C0D-9F3A-2CCD9DD35944}"/>
    <cellStyle name="Normal 8 6 3 4" xfId="9932" xr:uid="{E3C3ADD0-C052-4BF7-94A1-1F424DE98E25}"/>
    <cellStyle name="Normal 8 6 4" xfId="1806" xr:uid="{00000000-0005-0000-0000-0000501E0000}"/>
    <cellStyle name="Normal 8 6 4 2" xfId="4036" xr:uid="{00000000-0005-0000-0000-0000511E0000}"/>
    <cellStyle name="Normal 8 6 4 2 2" xfId="8258" xr:uid="{00000000-0005-0000-0000-0000521E0000}"/>
    <cellStyle name="Normal 8 6 4 2 2 2" xfId="16708" xr:uid="{11CA9C55-526A-4BC3-AE1B-7A5A853415E8}"/>
    <cellStyle name="Normal 8 6 4 2 3" xfId="12490" xr:uid="{E408DC33-A1A7-4BD1-A65C-33DD565186FF}"/>
    <cellStyle name="Normal 8 6 4 3" xfId="6113" xr:uid="{00000000-0005-0000-0000-0000531E0000}"/>
    <cellStyle name="Normal 8 6 4 3 2" xfId="14563" xr:uid="{97F66EDE-F9EF-4A33-B799-ACD72B10670E}"/>
    <cellStyle name="Normal 8 6 4 4" xfId="10345" xr:uid="{F42A51BE-70B0-4E01-8854-7EE62E268276}"/>
    <cellStyle name="Normal 8 6 5" xfId="2220" xr:uid="{00000000-0005-0000-0000-0000541E0000}"/>
    <cellStyle name="Normal 8 6 5 2" xfId="4449" xr:uid="{00000000-0005-0000-0000-0000551E0000}"/>
    <cellStyle name="Normal 8 6 5 2 2" xfId="8671" xr:uid="{00000000-0005-0000-0000-0000561E0000}"/>
    <cellStyle name="Normal 8 6 5 2 2 2" xfId="17121" xr:uid="{9AF96645-C938-4151-9673-BDF5C684993F}"/>
    <cellStyle name="Normal 8 6 5 2 3" xfId="12903" xr:uid="{45514B4B-4EFF-43F1-9231-DA221BC88C7F}"/>
    <cellStyle name="Normal 8 6 5 3" xfId="6526" xr:uid="{00000000-0005-0000-0000-0000571E0000}"/>
    <cellStyle name="Normal 8 6 5 3 2" xfId="14976" xr:uid="{03761777-92FF-49A6-A989-74C8BCC3921E}"/>
    <cellStyle name="Normal 8 6 5 4" xfId="10758" xr:uid="{0BA98C6A-E9BF-441F-91EA-7DF00E8BF738}"/>
    <cellStyle name="Normal 8 6 6" xfId="2656" xr:uid="{00000000-0005-0000-0000-0000581E0000}"/>
    <cellStyle name="Normal 8 6 6 2" xfId="6939" xr:uid="{00000000-0005-0000-0000-0000591E0000}"/>
    <cellStyle name="Normal 8 6 6 2 2" xfId="15389" xr:uid="{B7351AEA-E8CA-401F-BDCD-D0A8EA9FF24A}"/>
    <cellStyle name="Normal 8 6 6 3" xfId="11171" xr:uid="{F9E5EB52-F6E2-4F63-84D4-C8CBFC39B037}"/>
    <cellStyle name="Normal 8 6 7" xfId="4874" xr:uid="{00000000-0005-0000-0000-00005A1E0000}"/>
    <cellStyle name="Normal 8 6 7 2" xfId="13324" xr:uid="{5A0DB448-C1C8-4A92-B874-A7C649CAF70D}"/>
    <cellStyle name="Normal 8 6 8" xfId="17546" xr:uid="{94DB0EA3-CA70-436B-A1BA-098FE3A35457}"/>
    <cellStyle name="Normal 8 6 9" xfId="18379" xr:uid="{1C426D59-4C06-4EAA-8240-C942E32396CB}"/>
    <cellStyle name="Normal 8 7" xfId="945" xr:uid="{00000000-0005-0000-0000-00005B1E0000}"/>
    <cellStyle name="Normal 8 7 2" xfId="3179" xr:uid="{00000000-0005-0000-0000-00005C1E0000}"/>
    <cellStyle name="Normal 8 7 2 2" xfId="7401" xr:uid="{00000000-0005-0000-0000-00005D1E0000}"/>
    <cellStyle name="Normal 8 7 2 2 2" xfId="15851" xr:uid="{2CE47DAE-F5F3-479C-AA63-B8C7E5028675}"/>
    <cellStyle name="Normal 8 7 2 3" xfId="11633" xr:uid="{28168F26-B493-4DED-82C9-7562AE43A262}"/>
    <cellStyle name="Normal 8 7 3" xfId="5256" xr:uid="{00000000-0005-0000-0000-00005E1E0000}"/>
    <cellStyle name="Normal 8 7 3 2" xfId="13706" xr:uid="{645661B2-376E-454C-BE76-8F8C0D79EB1B}"/>
    <cellStyle name="Normal 8 7 4" xfId="17934" xr:uid="{712C6A19-EA3F-4D0E-A74D-A817910400DB}"/>
    <cellStyle name="Normal 8 7 5" xfId="18764" xr:uid="{52864A2C-A04F-41FA-BF96-BC9CF6EA32D0}"/>
    <cellStyle name="Normal 8 7 6" xfId="19593" xr:uid="{1F431252-466A-4DDF-90BF-AC843B376BAB}"/>
    <cellStyle name="Normal 8 7 7" xfId="9488" xr:uid="{760AEF5D-92B3-41E4-AC7D-22AF994DB174}"/>
    <cellStyle name="Normal 8 8" xfId="1362" xr:uid="{00000000-0005-0000-0000-00005F1E0000}"/>
    <cellStyle name="Normal 8 8 2" xfId="3592" xr:uid="{00000000-0005-0000-0000-0000601E0000}"/>
    <cellStyle name="Normal 8 8 2 2" xfId="7814" xr:uid="{00000000-0005-0000-0000-0000611E0000}"/>
    <cellStyle name="Normal 8 8 2 2 2" xfId="16264" xr:uid="{5716BA85-D0E9-429C-B5A7-0EF41D429EE5}"/>
    <cellStyle name="Normal 8 8 2 3" xfId="12046" xr:uid="{0AFFE03D-B0F1-49FE-9DEC-595C6316E43D}"/>
    <cellStyle name="Normal 8 8 3" xfId="5669" xr:uid="{00000000-0005-0000-0000-0000621E0000}"/>
    <cellStyle name="Normal 8 8 3 2" xfId="14119" xr:uid="{2A236830-0ADF-4D21-ABC0-57B860376772}"/>
    <cellStyle name="Normal 8 8 4" xfId="9901" xr:uid="{74D58BB7-0432-4109-BBF1-32A421080ACE}"/>
    <cellStyle name="Normal 8 9" xfId="1775" xr:uid="{00000000-0005-0000-0000-0000631E0000}"/>
    <cellStyle name="Normal 8 9 2" xfId="4005" xr:uid="{00000000-0005-0000-0000-0000641E0000}"/>
    <cellStyle name="Normal 8 9 2 2" xfId="8227" xr:uid="{00000000-0005-0000-0000-0000651E0000}"/>
    <cellStyle name="Normal 8 9 2 2 2" xfId="16677" xr:uid="{A0BEC12B-A33A-4E4D-9B43-23882CA52278}"/>
    <cellStyle name="Normal 8 9 2 3" xfId="12459" xr:uid="{43C1C23D-A84D-42C1-80D3-C60D9887666A}"/>
    <cellStyle name="Normal 8 9 3" xfId="6082" xr:uid="{00000000-0005-0000-0000-0000661E0000}"/>
    <cellStyle name="Normal 8 9 3 2" xfId="14532" xr:uid="{A7A7F4B6-EB56-4010-9A95-514BDA9C8733}"/>
    <cellStyle name="Normal 8 9 4" xfId="10314" xr:uid="{80F64595-C25E-4CB9-BA09-A7F44A0D540B}"/>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61E71FA8-CEA4-4B13-8C83-8FF19885E728}"/>
    <cellStyle name="Normal 9 2 10 3" xfId="11172" xr:uid="{C54AE607-FDA1-45D9-9158-2B311219B32A}"/>
    <cellStyle name="Normal 9 2 11" xfId="4875" xr:uid="{00000000-0005-0000-0000-00006B1E0000}"/>
    <cellStyle name="Normal 9 2 11 2" xfId="13325" xr:uid="{853C4ED6-5481-43D4-B423-703D3B4EA4EC}"/>
    <cellStyle name="Normal 9 2 12" xfId="17547" xr:uid="{B76C743F-4EFB-4DE7-B81E-503F0B46625A}"/>
    <cellStyle name="Normal 9 2 13" xfId="18380" xr:uid="{AACFF134-C1DA-4287-AD2D-BC973B180086}"/>
    <cellStyle name="Normal 9 2 14" xfId="19209" xr:uid="{6E651533-0ECD-455B-BB03-244831D1D8CA}"/>
    <cellStyle name="Normal 9 2 15" xfId="9107" xr:uid="{86B34F7A-6C27-462A-BE4C-28FA0C42C9B9}"/>
    <cellStyle name="Normal 9 2 2" xfId="512" xr:uid="{00000000-0005-0000-0000-00006C1E0000}"/>
    <cellStyle name="Normal 9 2 2 10" xfId="4876" xr:uid="{00000000-0005-0000-0000-00006D1E0000}"/>
    <cellStyle name="Normal 9 2 2 10 2" xfId="13326" xr:uid="{E0B1ED8A-AC01-48D0-A1C0-8187C78A02A4}"/>
    <cellStyle name="Normal 9 2 2 11" xfId="17548" xr:uid="{4CFE06A8-1214-4905-AAED-56414A4E9883}"/>
    <cellStyle name="Normal 9 2 2 12" xfId="18381" xr:uid="{F779782A-DE75-4C60-B2D7-8CE2396F1F22}"/>
    <cellStyle name="Normal 9 2 2 13" xfId="19210" xr:uid="{9D1E3995-2D7E-4E0B-B30B-E78FE7B26CA5}"/>
    <cellStyle name="Normal 9 2 2 14" xfId="9108" xr:uid="{FCE662F6-D787-47CF-A0EC-A2A7D4EF4545}"/>
    <cellStyle name="Normal 9 2 2 2" xfId="513" xr:uid="{00000000-0005-0000-0000-00006E1E0000}"/>
    <cellStyle name="Normal 9 2 2 2 10" xfId="17549" xr:uid="{7FAE08C6-D5EF-4D61-9A63-D1F08656F463}"/>
    <cellStyle name="Normal 9 2 2 2 11" xfId="18382" xr:uid="{E76F01FE-2080-4CCD-9CE2-35E62D09D5D0}"/>
    <cellStyle name="Normal 9 2 2 2 12" xfId="19211" xr:uid="{A1CE1D29-A2F8-442D-8785-E4F34F3055FB}"/>
    <cellStyle name="Normal 9 2 2 2 13" xfId="9109" xr:uid="{8256AE71-996C-46B2-8C26-946598F5DAF8}"/>
    <cellStyle name="Normal 9 2 2 2 2" xfId="514" xr:uid="{00000000-0005-0000-0000-00006F1E0000}"/>
    <cellStyle name="Normal 9 2 2 2 2 10" xfId="18383" xr:uid="{E6314E83-DC5E-42A7-9F35-6CEB4026A45D}"/>
    <cellStyle name="Normal 9 2 2 2 2 11" xfId="19212" xr:uid="{15948A08-D135-4439-A814-AB51DE25E7FE}"/>
    <cellStyle name="Normal 9 2 2 2 2 12" xfId="9110" xr:uid="{E6DCF5C0-E0F7-44E8-9F4E-5B959FB297AA}"/>
    <cellStyle name="Normal 9 2 2 2 2 2" xfId="515" xr:uid="{00000000-0005-0000-0000-0000701E0000}"/>
    <cellStyle name="Normal 9 2 2 2 2 2 10" xfId="19213" xr:uid="{2420FA07-612D-43E2-A25A-A0B2EBC6FE7C}"/>
    <cellStyle name="Normal 9 2 2 2 2 2 11" xfId="9111" xr:uid="{80230B16-02E0-42A9-A9C1-2527230B9E4C}"/>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D39D023B-71E9-44A5-8323-D3D0D39FC9F8}"/>
    <cellStyle name="Normal 9 2 2 2 2 2 2 2 3" xfId="11669" xr:uid="{A9FD518B-1DCD-4EF9-B955-0C27484AF47C}"/>
    <cellStyle name="Normal 9 2 2 2 2 2 2 3" xfId="5292" xr:uid="{00000000-0005-0000-0000-0000741E0000}"/>
    <cellStyle name="Normal 9 2 2 2 2 2 2 3 2" xfId="13742" xr:uid="{E3A825FB-4236-475A-AA1A-8FDEDD595E25}"/>
    <cellStyle name="Normal 9 2 2 2 2 2 2 4" xfId="17970" xr:uid="{C4ADA4A2-D80C-48C3-9129-637FB5BE1319}"/>
    <cellStyle name="Normal 9 2 2 2 2 2 2 5" xfId="18800" xr:uid="{91F4AC33-A5A1-4B8F-AD0D-911A0006690F}"/>
    <cellStyle name="Normal 9 2 2 2 2 2 2 6" xfId="19629" xr:uid="{83416AB5-D899-4178-82B7-1834FF7CE7D5}"/>
    <cellStyle name="Normal 9 2 2 2 2 2 2 7" xfId="9524" xr:uid="{2429171D-B5A9-4AE8-A49E-14E49F71BE34}"/>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00EACFE2-EC07-4D9F-A2B9-637CAFAD0C77}"/>
    <cellStyle name="Normal 9 2 2 2 2 2 3 2 3" xfId="12082" xr:uid="{81631933-7B8D-447C-946D-53992A5087D5}"/>
    <cellStyle name="Normal 9 2 2 2 2 2 3 3" xfId="5705" xr:uid="{00000000-0005-0000-0000-0000781E0000}"/>
    <cellStyle name="Normal 9 2 2 2 2 2 3 3 2" xfId="14155" xr:uid="{5286F569-2E1B-4E5F-BA4F-94A34A9A599C}"/>
    <cellStyle name="Normal 9 2 2 2 2 2 3 4" xfId="9937" xr:uid="{FAFCA2C6-D245-47FF-B156-6E059DCCF8C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51495D18-668B-4125-AD33-A913045FB7FE}"/>
    <cellStyle name="Normal 9 2 2 2 2 2 4 2 3" xfId="12495" xr:uid="{211B4BDB-8844-4E5F-8D25-4D3F07F6B2D9}"/>
    <cellStyle name="Normal 9 2 2 2 2 2 4 3" xfId="6118" xr:uid="{00000000-0005-0000-0000-00007C1E0000}"/>
    <cellStyle name="Normal 9 2 2 2 2 2 4 3 2" xfId="14568" xr:uid="{38AE30DE-B2CF-437B-A433-C40D35804BF9}"/>
    <cellStyle name="Normal 9 2 2 2 2 2 4 4" xfId="10350" xr:uid="{869CF6B3-EC4A-4503-937E-428877C5A8EB}"/>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A81AD923-DF09-4CB0-BF36-8032D2518CB3}"/>
    <cellStyle name="Normal 9 2 2 2 2 2 5 2 3" xfId="12908" xr:uid="{54024E42-FE00-4B64-88B5-2310095ADEEE}"/>
    <cellStyle name="Normal 9 2 2 2 2 2 5 3" xfId="6531" xr:uid="{00000000-0005-0000-0000-0000801E0000}"/>
    <cellStyle name="Normal 9 2 2 2 2 2 5 3 2" xfId="14981" xr:uid="{89DA3D30-2AEB-4B4C-82CD-15856E338C79}"/>
    <cellStyle name="Normal 9 2 2 2 2 2 5 4" xfId="10763" xr:uid="{877D8177-241C-4297-B168-B3E92FA82E35}"/>
    <cellStyle name="Normal 9 2 2 2 2 2 6" xfId="2661" xr:uid="{00000000-0005-0000-0000-0000811E0000}"/>
    <cellStyle name="Normal 9 2 2 2 2 2 6 2" xfId="6944" xr:uid="{00000000-0005-0000-0000-0000821E0000}"/>
    <cellStyle name="Normal 9 2 2 2 2 2 6 2 2" xfId="15394" xr:uid="{E622D33F-67B6-476A-A444-5736C77ABD4F}"/>
    <cellStyle name="Normal 9 2 2 2 2 2 6 3" xfId="11176" xr:uid="{E3C86A4F-5088-4949-B2F6-3CCC23EDEC2C}"/>
    <cellStyle name="Normal 9 2 2 2 2 2 7" xfId="4879" xr:uid="{00000000-0005-0000-0000-0000831E0000}"/>
    <cellStyle name="Normal 9 2 2 2 2 2 7 2" xfId="13329" xr:uid="{3BDB2B67-8AE4-4B75-8F08-6659989D3DDD}"/>
    <cellStyle name="Normal 9 2 2 2 2 2 8" xfId="17551" xr:uid="{E0CB6EC9-1A59-46E5-B384-DB3A24F0B14B}"/>
    <cellStyle name="Normal 9 2 2 2 2 2 9" xfId="18384" xr:uid="{39BD3704-E89B-4D7F-A665-7C8FA07EDF49}"/>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36FD3688-D445-4847-9203-0BBF19D5523C}"/>
    <cellStyle name="Normal 9 2 2 2 2 3 2 3" xfId="11668" xr:uid="{A39DC7C4-99EE-4498-ADE0-93685FC3848C}"/>
    <cellStyle name="Normal 9 2 2 2 2 3 3" xfId="5291" xr:uid="{00000000-0005-0000-0000-0000871E0000}"/>
    <cellStyle name="Normal 9 2 2 2 2 3 3 2" xfId="13741" xr:uid="{C6850237-D92C-446E-9F12-2B9977E5D675}"/>
    <cellStyle name="Normal 9 2 2 2 2 3 4" xfId="17969" xr:uid="{5828560F-D435-46E7-86CE-8F17A4C40684}"/>
    <cellStyle name="Normal 9 2 2 2 2 3 5" xfId="18799" xr:uid="{A05557AF-C2B6-4AC6-80F8-257AA5BCFBFA}"/>
    <cellStyle name="Normal 9 2 2 2 2 3 6" xfId="19628" xr:uid="{31E3CA87-89CF-4B9A-A41C-C64F44AF2904}"/>
    <cellStyle name="Normal 9 2 2 2 2 3 7" xfId="9523" xr:uid="{4B26F702-A9F5-4F4E-87B6-BA34EA281A66}"/>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ECA563A9-EB76-4064-A4B3-317DE93FC95B}"/>
    <cellStyle name="Normal 9 2 2 2 2 4 2 3" xfId="12081" xr:uid="{A35AB40F-8370-4704-9C29-2E48A162B3B9}"/>
    <cellStyle name="Normal 9 2 2 2 2 4 3" xfId="5704" xr:uid="{00000000-0005-0000-0000-00008B1E0000}"/>
    <cellStyle name="Normal 9 2 2 2 2 4 3 2" xfId="14154" xr:uid="{AE0C40DC-3545-41B5-BF4D-4B872A578059}"/>
    <cellStyle name="Normal 9 2 2 2 2 4 4" xfId="9936" xr:uid="{1C28D09C-026D-4C54-9A8F-6BF0DEBB8C41}"/>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EBA04A2E-4512-431A-B970-B6C357D6F5A4}"/>
    <cellStyle name="Normal 9 2 2 2 2 5 2 3" xfId="12494" xr:uid="{E0317E82-9DEB-49BC-9874-E8E742E08648}"/>
    <cellStyle name="Normal 9 2 2 2 2 5 3" xfId="6117" xr:uid="{00000000-0005-0000-0000-00008F1E0000}"/>
    <cellStyle name="Normal 9 2 2 2 2 5 3 2" xfId="14567" xr:uid="{9EE57389-4064-4C84-929B-B9BE98E32E8D}"/>
    <cellStyle name="Normal 9 2 2 2 2 5 4" xfId="10349" xr:uid="{69E5BB9E-2891-4B09-849E-4CAEBEC54E24}"/>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16BA61D4-5256-409F-B4A4-9BC56354EECF}"/>
    <cellStyle name="Normal 9 2 2 2 2 6 2 3" xfId="12907" xr:uid="{DEEF1C6B-0015-481E-B530-68E58F170D47}"/>
    <cellStyle name="Normal 9 2 2 2 2 6 3" xfId="6530" xr:uid="{00000000-0005-0000-0000-0000931E0000}"/>
    <cellStyle name="Normal 9 2 2 2 2 6 3 2" xfId="14980" xr:uid="{0A0E09A8-739B-41F4-857A-E34E3FF3A147}"/>
    <cellStyle name="Normal 9 2 2 2 2 6 4" xfId="10762" xr:uid="{70A07B79-47B3-40C2-A1DE-6542ACE52143}"/>
    <cellStyle name="Normal 9 2 2 2 2 7" xfId="2660" xr:uid="{00000000-0005-0000-0000-0000941E0000}"/>
    <cellStyle name="Normal 9 2 2 2 2 7 2" xfId="6943" xr:uid="{00000000-0005-0000-0000-0000951E0000}"/>
    <cellStyle name="Normal 9 2 2 2 2 7 2 2" xfId="15393" xr:uid="{5251E1EE-3245-4CC7-99E6-C72426DA5FA0}"/>
    <cellStyle name="Normal 9 2 2 2 2 7 3" xfId="11175" xr:uid="{86C2AD9C-70C8-4064-A61A-C6979BEAF1FE}"/>
    <cellStyle name="Normal 9 2 2 2 2 8" xfId="4878" xr:uid="{00000000-0005-0000-0000-0000961E0000}"/>
    <cellStyle name="Normal 9 2 2 2 2 8 2" xfId="13328" xr:uid="{E65DA121-D2D8-4933-BE11-A6F757B6E05C}"/>
    <cellStyle name="Normal 9 2 2 2 2 9" xfId="17550" xr:uid="{6377D04A-A132-45E6-A3C2-C8109199377B}"/>
    <cellStyle name="Normal 9 2 2 2 3" xfId="516" xr:uid="{00000000-0005-0000-0000-0000971E0000}"/>
    <cellStyle name="Normal 9 2 2 2 3 10" xfId="19214" xr:uid="{45E26B6B-FAA2-400B-9A72-876B187E6295}"/>
    <cellStyle name="Normal 9 2 2 2 3 11" xfId="9112" xr:uid="{68FF0B45-0AB9-4189-BBEF-671E0B40FC35}"/>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D44F162F-88B7-4800-833D-5A0E89E5E881}"/>
    <cellStyle name="Normal 9 2 2 2 3 2 2 3" xfId="11670" xr:uid="{869B9AB3-C272-4C72-9A09-7ADD2F58ACB9}"/>
    <cellStyle name="Normal 9 2 2 2 3 2 3" xfId="5293" xr:uid="{00000000-0005-0000-0000-00009B1E0000}"/>
    <cellStyle name="Normal 9 2 2 2 3 2 3 2" xfId="13743" xr:uid="{E66FD1D8-A3C9-492F-8EC2-84F709022BBF}"/>
    <cellStyle name="Normal 9 2 2 2 3 2 4" xfId="17971" xr:uid="{735858C9-454C-47E3-90B8-B47497FA916C}"/>
    <cellStyle name="Normal 9 2 2 2 3 2 5" xfId="18801" xr:uid="{281D0FA8-48C6-4C1C-BD98-7CBA10FA59DA}"/>
    <cellStyle name="Normal 9 2 2 2 3 2 6" xfId="19630" xr:uid="{33ECA688-FEEF-444E-BFC9-67FF4EFEEB01}"/>
    <cellStyle name="Normal 9 2 2 2 3 2 7" xfId="9525" xr:uid="{48E769FD-4086-4925-B8D9-44C3D53619DC}"/>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F1774772-55ED-4BD5-BE9D-805A5D8DB73A}"/>
    <cellStyle name="Normal 9 2 2 2 3 3 2 3" xfId="12083" xr:uid="{5F43A4A4-8184-4D00-B7CA-6A4B5054DA2E}"/>
    <cellStyle name="Normal 9 2 2 2 3 3 3" xfId="5706" xr:uid="{00000000-0005-0000-0000-00009F1E0000}"/>
    <cellStyle name="Normal 9 2 2 2 3 3 3 2" xfId="14156" xr:uid="{6A0DBB97-DE19-458E-BE8C-7099310C523F}"/>
    <cellStyle name="Normal 9 2 2 2 3 3 4" xfId="9938" xr:uid="{BB4794C6-43FB-411C-8CBE-E8763D3E9585}"/>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A7657227-C8B7-4DE5-9218-91C84CF19C3D}"/>
    <cellStyle name="Normal 9 2 2 2 3 4 2 3" xfId="12496" xr:uid="{AE6EA916-30BB-4079-A42D-710507EC8C88}"/>
    <cellStyle name="Normal 9 2 2 2 3 4 3" xfId="6119" xr:uid="{00000000-0005-0000-0000-0000A31E0000}"/>
    <cellStyle name="Normal 9 2 2 2 3 4 3 2" xfId="14569" xr:uid="{107F86DD-6686-4A85-8D80-C38EE8E69AB8}"/>
    <cellStyle name="Normal 9 2 2 2 3 4 4" xfId="10351" xr:uid="{A13E6C8E-2336-44E8-874D-B33AB827CFDB}"/>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F7B07126-D4B9-4E58-9FCE-D59A066309B7}"/>
    <cellStyle name="Normal 9 2 2 2 3 5 2 3" xfId="12909" xr:uid="{427A5DBE-BDC7-4A05-96EF-279627E7FFA2}"/>
    <cellStyle name="Normal 9 2 2 2 3 5 3" xfId="6532" xr:uid="{00000000-0005-0000-0000-0000A71E0000}"/>
    <cellStyle name="Normal 9 2 2 2 3 5 3 2" xfId="14982" xr:uid="{A4FEE491-1F55-4808-9D18-7E1634070302}"/>
    <cellStyle name="Normal 9 2 2 2 3 5 4" xfId="10764" xr:uid="{42B8F831-6B5B-4884-A9E4-A2BCE23E24E7}"/>
    <cellStyle name="Normal 9 2 2 2 3 6" xfId="2662" xr:uid="{00000000-0005-0000-0000-0000A81E0000}"/>
    <cellStyle name="Normal 9 2 2 2 3 6 2" xfId="6945" xr:uid="{00000000-0005-0000-0000-0000A91E0000}"/>
    <cellStyle name="Normal 9 2 2 2 3 6 2 2" xfId="15395" xr:uid="{DE35EB66-9046-4671-A1C6-19A933D46492}"/>
    <cellStyle name="Normal 9 2 2 2 3 6 3" xfId="11177" xr:uid="{72F25A9A-80C0-455A-832E-44926C25D601}"/>
    <cellStyle name="Normal 9 2 2 2 3 7" xfId="4880" xr:uid="{00000000-0005-0000-0000-0000AA1E0000}"/>
    <cellStyle name="Normal 9 2 2 2 3 7 2" xfId="13330" xr:uid="{10D6AC69-09D9-429F-B52C-B3AAE8FB36A8}"/>
    <cellStyle name="Normal 9 2 2 2 3 8" xfId="17552" xr:uid="{3058168C-6DBE-4D10-B196-602B93BA6FAF}"/>
    <cellStyle name="Normal 9 2 2 2 3 9" xfId="18385" xr:uid="{2E5CF496-5236-445D-A474-F56C6839B48C}"/>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C2EE3539-0C36-4275-9321-70036A12F90D}"/>
    <cellStyle name="Normal 9 2 2 2 4 2 3" xfId="11667" xr:uid="{0750F010-8BC7-4D1E-91AD-D84E36F97E36}"/>
    <cellStyle name="Normal 9 2 2 2 4 3" xfId="5290" xr:uid="{00000000-0005-0000-0000-0000AE1E0000}"/>
    <cellStyle name="Normal 9 2 2 2 4 3 2" xfId="13740" xr:uid="{48A2A1E5-70E2-4F31-9434-CC224A774E5B}"/>
    <cellStyle name="Normal 9 2 2 2 4 4" xfId="17968" xr:uid="{A4CBF3BB-5C49-4D6F-BBC4-DE44416D1D81}"/>
    <cellStyle name="Normal 9 2 2 2 4 5" xfId="18798" xr:uid="{20C18815-A6FC-40AC-8773-7ACC6B919D85}"/>
    <cellStyle name="Normal 9 2 2 2 4 6" xfId="19627" xr:uid="{540D667B-D401-408B-B0DE-B5E2C807738A}"/>
    <cellStyle name="Normal 9 2 2 2 4 7" xfId="9522" xr:uid="{30578C83-5A71-4575-830F-EA18D7ECD994}"/>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4A78E9E0-DA00-4275-94AD-EA58CD1980AD}"/>
    <cellStyle name="Normal 9 2 2 2 5 2 3" xfId="12080" xr:uid="{DE3584C7-13BF-4E0E-A9C5-B554D259E660}"/>
    <cellStyle name="Normal 9 2 2 2 5 3" xfId="5703" xr:uid="{00000000-0005-0000-0000-0000B21E0000}"/>
    <cellStyle name="Normal 9 2 2 2 5 3 2" xfId="14153" xr:uid="{04C1D930-457F-4AE6-95E8-14B73A74BB52}"/>
    <cellStyle name="Normal 9 2 2 2 5 4" xfId="9935" xr:uid="{AC42A42A-9F31-461C-8CD9-81103FE36CC5}"/>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4953A1F9-1C26-40AF-9454-133F2A85E942}"/>
    <cellStyle name="Normal 9 2 2 2 6 2 3" xfId="12493" xr:uid="{994A3089-1ED7-453C-BB26-EF8EF8B02A86}"/>
    <cellStyle name="Normal 9 2 2 2 6 3" xfId="6116" xr:uid="{00000000-0005-0000-0000-0000B61E0000}"/>
    <cellStyle name="Normal 9 2 2 2 6 3 2" xfId="14566" xr:uid="{837164A1-EFDC-414F-98DF-E3177FF73C81}"/>
    <cellStyle name="Normal 9 2 2 2 6 4" xfId="10348" xr:uid="{BA160C0C-32A0-422F-BBA2-214FE0DC8A19}"/>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995A3B0D-A3F5-4418-82D2-08BFE413087E}"/>
    <cellStyle name="Normal 9 2 2 2 7 2 3" xfId="12906" xr:uid="{CA9F2ABE-2F35-4E2F-AFAC-26C0381C6323}"/>
    <cellStyle name="Normal 9 2 2 2 7 3" xfId="6529" xr:uid="{00000000-0005-0000-0000-0000BA1E0000}"/>
    <cellStyle name="Normal 9 2 2 2 7 3 2" xfId="14979" xr:uid="{E5B5369D-C07B-446F-BDE6-9EACD8DA625B}"/>
    <cellStyle name="Normal 9 2 2 2 7 4" xfId="10761" xr:uid="{65541CE6-BECF-48C1-A06A-0CC5AEBD1202}"/>
    <cellStyle name="Normal 9 2 2 2 8" xfId="2659" xr:uid="{00000000-0005-0000-0000-0000BB1E0000}"/>
    <cellStyle name="Normal 9 2 2 2 8 2" xfId="6942" xr:uid="{00000000-0005-0000-0000-0000BC1E0000}"/>
    <cellStyle name="Normal 9 2 2 2 8 2 2" xfId="15392" xr:uid="{CE768D8F-E54F-4F5B-8B47-1DC50B440BFC}"/>
    <cellStyle name="Normal 9 2 2 2 8 3" xfId="11174" xr:uid="{319B96C4-D09D-4E0E-B9C6-EC7B5FAA9829}"/>
    <cellStyle name="Normal 9 2 2 2 9" xfId="4877" xr:uid="{00000000-0005-0000-0000-0000BD1E0000}"/>
    <cellStyle name="Normal 9 2 2 2 9 2" xfId="13327" xr:uid="{E4FD2341-C086-45E8-8CA2-09F8F00ACFB4}"/>
    <cellStyle name="Normal 9 2 2 3" xfId="517" xr:uid="{00000000-0005-0000-0000-0000BE1E0000}"/>
    <cellStyle name="Normal 9 2 2 3 10" xfId="18386" xr:uid="{CC0DFBBE-6B37-4AFB-9339-8D60246652DD}"/>
    <cellStyle name="Normal 9 2 2 3 11" xfId="19215" xr:uid="{EBA27457-E3A8-4BC0-86AE-FB26F90DD0F4}"/>
    <cellStyle name="Normal 9 2 2 3 12" xfId="9113" xr:uid="{953454BD-2FC0-4F43-8637-3DE00054285B}"/>
    <cellStyle name="Normal 9 2 2 3 2" xfId="518" xr:uid="{00000000-0005-0000-0000-0000BF1E0000}"/>
    <cellStyle name="Normal 9 2 2 3 2 10" xfId="19216" xr:uid="{1624E56A-3ECB-4906-ABE6-D6F4123248FC}"/>
    <cellStyle name="Normal 9 2 2 3 2 11" xfId="9114" xr:uid="{D883C219-A01D-4144-9F05-D740DAA25DDB}"/>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7C9B644B-6F88-4CBB-A12A-931EEDD053EB}"/>
    <cellStyle name="Normal 9 2 2 3 2 2 2 3" xfId="11672" xr:uid="{CA24BC7B-E25E-4E9A-95E1-FC77CDF6E64F}"/>
    <cellStyle name="Normal 9 2 2 3 2 2 3" xfId="5295" xr:uid="{00000000-0005-0000-0000-0000C31E0000}"/>
    <cellStyle name="Normal 9 2 2 3 2 2 3 2" xfId="13745" xr:uid="{522D9C17-64AD-47A3-AD05-9B5576F39CDC}"/>
    <cellStyle name="Normal 9 2 2 3 2 2 4" xfId="17973" xr:uid="{BA4AE822-E57F-4E6D-9573-C3A0859D7EB9}"/>
    <cellStyle name="Normal 9 2 2 3 2 2 5" xfId="18803" xr:uid="{9F23C676-7A9C-4501-B5B1-16315BF50FF6}"/>
    <cellStyle name="Normal 9 2 2 3 2 2 6" xfId="19632" xr:uid="{B552227C-4800-4A4B-AAC8-BF8D8A8F50E3}"/>
    <cellStyle name="Normal 9 2 2 3 2 2 7" xfId="9527" xr:uid="{5F1EEFAE-DC79-441A-A23F-EAF257EB032D}"/>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5260E2E9-4F25-4F18-A7B1-43F2F39DF96D}"/>
    <cellStyle name="Normal 9 2 2 3 2 3 2 3" xfId="12085" xr:uid="{38060AD4-C3D9-4DF7-9337-C91B4A3889D5}"/>
    <cellStyle name="Normal 9 2 2 3 2 3 3" xfId="5708" xr:uid="{00000000-0005-0000-0000-0000C71E0000}"/>
    <cellStyle name="Normal 9 2 2 3 2 3 3 2" xfId="14158" xr:uid="{0BE6C027-69E3-46E5-8640-7560EB6EF0D2}"/>
    <cellStyle name="Normal 9 2 2 3 2 3 4" xfId="9940" xr:uid="{E279180B-ED5F-4B5C-8099-FC66BA237ACB}"/>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A2AA842F-823D-4A76-8B04-A6B5C178A5BD}"/>
    <cellStyle name="Normal 9 2 2 3 2 4 2 3" xfId="12498" xr:uid="{8DF8F33E-3A9E-4D9B-A42C-68CDAEB2D4BD}"/>
    <cellStyle name="Normal 9 2 2 3 2 4 3" xfId="6121" xr:uid="{00000000-0005-0000-0000-0000CB1E0000}"/>
    <cellStyle name="Normal 9 2 2 3 2 4 3 2" xfId="14571" xr:uid="{E995963A-74B4-4C2F-9A71-4FCDE884117D}"/>
    <cellStyle name="Normal 9 2 2 3 2 4 4" xfId="10353" xr:uid="{7F86D91D-60A8-405D-ABA8-114B1C95B824}"/>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0A0CF3B1-E828-47A4-B4D9-9B209517B5FE}"/>
    <cellStyle name="Normal 9 2 2 3 2 5 2 3" xfId="12911" xr:uid="{E190C4AF-7D43-4AE5-8A6C-18017F952262}"/>
    <cellStyle name="Normal 9 2 2 3 2 5 3" xfId="6534" xr:uid="{00000000-0005-0000-0000-0000CF1E0000}"/>
    <cellStyle name="Normal 9 2 2 3 2 5 3 2" xfId="14984" xr:uid="{C710036B-124F-43C0-A9BC-A0C8CBBE2566}"/>
    <cellStyle name="Normal 9 2 2 3 2 5 4" xfId="10766" xr:uid="{E3854493-1191-40E8-B253-77C49B547DFA}"/>
    <cellStyle name="Normal 9 2 2 3 2 6" xfId="2664" xr:uid="{00000000-0005-0000-0000-0000D01E0000}"/>
    <cellStyle name="Normal 9 2 2 3 2 6 2" xfId="6947" xr:uid="{00000000-0005-0000-0000-0000D11E0000}"/>
    <cellStyle name="Normal 9 2 2 3 2 6 2 2" xfId="15397" xr:uid="{8CB92BA2-6942-4768-A088-00A257D59834}"/>
    <cellStyle name="Normal 9 2 2 3 2 6 3" xfId="11179" xr:uid="{99EBEA16-EE20-44D8-B7C9-D9765C2F85FD}"/>
    <cellStyle name="Normal 9 2 2 3 2 7" xfId="4882" xr:uid="{00000000-0005-0000-0000-0000D21E0000}"/>
    <cellStyle name="Normal 9 2 2 3 2 7 2" xfId="13332" xr:uid="{4724EB00-CF2A-4E93-8CBA-863114F1BD27}"/>
    <cellStyle name="Normal 9 2 2 3 2 8" xfId="17554" xr:uid="{2F6A65A3-4247-41D8-91F6-2366288F5330}"/>
    <cellStyle name="Normal 9 2 2 3 2 9" xfId="18387" xr:uid="{1F99539C-4A24-4484-9BD2-B9F3FB60F753}"/>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EF2DC40E-D36D-422F-A591-BE6FAE7FDBA7}"/>
    <cellStyle name="Normal 9 2 2 3 3 2 3" xfId="11671" xr:uid="{232CC072-4F37-4613-BB7A-C07CA501DAD3}"/>
    <cellStyle name="Normal 9 2 2 3 3 3" xfId="5294" xr:uid="{00000000-0005-0000-0000-0000D61E0000}"/>
    <cellStyle name="Normal 9 2 2 3 3 3 2" xfId="13744" xr:uid="{1BD8A024-1091-4770-AD6A-8476BD7EC9AF}"/>
    <cellStyle name="Normal 9 2 2 3 3 4" xfId="17972" xr:uid="{7B06D8F0-985C-458F-9B16-53252AEF16EC}"/>
    <cellStyle name="Normal 9 2 2 3 3 5" xfId="18802" xr:uid="{E077B8BA-15AC-44D9-8266-B8A7A4D8F4A5}"/>
    <cellStyle name="Normal 9 2 2 3 3 6" xfId="19631" xr:uid="{595142DC-9204-4BF0-AF8B-9A97EE903013}"/>
    <cellStyle name="Normal 9 2 2 3 3 7" xfId="9526" xr:uid="{B1F2C6BE-2C3A-4015-8535-2549158B3935}"/>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C324BB27-685F-49D4-B7F9-DC4F815B8DE3}"/>
    <cellStyle name="Normal 9 2 2 3 4 2 3" xfId="12084" xr:uid="{88309B89-FBAA-40FB-B7B0-64430267B1FD}"/>
    <cellStyle name="Normal 9 2 2 3 4 3" xfId="5707" xr:uid="{00000000-0005-0000-0000-0000DA1E0000}"/>
    <cellStyle name="Normal 9 2 2 3 4 3 2" xfId="14157" xr:uid="{9F51FB62-4849-4358-B051-84CFE42C14EB}"/>
    <cellStyle name="Normal 9 2 2 3 4 4" xfId="9939" xr:uid="{28B46E7A-809C-426C-9AD5-9733CCD2AA66}"/>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F4B1CA90-74FA-4763-AF50-4B95FDC4E9A6}"/>
    <cellStyle name="Normal 9 2 2 3 5 2 3" xfId="12497" xr:uid="{BD020E06-71BC-4289-847C-BB1207104D96}"/>
    <cellStyle name="Normal 9 2 2 3 5 3" xfId="6120" xr:uid="{00000000-0005-0000-0000-0000DE1E0000}"/>
    <cellStyle name="Normal 9 2 2 3 5 3 2" xfId="14570" xr:uid="{78069733-9526-4677-AF98-E62AEF5D4A93}"/>
    <cellStyle name="Normal 9 2 2 3 5 4" xfId="10352" xr:uid="{8B620C52-1934-4B71-A913-ED4882B11CBD}"/>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376F9610-4EC6-4D49-B31F-674574A31A3D}"/>
    <cellStyle name="Normal 9 2 2 3 6 2 3" xfId="12910" xr:uid="{10553F82-0680-4F80-86C6-CEF1703C88FB}"/>
    <cellStyle name="Normal 9 2 2 3 6 3" xfId="6533" xr:uid="{00000000-0005-0000-0000-0000E21E0000}"/>
    <cellStyle name="Normal 9 2 2 3 6 3 2" xfId="14983" xr:uid="{C740998A-A878-48FC-B2B5-1B311609FB4A}"/>
    <cellStyle name="Normal 9 2 2 3 6 4" xfId="10765" xr:uid="{DF4A43B7-0607-4294-971F-A5B2E05C5333}"/>
    <cellStyle name="Normal 9 2 2 3 7" xfId="2663" xr:uid="{00000000-0005-0000-0000-0000E31E0000}"/>
    <cellStyle name="Normal 9 2 2 3 7 2" xfId="6946" xr:uid="{00000000-0005-0000-0000-0000E41E0000}"/>
    <cellStyle name="Normal 9 2 2 3 7 2 2" xfId="15396" xr:uid="{3FEFB052-F060-4233-857E-B0E1BF5E1566}"/>
    <cellStyle name="Normal 9 2 2 3 7 3" xfId="11178" xr:uid="{9C887A5C-B0AE-404F-861B-D5C0C7C9FB1B}"/>
    <cellStyle name="Normal 9 2 2 3 8" xfId="4881" xr:uid="{00000000-0005-0000-0000-0000E51E0000}"/>
    <cellStyle name="Normal 9 2 2 3 8 2" xfId="13331" xr:uid="{31FD6A7B-147C-4496-8396-14E525719FC7}"/>
    <cellStyle name="Normal 9 2 2 3 9" xfId="17553" xr:uid="{5CB54EA7-D605-43E6-9F92-CC729C808013}"/>
    <cellStyle name="Normal 9 2 2 4" xfId="519" xr:uid="{00000000-0005-0000-0000-0000E61E0000}"/>
    <cellStyle name="Normal 9 2 2 4 10" xfId="19217" xr:uid="{E003A5E9-62C8-42B9-A597-A63ED5892B51}"/>
    <cellStyle name="Normal 9 2 2 4 11" xfId="9115" xr:uid="{4FF37506-EC39-4D2D-A9F9-5578613B6F1A}"/>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4AFC5104-4174-4A9E-A1DA-A22F7198DB82}"/>
    <cellStyle name="Normal 9 2 2 4 2 2 3" xfId="11673" xr:uid="{288CD5ED-F049-42CB-BE90-891D46A6D7CF}"/>
    <cellStyle name="Normal 9 2 2 4 2 3" xfId="5296" xr:uid="{00000000-0005-0000-0000-0000EA1E0000}"/>
    <cellStyle name="Normal 9 2 2 4 2 3 2" xfId="13746" xr:uid="{F97497BA-E74B-4D51-B39B-BD70CCF78A44}"/>
    <cellStyle name="Normal 9 2 2 4 2 4" xfId="17974" xr:uid="{EF019A08-1271-465B-8E18-53159EB8F967}"/>
    <cellStyle name="Normal 9 2 2 4 2 5" xfId="18804" xr:uid="{9E70F4F9-031B-410E-98BB-29092F81CBBB}"/>
    <cellStyle name="Normal 9 2 2 4 2 6" xfId="19633" xr:uid="{606BC489-77C1-4227-8A93-498C529EDCF3}"/>
    <cellStyle name="Normal 9 2 2 4 2 7" xfId="9528" xr:uid="{B3B4C032-BE0D-4694-825D-ECDF1DF711DE}"/>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5F998C57-A7B7-4972-B013-AEF8CB2A8F5C}"/>
    <cellStyle name="Normal 9 2 2 4 3 2 3" xfId="12086" xr:uid="{C61C2998-52BB-4F15-84BB-E5F22CEEE5AC}"/>
    <cellStyle name="Normal 9 2 2 4 3 3" xfId="5709" xr:uid="{00000000-0005-0000-0000-0000EE1E0000}"/>
    <cellStyle name="Normal 9 2 2 4 3 3 2" xfId="14159" xr:uid="{3703A8B9-208B-48C0-B5B6-8B30E4487D51}"/>
    <cellStyle name="Normal 9 2 2 4 3 4" xfId="9941" xr:uid="{1D5F4AE9-8887-47C0-A97A-E56C6D2BF7D6}"/>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EC25D941-8F4C-45FF-84FD-B57058264BAE}"/>
    <cellStyle name="Normal 9 2 2 4 4 2 3" xfId="12499" xr:uid="{FAA05BA7-FF1F-42E0-8192-CC627AF2FC17}"/>
    <cellStyle name="Normal 9 2 2 4 4 3" xfId="6122" xr:uid="{00000000-0005-0000-0000-0000F21E0000}"/>
    <cellStyle name="Normal 9 2 2 4 4 3 2" xfId="14572" xr:uid="{25CCA50A-F6AB-47A8-98F4-22AA957BF644}"/>
    <cellStyle name="Normal 9 2 2 4 4 4" xfId="10354" xr:uid="{C860EC7F-B2F6-4A42-ACD8-5B122E6A262E}"/>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ABA5A196-3DA6-439F-BDA5-40B88D553A7C}"/>
    <cellStyle name="Normal 9 2 2 4 5 2 3" xfId="12912" xr:uid="{C59D1B6E-8CFB-43D0-AC2B-2951805C2A1C}"/>
    <cellStyle name="Normal 9 2 2 4 5 3" xfId="6535" xr:uid="{00000000-0005-0000-0000-0000F61E0000}"/>
    <cellStyle name="Normal 9 2 2 4 5 3 2" xfId="14985" xr:uid="{79DD58E0-8BB3-4E6C-8910-C7ADB8C16278}"/>
    <cellStyle name="Normal 9 2 2 4 5 4" xfId="10767" xr:uid="{7D767334-1073-4550-80FE-2287F7FFFF7E}"/>
    <cellStyle name="Normal 9 2 2 4 6" xfId="2665" xr:uid="{00000000-0005-0000-0000-0000F71E0000}"/>
    <cellStyle name="Normal 9 2 2 4 6 2" xfId="6948" xr:uid="{00000000-0005-0000-0000-0000F81E0000}"/>
    <cellStyle name="Normal 9 2 2 4 6 2 2" xfId="15398" xr:uid="{10D4D693-037D-4E22-819F-5B1D61F4D23B}"/>
    <cellStyle name="Normal 9 2 2 4 6 3" xfId="11180" xr:uid="{BBFECDFE-EA72-4522-BCAD-8C322AC88585}"/>
    <cellStyle name="Normal 9 2 2 4 7" xfId="4883" xr:uid="{00000000-0005-0000-0000-0000F91E0000}"/>
    <cellStyle name="Normal 9 2 2 4 7 2" xfId="13333" xr:uid="{8ED91249-F789-40E0-84EE-6818D4864810}"/>
    <cellStyle name="Normal 9 2 2 4 8" xfId="17555" xr:uid="{3A77AEE4-EED1-40C8-9245-573AABBDAE8D}"/>
    <cellStyle name="Normal 9 2 2 4 9" xfId="18388" xr:uid="{E121CEF7-FC91-4974-A433-696CAD8023DE}"/>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CBD7B471-EE62-4D37-8C2A-4E89E735D4BD}"/>
    <cellStyle name="Normal 9 2 2 5 2 3" xfId="11666" xr:uid="{AEB8153C-D4A4-470B-96CE-EB063D008AE7}"/>
    <cellStyle name="Normal 9 2 2 5 3" xfId="5289" xr:uid="{00000000-0005-0000-0000-0000FD1E0000}"/>
    <cellStyle name="Normal 9 2 2 5 3 2" xfId="13739" xr:uid="{E1C2E24A-F0EA-45F5-B688-6A48E1FDC269}"/>
    <cellStyle name="Normal 9 2 2 5 4" xfId="17967" xr:uid="{26FC7254-41B5-470B-823B-9CFF93AD0351}"/>
    <cellStyle name="Normal 9 2 2 5 5" xfId="18797" xr:uid="{953DFBBA-F287-44EE-A79A-8C738BA8F396}"/>
    <cellStyle name="Normal 9 2 2 5 6" xfId="19626" xr:uid="{5186279B-54FB-44D9-A425-A00C8AD01A64}"/>
    <cellStyle name="Normal 9 2 2 5 7" xfId="9521" xr:uid="{59272C8A-9A7C-4505-91B9-44E862A34C42}"/>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4F53FD43-BA85-4631-AF2C-167B51ECAC23}"/>
    <cellStyle name="Normal 9 2 2 6 2 3" xfId="12079" xr:uid="{FB535BF3-B400-47F4-BAC5-0E736AC06676}"/>
    <cellStyle name="Normal 9 2 2 6 3" xfId="5702" xr:uid="{00000000-0005-0000-0000-0000011F0000}"/>
    <cellStyle name="Normal 9 2 2 6 3 2" xfId="14152" xr:uid="{991871B8-5979-4EFE-9B59-9F96C88E2FA7}"/>
    <cellStyle name="Normal 9 2 2 6 4" xfId="9934" xr:uid="{7A918059-9F62-48E9-8D4C-2CA55093A1D6}"/>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E33F6FCD-AE98-4032-BBC3-AE6ED6F10590}"/>
    <cellStyle name="Normal 9 2 2 7 2 3" xfId="12492" xr:uid="{AE4E9EDB-B47E-4EB4-88F6-8581169A5FE8}"/>
    <cellStyle name="Normal 9 2 2 7 3" xfId="6115" xr:uid="{00000000-0005-0000-0000-0000051F0000}"/>
    <cellStyle name="Normal 9 2 2 7 3 2" xfId="14565" xr:uid="{62873153-4B6F-4850-B963-9A9C7FC933BC}"/>
    <cellStyle name="Normal 9 2 2 7 4" xfId="10347" xr:uid="{E04801D3-4E42-4237-B570-3E84FE075559}"/>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6D7231A6-C5B2-48A6-8962-58C8FB809B68}"/>
    <cellStyle name="Normal 9 2 2 8 2 3" xfId="12905" xr:uid="{133984EC-36FB-471D-81B2-9093D351C893}"/>
    <cellStyle name="Normal 9 2 2 8 3" xfId="6528" xr:uid="{00000000-0005-0000-0000-0000091F0000}"/>
    <cellStyle name="Normal 9 2 2 8 3 2" xfId="14978" xr:uid="{CE6E31A9-2D09-474B-8E38-78AA6491DE66}"/>
    <cellStyle name="Normal 9 2 2 8 4" xfId="10760" xr:uid="{ADD002ED-0A4C-410E-B5AF-EA2025038318}"/>
    <cellStyle name="Normal 9 2 2 9" xfId="2658" xr:uid="{00000000-0005-0000-0000-00000A1F0000}"/>
    <cellStyle name="Normal 9 2 2 9 2" xfId="6941" xr:uid="{00000000-0005-0000-0000-00000B1F0000}"/>
    <cellStyle name="Normal 9 2 2 9 2 2" xfId="15391" xr:uid="{9415D76A-CCD9-4AE5-B0CB-C7065BA040EC}"/>
    <cellStyle name="Normal 9 2 2 9 3" xfId="11173" xr:uid="{9CB636AD-2248-4CB7-BCC7-F32C2611F6D2}"/>
    <cellStyle name="Normal 9 2 3" xfId="520" xr:uid="{00000000-0005-0000-0000-00000C1F0000}"/>
    <cellStyle name="Normal 9 2 3 10" xfId="17556" xr:uid="{95E52B8F-2EE4-4A9D-AD09-1939DDCDC0E4}"/>
    <cellStyle name="Normal 9 2 3 11" xfId="18389" xr:uid="{2A60C21B-43BE-4F36-9821-54D84CFC27B4}"/>
    <cellStyle name="Normal 9 2 3 12" xfId="19218" xr:uid="{34191F25-7702-4BA4-BB32-DF91D27EA80C}"/>
    <cellStyle name="Normal 9 2 3 13" xfId="9116" xr:uid="{B45DB7A7-B4C4-492C-BA2D-00248EC0AB64}"/>
    <cellStyle name="Normal 9 2 3 2" xfId="521" xr:uid="{00000000-0005-0000-0000-00000D1F0000}"/>
    <cellStyle name="Normal 9 2 3 2 10" xfId="18390" xr:uid="{DF411FE6-A08A-47C4-89E3-18F1F565DA7B}"/>
    <cellStyle name="Normal 9 2 3 2 11" xfId="19219" xr:uid="{2C6472F9-1679-4304-9FFE-D2408DCDD50F}"/>
    <cellStyle name="Normal 9 2 3 2 12" xfId="9117" xr:uid="{47669659-B7C5-4C76-B022-D34A7D459FEE}"/>
    <cellStyle name="Normal 9 2 3 2 2" xfId="522" xr:uid="{00000000-0005-0000-0000-00000E1F0000}"/>
    <cellStyle name="Normal 9 2 3 2 2 10" xfId="19220" xr:uid="{029C52E7-8B3A-4E8E-9356-D2C3F51A2634}"/>
    <cellStyle name="Normal 9 2 3 2 2 11" xfId="9118" xr:uid="{C3146D6A-AF53-41A0-91D0-11306E1E1E33}"/>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ED411E69-AE37-4203-92E2-F5477F0B3108}"/>
    <cellStyle name="Normal 9 2 3 2 2 2 2 3" xfId="11676" xr:uid="{1F21874B-2307-4C0E-97A9-341C0678CB1D}"/>
    <cellStyle name="Normal 9 2 3 2 2 2 3" xfId="5299" xr:uid="{00000000-0005-0000-0000-0000121F0000}"/>
    <cellStyle name="Normal 9 2 3 2 2 2 3 2" xfId="13749" xr:uid="{5896129A-5F19-4A59-A9FB-B77CFA3D464C}"/>
    <cellStyle name="Normal 9 2 3 2 2 2 4" xfId="17977" xr:uid="{E9B26520-AA63-4F39-A538-945D5C3023F3}"/>
    <cellStyle name="Normal 9 2 3 2 2 2 5" xfId="18807" xr:uid="{66BDE906-0DA5-40D5-AFE4-B3AAC5017F6C}"/>
    <cellStyle name="Normal 9 2 3 2 2 2 6" xfId="19636" xr:uid="{83F11372-F106-42CD-B409-9BD0322AB26C}"/>
    <cellStyle name="Normal 9 2 3 2 2 2 7" xfId="9531" xr:uid="{6CD8205B-6417-4713-B98F-D369C595573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F36DF091-E7F7-46CF-BE48-F37A436CE1BE}"/>
    <cellStyle name="Normal 9 2 3 2 2 3 2 3" xfId="12089" xr:uid="{7A786C12-C18D-4F8C-ABC2-6918F14726C5}"/>
    <cellStyle name="Normal 9 2 3 2 2 3 3" xfId="5712" xr:uid="{00000000-0005-0000-0000-0000161F0000}"/>
    <cellStyle name="Normal 9 2 3 2 2 3 3 2" xfId="14162" xr:uid="{F64EFD78-4B6A-4803-BC9B-1E382822E13D}"/>
    <cellStyle name="Normal 9 2 3 2 2 3 4" xfId="9944" xr:uid="{69592310-703D-4B3F-9E3B-47047F15AB1E}"/>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7C104EA2-10BC-485A-ACBA-24D24882C318}"/>
    <cellStyle name="Normal 9 2 3 2 2 4 2 3" xfId="12502" xr:uid="{6396C2AE-1325-4D1E-878B-F9A978C7FD82}"/>
    <cellStyle name="Normal 9 2 3 2 2 4 3" xfId="6125" xr:uid="{00000000-0005-0000-0000-00001A1F0000}"/>
    <cellStyle name="Normal 9 2 3 2 2 4 3 2" xfId="14575" xr:uid="{93F4B5E1-1C83-488C-BF05-C71F6F252DF1}"/>
    <cellStyle name="Normal 9 2 3 2 2 4 4" xfId="10357" xr:uid="{015C2AC0-5DE0-4483-BBEC-3DB340E3E536}"/>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1AFC111E-D786-4FF3-A00C-2354DE1BAE66}"/>
    <cellStyle name="Normal 9 2 3 2 2 5 2 3" xfId="12915" xr:uid="{670F69FF-087F-4260-B4D7-EC2E27D77190}"/>
    <cellStyle name="Normal 9 2 3 2 2 5 3" xfId="6538" xr:uid="{00000000-0005-0000-0000-00001E1F0000}"/>
    <cellStyle name="Normal 9 2 3 2 2 5 3 2" xfId="14988" xr:uid="{A9BD0959-DB8B-48CC-BB92-1F4A530A749C}"/>
    <cellStyle name="Normal 9 2 3 2 2 5 4" xfId="10770" xr:uid="{06A3CC13-EECF-4BAD-9DF9-FB728D1291DA}"/>
    <cellStyle name="Normal 9 2 3 2 2 6" xfId="2668" xr:uid="{00000000-0005-0000-0000-00001F1F0000}"/>
    <cellStyle name="Normal 9 2 3 2 2 6 2" xfId="6951" xr:uid="{00000000-0005-0000-0000-0000201F0000}"/>
    <cellStyle name="Normal 9 2 3 2 2 6 2 2" xfId="15401" xr:uid="{8D77C133-E473-4230-B589-4DDB781BEACC}"/>
    <cellStyle name="Normal 9 2 3 2 2 6 3" xfId="11183" xr:uid="{8809114E-7972-4510-9314-C11A0AF679A5}"/>
    <cellStyle name="Normal 9 2 3 2 2 7" xfId="4886" xr:uid="{00000000-0005-0000-0000-0000211F0000}"/>
    <cellStyle name="Normal 9 2 3 2 2 7 2" xfId="13336" xr:uid="{2E744620-31C9-40CF-9EFF-67B1D1453ED6}"/>
    <cellStyle name="Normal 9 2 3 2 2 8" xfId="17558" xr:uid="{120F9A63-172C-44D3-B7C1-C42079DE7C10}"/>
    <cellStyle name="Normal 9 2 3 2 2 9" xfId="18391" xr:uid="{21563345-E953-4818-8D19-2EA6D72A9E4A}"/>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B82E606D-1AA3-41E6-A741-A47FC2D5BF04}"/>
    <cellStyle name="Normal 9 2 3 2 3 2 3" xfId="11675" xr:uid="{EABEDC46-6D01-4EBF-B535-D670CBC2E1E5}"/>
    <cellStyle name="Normal 9 2 3 2 3 3" xfId="5298" xr:uid="{00000000-0005-0000-0000-0000251F0000}"/>
    <cellStyle name="Normal 9 2 3 2 3 3 2" xfId="13748" xr:uid="{04269B3B-AD12-47E5-BB40-10B3BD7BB430}"/>
    <cellStyle name="Normal 9 2 3 2 3 4" xfId="17976" xr:uid="{FD32DD17-50FE-4880-86EA-8D95EA70CAF1}"/>
    <cellStyle name="Normal 9 2 3 2 3 5" xfId="18806" xr:uid="{6BFA4936-B1FE-4C84-B363-C568D3390B2E}"/>
    <cellStyle name="Normal 9 2 3 2 3 6" xfId="19635" xr:uid="{CD63788B-AC48-44CA-B88C-18F75E0F243D}"/>
    <cellStyle name="Normal 9 2 3 2 3 7" xfId="9530" xr:uid="{6F6DFFF2-AE04-4DB1-9B7E-93646E2FD1A0}"/>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FC2DE530-69D8-42BF-B6D9-0E0C9ED4E6E0}"/>
    <cellStyle name="Normal 9 2 3 2 4 2 3" xfId="12088" xr:uid="{87721BC1-7F47-49EA-9290-1415A636ED56}"/>
    <cellStyle name="Normal 9 2 3 2 4 3" xfId="5711" xr:uid="{00000000-0005-0000-0000-0000291F0000}"/>
    <cellStyle name="Normal 9 2 3 2 4 3 2" xfId="14161" xr:uid="{2ED8AEE8-7478-4025-B55E-05E1253153EE}"/>
    <cellStyle name="Normal 9 2 3 2 4 4" xfId="9943" xr:uid="{FD48C09D-3A75-4FA4-B903-358226ACF501}"/>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ED4D67E5-D3A4-4BC9-843D-64C92315034E}"/>
    <cellStyle name="Normal 9 2 3 2 5 2 3" xfId="12501" xr:uid="{7A2FB4DA-5DE7-448B-9C26-17FD1DB5BDC1}"/>
    <cellStyle name="Normal 9 2 3 2 5 3" xfId="6124" xr:uid="{00000000-0005-0000-0000-00002D1F0000}"/>
    <cellStyle name="Normal 9 2 3 2 5 3 2" xfId="14574" xr:uid="{0A418687-F031-4B35-83A6-497113C187E8}"/>
    <cellStyle name="Normal 9 2 3 2 5 4" xfId="10356" xr:uid="{3569A16B-911D-4739-9CCA-C5971BE493D2}"/>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A8678B32-B114-4BEC-B516-52213CB2F14A}"/>
    <cellStyle name="Normal 9 2 3 2 6 2 3" xfId="12914" xr:uid="{EA0D9B94-E858-42BC-A1E9-0D0C45DA7FF0}"/>
    <cellStyle name="Normal 9 2 3 2 6 3" xfId="6537" xr:uid="{00000000-0005-0000-0000-0000311F0000}"/>
    <cellStyle name="Normal 9 2 3 2 6 3 2" xfId="14987" xr:uid="{D3F7CBAD-9D55-4C4A-A6B9-D8277947D594}"/>
    <cellStyle name="Normal 9 2 3 2 6 4" xfId="10769" xr:uid="{236D77E6-3AE9-4E59-9F76-EF968BAA0326}"/>
    <cellStyle name="Normal 9 2 3 2 7" xfId="2667" xr:uid="{00000000-0005-0000-0000-0000321F0000}"/>
    <cellStyle name="Normal 9 2 3 2 7 2" xfId="6950" xr:uid="{00000000-0005-0000-0000-0000331F0000}"/>
    <cellStyle name="Normal 9 2 3 2 7 2 2" xfId="15400" xr:uid="{6B5E4510-42FB-44BF-AB9D-74BE0BB73686}"/>
    <cellStyle name="Normal 9 2 3 2 7 3" xfId="11182" xr:uid="{73DD812E-3887-4237-94EF-00D7C1ACCDB3}"/>
    <cellStyle name="Normal 9 2 3 2 8" xfId="4885" xr:uid="{00000000-0005-0000-0000-0000341F0000}"/>
    <cellStyle name="Normal 9 2 3 2 8 2" xfId="13335" xr:uid="{7753BF94-3359-4970-AB3E-244D1BBEB8C9}"/>
    <cellStyle name="Normal 9 2 3 2 9" xfId="17557" xr:uid="{9F158D6C-C8BF-4582-971B-5C79BB39DBC8}"/>
    <cellStyle name="Normal 9 2 3 3" xfId="523" xr:uid="{00000000-0005-0000-0000-0000351F0000}"/>
    <cellStyle name="Normal 9 2 3 3 10" xfId="19221" xr:uid="{52550B44-A5AF-4ED6-9BF8-C428F63E0B5C}"/>
    <cellStyle name="Normal 9 2 3 3 11" xfId="9119" xr:uid="{83231CC4-B483-4B46-9A80-5CF9E2487063}"/>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0722F370-A5AE-4583-A0DC-C160D84CC1B1}"/>
    <cellStyle name="Normal 9 2 3 3 2 2 3" xfId="11677" xr:uid="{BC5E8957-F0C2-4E64-A6FB-3ED7141BBE6E}"/>
    <cellStyle name="Normal 9 2 3 3 2 3" xfId="5300" xr:uid="{00000000-0005-0000-0000-0000391F0000}"/>
    <cellStyle name="Normal 9 2 3 3 2 3 2" xfId="13750" xr:uid="{56CC1B72-98B7-4185-8334-3903FC6A9652}"/>
    <cellStyle name="Normal 9 2 3 3 2 4" xfId="17978" xr:uid="{7E8A3FDC-71D8-4462-BD36-A585E439472C}"/>
    <cellStyle name="Normal 9 2 3 3 2 5" xfId="18808" xr:uid="{46116CA9-7E14-4AEE-9E65-CDD3D3FBACCA}"/>
    <cellStyle name="Normal 9 2 3 3 2 6" xfId="19637" xr:uid="{17AC47C1-2FBA-4AA5-98D4-D034E66CFFD2}"/>
    <cellStyle name="Normal 9 2 3 3 2 7" xfId="9532" xr:uid="{5DA702AE-A63F-470A-AE73-0756B7813FAB}"/>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2C6E7C9A-3ED0-4539-8ABD-4286D602C5C1}"/>
    <cellStyle name="Normal 9 2 3 3 3 2 3" xfId="12090" xr:uid="{DE21A538-A3AD-4B39-A8DE-7C1ADC904EF2}"/>
    <cellStyle name="Normal 9 2 3 3 3 3" xfId="5713" xr:uid="{00000000-0005-0000-0000-00003D1F0000}"/>
    <cellStyle name="Normal 9 2 3 3 3 3 2" xfId="14163" xr:uid="{C7DC890F-09EC-4AD5-AD8C-553EAC673300}"/>
    <cellStyle name="Normal 9 2 3 3 3 4" xfId="9945" xr:uid="{45EA7D97-80D1-48FB-A59E-FE853D39B3FD}"/>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A7D9ED63-8AC3-4380-8A48-0F36770A5AE0}"/>
    <cellStyle name="Normal 9 2 3 3 4 2 3" xfId="12503" xr:uid="{36B31804-AABB-43AE-807C-5221EA0712A6}"/>
    <cellStyle name="Normal 9 2 3 3 4 3" xfId="6126" xr:uid="{00000000-0005-0000-0000-0000411F0000}"/>
    <cellStyle name="Normal 9 2 3 3 4 3 2" xfId="14576" xr:uid="{A056485C-4ED5-49C0-9B4E-98AB5111158B}"/>
    <cellStyle name="Normal 9 2 3 3 4 4" xfId="10358" xr:uid="{F5665A9C-D1C7-4679-A6F7-8FCB1A0795E4}"/>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A03EEC5E-48D5-49F1-AD5C-EEC40DFB4E03}"/>
    <cellStyle name="Normal 9 2 3 3 5 2 3" xfId="12916" xr:uid="{E66A2BF6-BA8E-4F4D-AF70-4313C59B76A3}"/>
    <cellStyle name="Normal 9 2 3 3 5 3" xfId="6539" xr:uid="{00000000-0005-0000-0000-0000451F0000}"/>
    <cellStyle name="Normal 9 2 3 3 5 3 2" xfId="14989" xr:uid="{85809E87-78DC-4C30-913B-0BA582418C0B}"/>
    <cellStyle name="Normal 9 2 3 3 5 4" xfId="10771" xr:uid="{E0F965C4-4A9D-475C-95DD-3239BA5455C2}"/>
    <cellStyle name="Normal 9 2 3 3 6" xfId="2669" xr:uid="{00000000-0005-0000-0000-0000461F0000}"/>
    <cellStyle name="Normal 9 2 3 3 6 2" xfId="6952" xr:uid="{00000000-0005-0000-0000-0000471F0000}"/>
    <cellStyle name="Normal 9 2 3 3 6 2 2" xfId="15402" xr:uid="{88C14C12-192B-4250-9478-ADF693EE7639}"/>
    <cellStyle name="Normal 9 2 3 3 6 3" xfId="11184" xr:uid="{E0B0CE8A-84D3-44DD-82B6-A8AEA3D8EB6D}"/>
    <cellStyle name="Normal 9 2 3 3 7" xfId="4887" xr:uid="{00000000-0005-0000-0000-0000481F0000}"/>
    <cellStyle name="Normal 9 2 3 3 7 2" xfId="13337" xr:uid="{A4C0059E-C640-4D9C-A1EE-0EE04CA98DF6}"/>
    <cellStyle name="Normal 9 2 3 3 8" xfId="17559" xr:uid="{6D9EEB61-4CC7-4DF2-822B-FF1E49DBE157}"/>
    <cellStyle name="Normal 9 2 3 3 9" xfId="18392" xr:uid="{3FC083F3-AA62-4306-BB98-66F97C7C94C5}"/>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CA00B3E2-2D48-4625-8F89-ED7A2B4E5ACC}"/>
    <cellStyle name="Normal 9 2 3 4 2 3" xfId="11674" xr:uid="{76A4AB7A-2537-4AEA-A219-0E1D68D0ADA5}"/>
    <cellStyle name="Normal 9 2 3 4 3" xfId="5297" xr:uid="{00000000-0005-0000-0000-00004C1F0000}"/>
    <cellStyle name="Normal 9 2 3 4 3 2" xfId="13747" xr:uid="{439BCACF-86E2-4F53-BC92-2961930A35CD}"/>
    <cellStyle name="Normal 9 2 3 4 4" xfId="17975" xr:uid="{E9C4CAC1-30E9-4197-ADB4-DED227695B86}"/>
    <cellStyle name="Normal 9 2 3 4 5" xfId="18805" xr:uid="{FC898A79-D3B8-4C6E-B3D1-ECBFA01DAB72}"/>
    <cellStyle name="Normal 9 2 3 4 6" xfId="19634" xr:uid="{3B5AACBD-D0B2-4B19-AF1D-37453344FE5A}"/>
    <cellStyle name="Normal 9 2 3 4 7" xfId="9529" xr:uid="{68CF31C9-B010-438C-B9D8-851E8E412F59}"/>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D2C922C3-DF2D-4880-9FCF-0A08C4D0A47D}"/>
    <cellStyle name="Normal 9 2 3 5 2 3" xfId="12087" xr:uid="{80607968-C228-4A60-BE5D-9328EC74B03B}"/>
    <cellStyle name="Normal 9 2 3 5 3" xfId="5710" xr:uid="{00000000-0005-0000-0000-0000501F0000}"/>
    <cellStyle name="Normal 9 2 3 5 3 2" xfId="14160" xr:uid="{189EAB9D-5EE9-499F-999A-E495E5BF5230}"/>
    <cellStyle name="Normal 9 2 3 5 4" xfId="9942" xr:uid="{3B17AEFE-2AC4-40A0-902C-B782E4BFD764}"/>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45E36F0D-1DB9-4F66-8D91-8D13A31A45F0}"/>
    <cellStyle name="Normal 9 2 3 6 2 3" xfId="12500" xr:uid="{CEAB4909-DAF9-45E8-BCE9-BD2A87E5C8A9}"/>
    <cellStyle name="Normal 9 2 3 6 3" xfId="6123" xr:uid="{00000000-0005-0000-0000-0000541F0000}"/>
    <cellStyle name="Normal 9 2 3 6 3 2" xfId="14573" xr:uid="{262292B6-DA55-464E-AB16-33A383A63644}"/>
    <cellStyle name="Normal 9 2 3 6 4" xfId="10355" xr:uid="{5A769486-D761-44F7-B6F8-DE327491ABA1}"/>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2C1B6E2A-C45C-48E0-9236-B96B593BEC9A}"/>
    <cellStyle name="Normal 9 2 3 7 2 3" xfId="12913" xr:uid="{3CA8019F-6D55-48C4-989F-EFB648100DEA}"/>
    <cellStyle name="Normal 9 2 3 7 3" xfId="6536" xr:uid="{00000000-0005-0000-0000-0000581F0000}"/>
    <cellStyle name="Normal 9 2 3 7 3 2" xfId="14986" xr:uid="{1C3706B1-00BC-45DC-A9FB-71DE7A37296E}"/>
    <cellStyle name="Normal 9 2 3 7 4" xfId="10768" xr:uid="{594BF43C-5C6C-42F9-A4FE-3E44EE6FAC94}"/>
    <cellStyle name="Normal 9 2 3 8" xfId="2666" xr:uid="{00000000-0005-0000-0000-0000591F0000}"/>
    <cellStyle name="Normal 9 2 3 8 2" xfId="6949" xr:uid="{00000000-0005-0000-0000-00005A1F0000}"/>
    <cellStyle name="Normal 9 2 3 8 2 2" xfId="15399" xr:uid="{DDEFCFEF-4DD9-4791-A48F-114E5E5190DA}"/>
    <cellStyle name="Normal 9 2 3 8 3" xfId="11181" xr:uid="{4A9E4516-357A-40FA-80AE-0017846307DC}"/>
    <cellStyle name="Normal 9 2 3 9" xfId="4884" xr:uid="{00000000-0005-0000-0000-00005B1F0000}"/>
    <cellStyle name="Normal 9 2 3 9 2" xfId="13334" xr:uid="{D779010C-5A1F-491D-92A9-031B77D8E949}"/>
    <cellStyle name="Normal 9 2 4" xfId="524" xr:uid="{00000000-0005-0000-0000-00005C1F0000}"/>
    <cellStyle name="Normal 9 2 4 10" xfId="18393" xr:uid="{2DF3A1EF-F400-4F9A-86E0-C8624575C3D3}"/>
    <cellStyle name="Normal 9 2 4 11" xfId="19222" xr:uid="{BEF6638D-D63D-4127-B9B5-A96FBE2E0C8C}"/>
    <cellStyle name="Normal 9 2 4 12" xfId="9120" xr:uid="{33473E7D-969F-4B8D-916C-241D17FEFAD6}"/>
    <cellStyle name="Normal 9 2 4 2" xfId="525" xr:uid="{00000000-0005-0000-0000-00005D1F0000}"/>
    <cellStyle name="Normal 9 2 4 2 10" xfId="19223" xr:uid="{1255FB67-F37A-48B6-94AF-F6391576BA8D}"/>
    <cellStyle name="Normal 9 2 4 2 11" xfId="9121" xr:uid="{A72DA17A-9C2D-4694-840E-AE56DBCA1FDF}"/>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DADF6945-6F83-41CF-A361-3D52BBFBF86F}"/>
    <cellStyle name="Normal 9 2 4 2 2 2 3" xfId="11679" xr:uid="{248D115D-555C-47B2-AEB3-77CE131404DB}"/>
    <cellStyle name="Normal 9 2 4 2 2 3" xfId="5302" xr:uid="{00000000-0005-0000-0000-0000611F0000}"/>
    <cellStyle name="Normal 9 2 4 2 2 3 2" xfId="13752" xr:uid="{4D69B913-1F64-4021-9406-82D20E31790A}"/>
    <cellStyle name="Normal 9 2 4 2 2 4" xfId="17980" xr:uid="{BF2E4823-2EC3-433B-8B1B-7C2651790545}"/>
    <cellStyle name="Normal 9 2 4 2 2 5" xfId="18810" xr:uid="{4AD766FC-564E-42D0-8C8F-E9387E5AEF96}"/>
    <cellStyle name="Normal 9 2 4 2 2 6" xfId="19639" xr:uid="{7ECA2903-FBBE-4935-8EAC-411E4035D82C}"/>
    <cellStyle name="Normal 9 2 4 2 2 7" xfId="9534" xr:uid="{4352ECDD-17F5-4CEA-9FC4-B070E0A453D2}"/>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F457D3FE-EAC4-4B4D-A8A6-D160D0D85510}"/>
    <cellStyle name="Normal 9 2 4 2 3 2 3" xfId="12092" xr:uid="{23F94D93-339B-4D40-A1C3-D3C08A7E7451}"/>
    <cellStyle name="Normal 9 2 4 2 3 3" xfId="5715" xr:uid="{00000000-0005-0000-0000-0000651F0000}"/>
    <cellStyle name="Normal 9 2 4 2 3 3 2" xfId="14165" xr:uid="{4749A0AC-3646-444A-9E8C-057AFE26EF18}"/>
    <cellStyle name="Normal 9 2 4 2 3 4" xfId="9947" xr:uid="{D7DA6669-52B5-4EE5-BC34-7F1BAF823A1B}"/>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17A31D84-8B3D-45B7-BAD4-A6E43536AEB7}"/>
    <cellStyle name="Normal 9 2 4 2 4 2 3" xfId="12505" xr:uid="{0AFE2340-8075-4C87-860C-BA49CCA7716E}"/>
    <cellStyle name="Normal 9 2 4 2 4 3" xfId="6128" xr:uid="{00000000-0005-0000-0000-0000691F0000}"/>
    <cellStyle name="Normal 9 2 4 2 4 3 2" xfId="14578" xr:uid="{A926BE81-66C9-4128-BE5E-73CA8E14B29C}"/>
    <cellStyle name="Normal 9 2 4 2 4 4" xfId="10360" xr:uid="{FB5EA705-24F1-46EF-B4CC-ACB94F969BAA}"/>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B8C1F2B9-9CA8-4499-9EEA-56CB19446406}"/>
    <cellStyle name="Normal 9 2 4 2 5 2 3" xfId="12918" xr:uid="{D72DF25F-0A2E-416D-A0C3-CC5F5A9C3A63}"/>
    <cellStyle name="Normal 9 2 4 2 5 3" xfId="6541" xr:uid="{00000000-0005-0000-0000-00006D1F0000}"/>
    <cellStyle name="Normal 9 2 4 2 5 3 2" xfId="14991" xr:uid="{B3F2D6EF-0E16-41FF-A20E-0BA2D922988B}"/>
    <cellStyle name="Normal 9 2 4 2 5 4" xfId="10773" xr:uid="{E0C541FF-F90D-4339-B20B-651D639596C6}"/>
    <cellStyle name="Normal 9 2 4 2 6" xfId="2671" xr:uid="{00000000-0005-0000-0000-00006E1F0000}"/>
    <cellStyle name="Normal 9 2 4 2 6 2" xfId="6954" xr:uid="{00000000-0005-0000-0000-00006F1F0000}"/>
    <cellStyle name="Normal 9 2 4 2 6 2 2" xfId="15404" xr:uid="{79FCE5C7-A8D2-473D-B56D-7B8BC26DD066}"/>
    <cellStyle name="Normal 9 2 4 2 6 3" xfId="11186" xr:uid="{4AC21E8F-F32D-491A-8064-77AFF72094D3}"/>
    <cellStyle name="Normal 9 2 4 2 7" xfId="4889" xr:uid="{00000000-0005-0000-0000-0000701F0000}"/>
    <cellStyle name="Normal 9 2 4 2 7 2" xfId="13339" xr:uid="{EDA33F65-49C0-4E21-AFB2-59655654005B}"/>
    <cellStyle name="Normal 9 2 4 2 8" xfId="17561" xr:uid="{EF56B242-3B2B-4F36-8AE1-EA086E839AC4}"/>
    <cellStyle name="Normal 9 2 4 2 9" xfId="18394" xr:uid="{14662419-A44B-4912-A2CC-09E018F4CB3B}"/>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9E7A4CA3-E5A9-4EDD-BD4A-ED2FB22A2614}"/>
    <cellStyle name="Normal 9 2 4 3 2 3" xfId="11678" xr:uid="{F3DB9498-E6C9-45C3-8A60-F4B36C74CB9D}"/>
    <cellStyle name="Normal 9 2 4 3 3" xfId="5301" xr:uid="{00000000-0005-0000-0000-0000741F0000}"/>
    <cellStyle name="Normal 9 2 4 3 3 2" xfId="13751" xr:uid="{5F46CE2B-B066-458C-B8B8-A5E5443EB9FA}"/>
    <cellStyle name="Normal 9 2 4 3 4" xfId="17979" xr:uid="{CAF6F913-EFFE-4AAC-8122-923B94AB1355}"/>
    <cellStyle name="Normal 9 2 4 3 5" xfId="18809" xr:uid="{E2177E29-2D82-496E-95F0-56EB203E8BDD}"/>
    <cellStyle name="Normal 9 2 4 3 6" xfId="19638" xr:uid="{2A4B4926-8422-4EA7-95C7-A06BC661EE8C}"/>
    <cellStyle name="Normal 9 2 4 3 7" xfId="9533" xr:uid="{8B297387-4995-4800-A3A4-EA7A9026D862}"/>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DB244E22-81EB-4B62-B49B-8127A08B40F2}"/>
    <cellStyle name="Normal 9 2 4 4 2 3" xfId="12091" xr:uid="{2E6FCC7D-1609-4D05-B911-5F2912C9262F}"/>
    <cellStyle name="Normal 9 2 4 4 3" xfId="5714" xr:uid="{00000000-0005-0000-0000-0000781F0000}"/>
    <cellStyle name="Normal 9 2 4 4 3 2" xfId="14164" xr:uid="{3CD7F29C-5186-47E9-AAC4-9B174EDBC511}"/>
    <cellStyle name="Normal 9 2 4 4 4" xfId="9946" xr:uid="{5F94B027-C0BC-4DA3-80B8-2725D540799B}"/>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90894D5D-4C20-4348-B356-E14F2FCA8DBA}"/>
    <cellStyle name="Normal 9 2 4 5 2 3" xfId="12504" xr:uid="{7F5FEC70-2F34-44B1-BEDC-F65C36FE8F5C}"/>
    <cellStyle name="Normal 9 2 4 5 3" xfId="6127" xr:uid="{00000000-0005-0000-0000-00007C1F0000}"/>
    <cellStyle name="Normal 9 2 4 5 3 2" xfId="14577" xr:uid="{00A2DFAA-A98E-404E-8C90-4D406366912B}"/>
    <cellStyle name="Normal 9 2 4 5 4" xfId="10359" xr:uid="{D0FD7E14-E0C6-43B5-BDD7-C3EC5C1FB398}"/>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69B853DC-4EC1-46BB-A2BD-0B2671488422}"/>
    <cellStyle name="Normal 9 2 4 6 2 3" xfId="12917" xr:uid="{CFF3D21C-9908-4FE7-9B2A-94F5442B4E76}"/>
    <cellStyle name="Normal 9 2 4 6 3" xfId="6540" xr:uid="{00000000-0005-0000-0000-0000801F0000}"/>
    <cellStyle name="Normal 9 2 4 6 3 2" xfId="14990" xr:uid="{076CA166-3E18-47AB-8754-3504DBA82E3B}"/>
    <cellStyle name="Normal 9 2 4 6 4" xfId="10772" xr:uid="{0C5CD4CD-3EB9-438D-97E5-98E656C25631}"/>
    <cellStyle name="Normal 9 2 4 7" xfId="2670" xr:uid="{00000000-0005-0000-0000-0000811F0000}"/>
    <cellStyle name="Normal 9 2 4 7 2" xfId="6953" xr:uid="{00000000-0005-0000-0000-0000821F0000}"/>
    <cellStyle name="Normal 9 2 4 7 2 2" xfId="15403" xr:uid="{5DE197F6-94E0-44D4-9AE0-474557252827}"/>
    <cellStyle name="Normal 9 2 4 7 3" xfId="11185" xr:uid="{30A01834-572A-4A24-A13A-27603FBB3C9B}"/>
    <cellStyle name="Normal 9 2 4 8" xfId="4888" xr:uid="{00000000-0005-0000-0000-0000831F0000}"/>
    <cellStyle name="Normal 9 2 4 8 2" xfId="13338" xr:uid="{C3357A7A-5624-4BBA-9327-1AB36E6589C4}"/>
    <cellStyle name="Normal 9 2 4 9" xfId="17560" xr:uid="{71E9F07C-AEF2-4CEA-946A-0B5AE4E6C052}"/>
    <cellStyle name="Normal 9 2 5" xfId="526" xr:uid="{00000000-0005-0000-0000-0000841F0000}"/>
    <cellStyle name="Normal 9 2 5 10" xfId="19224" xr:uid="{9AB2C2DE-21FB-4AF5-B1D6-38955E1F1E70}"/>
    <cellStyle name="Normal 9 2 5 11" xfId="9122" xr:uid="{4D0FA8F3-514D-415F-83A4-5C81FAFF291D}"/>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0A0A49AA-7792-400B-A1F2-B37F230F1D77}"/>
    <cellStyle name="Normal 9 2 5 2 2 3" xfId="11680" xr:uid="{FF149A38-6606-4EF3-8F10-7FF8A4740D5E}"/>
    <cellStyle name="Normal 9 2 5 2 3" xfId="5303" xr:uid="{00000000-0005-0000-0000-0000881F0000}"/>
    <cellStyle name="Normal 9 2 5 2 3 2" xfId="13753" xr:uid="{AB3BB6C1-8BDE-432E-B55C-6E4B8EB6BEE2}"/>
    <cellStyle name="Normal 9 2 5 2 4" xfId="17981" xr:uid="{68CAC5DE-B976-47E0-878E-F041EFA27BA4}"/>
    <cellStyle name="Normal 9 2 5 2 5" xfId="18811" xr:uid="{EF80679F-1D7F-4FDB-A138-B7ADA553F217}"/>
    <cellStyle name="Normal 9 2 5 2 6" xfId="19640" xr:uid="{6A3B1D80-7E15-4B2C-8D1B-26EC9C52AA0A}"/>
    <cellStyle name="Normal 9 2 5 2 7" xfId="9535" xr:uid="{14C7CA2B-F588-4430-A9D4-9FB85D5DD964}"/>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7513D8F4-E07D-4C4B-94D9-050ABEFB93FA}"/>
    <cellStyle name="Normal 9 2 5 3 2 3" xfId="12093" xr:uid="{B0C28F4E-53C8-4D95-9ABD-F72DA2EB77CE}"/>
    <cellStyle name="Normal 9 2 5 3 3" xfId="5716" xr:uid="{00000000-0005-0000-0000-00008C1F0000}"/>
    <cellStyle name="Normal 9 2 5 3 3 2" xfId="14166" xr:uid="{A3779DC7-792E-4718-946D-9C6EC2C1EB6B}"/>
    <cellStyle name="Normal 9 2 5 3 4" xfId="9948" xr:uid="{04012538-818C-4147-AEF8-17DC8105289B}"/>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62329C30-C468-4B9F-B5C8-110AE54BE7CB}"/>
    <cellStyle name="Normal 9 2 5 4 2 3" xfId="12506" xr:uid="{40F10080-4058-497C-B697-06E59D4AB166}"/>
    <cellStyle name="Normal 9 2 5 4 3" xfId="6129" xr:uid="{00000000-0005-0000-0000-0000901F0000}"/>
    <cellStyle name="Normal 9 2 5 4 3 2" xfId="14579" xr:uid="{12890045-E895-4F1F-B83F-E3E5DC147FDC}"/>
    <cellStyle name="Normal 9 2 5 4 4" xfId="10361" xr:uid="{BB1F88E1-8A8B-416B-9458-FB96AA8A52AF}"/>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04FE8AB5-1CDD-40FB-907A-81BE98BED38F}"/>
    <cellStyle name="Normal 9 2 5 5 2 3" xfId="12919" xr:uid="{C81F2390-A00C-4B1C-82E1-01E1495C6B07}"/>
    <cellStyle name="Normal 9 2 5 5 3" xfId="6542" xr:uid="{00000000-0005-0000-0000-0000941F0000}"/>
    <cellStyle name="Normal 9 2 5 5 3 2" xfId="14992" xr:uid="{37CE59C7-D3E1-46B2-91B9-0727FE2C3021}"/>
    <cellStyle name="Normal 9 2 5 5 4" xfId="10774" xr:uid="{B8203498-D64B-4CB5-A410-434D4DCE1EF4}"/>
    <cellStyle name="Normal 9 2 5 6" xfId="2672" xr:uid="{00000000-0005-0000-0000-0000951F0000}"/>
    <cellStyle name="Normal 9 2 5 6 2" xfId="6955" xr:uid="{00000000-0005-0000-0000-0000961F0000}"/>
    <cellStyle name="Normal 9 2 5 6 2 2" xfId="15405" xr:uid="{FAD16CDB-70A5-4088-8E26-7E202DFBE222}"/>
    <cellStyle name="Normal 9 2 5 6 3" xfId="11187" xr:uid="{3744D820-4CCA-472B-A9E7-E65090C3F548}"/>
    <cellStyle name="Normal 9 2 5 7" xfId="4890" xr:uid="{00000000-0005-0000-0000-0000971F0000}"/>
    <cellStyle name="Normal 9 2 5 7 2" xfId="13340" xr:uid="{51D2961F-4297-4B3F-A134-C0DAD252CBFB}"/>
    <cellStyle name="Normal 9 2 5 8" xfId="17562" xr:uid="{02A48692-D9A8-41FA-A3C4-94211D8CAB44}"/>
    <cellStyle name="Normal 9 2 5 9" xfId="18395" xr:uid="{D6B4C34C-7CF0-4389-AC72-13BD72D5E227}"/>
    <cellStyle name="Normal 9 2 6" xfId="978" xr:uid="{00000000-0005-0000-0000-0000981F0000}"/>
    <cellStyle name="Normal 9 2 6 2" xfId="3211" xr:uid="{00000000-0005-0000-0000-0000991F0000}"/>
    <cellStyle name="Normal 9 2 6 2 2" xfId="7433" xr:uid="{00000000-0005-0000-0000-00009A1F0000}"/>
    <cellStyle name="Normal 9 2 6 2 2 2" xfId="15883" xr:uid="{BDF1FACE-2858-4FD3-9A8F-99CCEB375028}"/>
    <cellStyle name="Normal 9 2 6 2 3" xfId="11665" xr:uid="{3D15E539-A99F-42AA-8237-33C9178AF2FA}"/>
    <cellStyle name="Normal 9 2 6 3" xfId="5288" xr:uid="{00000000-0005-0000-0000-00009B1F0000}"/>
    <cellStyle name="Normal 9 2 6 3 2" xfId="13738" xr:uid="{C1B988FF-EF87-4E28-AC23-BA26558B141F}"/>
    <cellStyle name="Normal 9 2 6 4" xfId="17966" xr:uid="{615E0E37-C331-4DAB-AC0C-31846A7A9136}"/>
    <cellStyle name="Normal 9 2 6 5" xfId="18796" xr:uid="{5959AAA0-500E-43CE-A255-25447A0A981C}"/>
    <cellStyle name="Normal 9 2 6 6" xfId="19625" xr:uid="{A1B33404-10DD-4F61-8AD7-C4948A5F016A}"/>
    <cellStyle name="Normal 9 2 6 7" xfId="9520" xr:uid="{82A3A8BD-241E-4116-83D7-A1A5D3877271}"/>
    <cellStyle name="Normal 9 2 7" xfId="1394" xr:uid="{00000000-0005-0000-0000-00009C1F0000}"/>
    <cellStyle name="Normal 9 2 7 2" xfId="3624" xr:uid="{00000000-0005-0000-0000-00009D1F0000}"/>
    <cellStyle name="Normal 9 2 7 2 2" xfId="7846" xr:uid="{00000000-0005-0000-0000-00009E1F0000}"/>
    <cellStyle name="Normal 9 2 7 2 2 2" xfId="16296" xr:uid="{C12C39C8-F166-4780-A6FD-B164E0A954CD}"/>
    <cellStyle name="Normal 9 2 7 2 3" xfId="12078" xr:uid="{8835947C-9B20-4E99-9CD3-CC5B39121DC2}"/>
    <cellStyle name="Normal 9 2 7 3" xfId="5701" xr:uid="{00000000-0005-0000-0000-00009F1F0000}"/>
    <cellStyle name="Normal 9 2 7 3 2" xfId="14151" xr:uid="{7CC768D1-2D04-4AA4-9E1B-695305912EA0}"/>
    <cellStyle name="Normal 9 2 7 4" xfId="9933" xr:uid="{88B66EE4-C94F-4643-AA6A-025262371EEB}"/>
    <cellStyle name="Normal 9 2 8" xfId="1807" xr:uid="{00000000-0005-0000-0000-0000A01F0000}"/>
    <cellStyle name="Normal 9 2 8 2" xfId="4037" xr:uid="{00000000-0005-0000-0000-0000A11F0000}"/>
    <cellStyle name="Normal 9 2 8 2 2" xfId="8259" xr:uid="{00000000-0005-0000-0000-0000A21F0000}"/>
    <cellStyle name="Normal 9 2 8 2 2 2" xfId="16709" xr:uid="{55DFD862-CA99-4A3B-A0CC-9840F12EAD31}"/>
    <cellStyle name="Normal 9 2 8 2 3" xfId="12491" xr:uid="{AE00AF91-AF59-4766-BCD8-7F06F0AA2E30}"/>
    <cellStyle name="Normal 9 2 8 3" xfId="6114" xr:uid="{00000000-0005-0000-0000-0000A31F0000}"/>
    <cellStyle name="Normal 9 2 8 3 2" xfId="14564" xr:uid="{C81DA460-B16A-4F88-B83A-69B086176917}"/>
    <cellStyle name="Normal 9 2 8 4" xfId="10346" xr:uid="{3735CE0D-1F76-4788-911A-FE588787BA59}"/>
    <cellStyle name="Normal 9 2 9" xfId="2221" xr:uid="{00000000-0005-0000-0000-0000A41F0000}"/>
    <cellStyle name="Normal 9 2 9 2" xfId="4450" xr:uid="{00000000-0005-0000-0000-0000A51F0000}"/>
    <cellStyle name="Normal 9 2 9 2 2" xfId="8672" xr:uid="{00000000-0005-0000-0000-0000A61F0000}"/>
    <cellStyle name="Normal 9 2 9 2 2 2" xfId="17122" xr:uid="{76F28287-A3E6-4672-88BA-DABE47F882BE}"/>
    <cellStyle name="Normal 9 2 9 2 3" xfId="12904" xr:uid="{48110F13-9BC3-4187-8A50-DDF6AD046C4C}"/>
    <cellStyle name="Normal 9 2 9 3" xfId="6527" xr:uid="{00000000-0005-0000-0000-0000A71F0000}"/>
    <cellStyle name="Normal 9 2 9 3 2" xfId="14977" xr:uid="{A8B75733-7A60-420E-9C2E-98BA261C6132}"/>
    <cellStyle name="Normal 9 2 9 4" xfId="10759" xr:uid="{757FE95F-E27A-4BA2-839F-62B5348ABE48}"/>
    <cellStyle name="Normal 9 3" xfId="527" xr:uid="{00000000-0005-0000-0000-0000A81F0000}"/>
    <cellStyle name="Normal 9 3 10" xfId="4891" xr:uid="{00000000-0005-0000-0000-0000A91F0000}"/>
    <cellStyle name="Normal 9 3 10 2" xfId="13341" xr:uid="{ACE6D977-4259-4F2D-908E-8CC2B584A36D}"/>
    <cellStyle name="Normal 9 3 11" xfId="17563" xr:uid="{624C157B-5956-46E3-9939-FC2B364CBEC6}"/>
    <cellStyle name="Normal 9 3 12" xfId="18396" xr:uid="{68FC267C-FA38-4B76-9861-646145148F66}"/>
    <cellStyle name="Normal 9 3 13" xfId="19225" xr:uid="{9ACD1670-14FF-466A-A972-EE1E4CC6BCCA}"/>
    <cellStyle name="Normal 9 3 14" xfId="9123" xr:uid="{C88766CE-A894-4CA8-B827-B0B3A31F1263}"/>
    <cellStyle name="Normal 9 3 2" xfId="528" xr:uid="{00000000-0005-0000-0000-0000AA1F0000}"/>
    <cellStyle name="Normal 9 3 2 10" xfId="17564" xr:uid="{506B5EAD-B1F2-4CBA-8B53-8C0F4DC79F95}"/>
    <cellStyle name="Normal 9 3 2 11" xfId="18397" xr:uid="{9A05F2DF-60DA-46C4-8392-54E263C9EE31}"/>
    <cellStyle name="Normal 9 3 2 12" xfId="19226" xr:uid="{D368AB43-0F2B-44CC-9E2B-B4966D7BB47F}"/>
    <cellStyle name="Normal 9 3 2 13" xfId="9124" xr:uid="{B0D5A5D8-0D04-43DE-83D3-53F9B3604592}"/>
    <cellStyle name="Normal 9 3 2 2" xfId="529" xr:uid="{00000000-0005-0000-0000-0000AB1F0000}"/>
    <cellStyle name="Normal 9 3 2 2 10" xfId="18398" xr:uid="{76D9A05F-4228-4FE7-B203-71392762C620}"/>
    <cellStyle name="Normal 9 3 2 2 11" xfId="19227" xr:uid="{C6780DEA-3C53-4C76-81BD-35B453F28672}"/>
    <cellStyle name="Normal 9 3 2 2 12" xfId="9125" xr:uid="{3C4C108C-D347-4130-BD16-8A2EF12734F9}"/>
    <cellStyle name="Normal 9 3 2 2 2" xfId="530" xr:uid="{00000000-0005-0000-0000-0000AC1F0000}"/>
    <cellStyle name="Normal 9 3 2 2 2 10" xfId="19228" xr:uid="{FF72539A-B7FA-4A8C-9F5A-1362B36D85E8}"/>
    <cellStyle name="Normal 9 3 2 2 2 11" xfId="9126" xr:uid="{3DDF5156-7CC6-44A9-A4AD-254F58428B88}"/>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26A285E4-6B46-4743-8476-DB587D77E277}"/>
    <cellStyle name="Normal 9 3 2 2 2 2 2 3" xfId="11684" xr:uid="{613B1AD4-8E8E-4D4E-A28B-9ABC283648AC}"/>
    <cellStyle name="Normal 9 3 2 2 2 2 3" xfId="5307" xr:uid="{00000000-0005-0000-0000-0000B01F0000}"/>
    <cellStyle name="Normal 9 3 2 2 2 2 3 2" xfId="13757" xr:uid="{6E8008EA-9F3D-410D-A312-4F1B6E7A27E4}"/>
    <cellStyle name="Normal 9 3 2 2 2 2 4" xfId="17985" xr:uid="{A4C0B377-B582-40EB-A63E-49E6C33E0A93}"/>
    <cellStyle name="Normal 9 3 2 2 2 2 5" xfId="18815" xr:uid="{F94440FB-C4D1-4928-A9F8-7DDA53A220D9}"/>
    <cellStyle name="Normal 9 3 2 2 2 2 6" xfId="19644" xr:uid="{665D6D73-7134-40EF-BD35-BECC41E853ED}"/>
    <cellStyle name="Normal 9 3 2 2 2 2 7" xfId="9539" xr:uid="{9333F155-8A94-4F99-9065-EA4F5720840F}"/>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15846804-15A5-4086-B942-ACF02C06A6C4}"/>
    <cellStyle name="Normal 9 3 2 2 2 3 2 3" xfId="12097" xr:uid="{BC2D711E-5916-4B1F-BA42-756418A41230}"/>
    <cellStyle name="Normal 9 3 2 2 2 3 3" xfId="5720" xr:uid="{00000000-0005-0000-0000-0000B41F0000}"/>
    <cellStyle name="Normal 9 3 2 2 2 3 3 2" xfId="14170" xr:uid="{C8F13AAB-71C7-4DF8-9930-58F70C026AEB}"/>
    <cellStyle name="Normal 9 3 2 2 2 3 4" xfId="9952" xr:uid="{9E3B8DB3-7593-4638-A579-197401DCAE85}"/>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DD91C34A-6089-48E4-9A21-B825674B7F35}"/>
    <cellStyle name="Normal 9 3 2 2 2 4 2 3" xfId="12510" xr:uid="{3F3932B6-F26C-4AF8-B48E-B10A773A427F}"/>
    <cellStyle name="Normal 9 3 2 2 2 4 3" xfId="6133" xr:uid="{00000000-0005-0000-0000-0000B81F0000}"/>
    <cellStyle name="Normal 9 3 2 2 2 4 3 2" xfId="14583" xr:uid="{40754293-0EC3-4D7B-AA9C-D7CE3F7EC23C}"/>
    <cellStyle name="Normal 9 3 2 2 2 4 4" xfId="10365" xr:uid="{C9CDD03D-8A1D-4D81-A63F-54A85FBC98F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DA4D64C4-9861-4B43-8302-FACC26478C6F}"/>
    <cellStyle name="Normal 9 3 2 2 2 5 2 3" xfId="12923" xr:uid="{A1C95469-6EFA-4E96-8BC3-137949357426}"/>
    <cellStyle name="Normal 9 3 2 2 2 5 3" xfId="6546" xr:uid="{00000000-0005-0000-0000-0000BC1F0000}"/>
    <cellStyle name="Normal 9 3 2 2 2 5 3 2" xfId="14996" xr:uid="{E62BA8F6-5714-406C-A297-7D12399DFC5D}"/>
    <cellStyle name="Normal 9 3 2 2 2 5 4" xfId="10778" xr:uid="{CA62F318-43C0-4BF4-9CD3-9176FD5A2A98}"/>
    <cellStyle name="Normal 9 3 2 2 2 6" xfId="2676" xr:uid="{00000000-0005-0000-0000-0000BD1F0000}"/>
    <cellStyle name="Normal 9 3 2 2 2 6 2" xfId="6959" xr:uid="{00000000-0005-0000-0000-0000BE1F0000}"/>
    <cellStyle name="Normal 9 3 2 2 2 6 2 2" xfId="15409" xr:uid="{C773AFA1-BE1E-48A7-B05D-9B2153A52C57}"/>
    <cellStyle name="Normal 9 3 2 2 2 6 3" xfId="11191" xr:uid="{C4C4450C-B7D4-4ED7-AD31-1F25DB7B0114}"/>
    <cellStyle name="Normal 9 3 2 2 2 7" xfId="4894" xr:uid="{00000000-0005-0000-0000-0000BF1F0000}"/>
    <cellStyle name="Normal 9 3 2 2 2 7 2" xfId="13344" xr:uid="{DA57F3A9-0E46-4D21-8858-82953703B7D2}"/>
    <cellStyle name="Normal 9 3 2 2 2 8" xfId="17566" xr:uid="{6D9D8B4F-318C-4F56-8400-DF81F2345AF4}"/>
    <cellStyle name="Normal 9 3 2 2 2 9" xfId="18399" xr:uid="{B65CCA47-8AED-4E61-A066-E25F897CDDA5}"/>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8CABD7C2-A6E1-4AEE-A380-B0FE1D6DDD6A}"/>
    <cellStyle name="Normal 9 3 2 2 3 2 3" xfId="11683" xr:uid="{38A273CC-4922-458F-A9B5-930FAED4B34C}"/>
    <cellStyle name="Normal 9 3 2 2 3 3" xfId="5306" xr:uid="{00000000-0005-0000-0000-0000C31F0000}"/>
    <cellStyle name="Normal 9 3 2 2 3 3 2" xfId="13756" xr:uid="{20E212C6-62BC-4095-BCF5-357493512486}"/>
    <cellStyle name="Normal 9 3 2 2 3 4" xfId="17984" xr:uid="{9354716F-3D20-45D1-AC3F-3AF79258CEA9}"/>
    <cellStyle name="Normal 9 3 2 2 3 5" xfId="18814" xr:uid="{636CD174-97CE-4C02-B255-10E5906A7D3B}"/>
    <cellStyle name="Normal 9 3 2 2 3 6" xfId="19643" xr:uid="{9DEE5F85-3830-45F9-BE34-D857F15CDF8F}"/>
    <cellStyle name="Normal 9 3 2 2 3 7" xfId="9538" xr:uid="{B1467486-0C17-4CCA-96D3-D52DD10405B3}"/>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35CA570D-AA23-4B48-AEAF-55F171D2A8F9}"/>
    <cellStyle name="Normal 9 3 2 2 4 2 3" xfId="12096" xr:uid="{39D68287-9C5C-4C02-B7B8-2444410ADFC2}"/>
    <cellStyle name="Normal 9 3 2 2 4 3" xfId="5719" xr:uid="{00000000-0005-0000-0000-0000C71F0000}"/>
    <cellStyle name="Normal 9 3 2 2 4 3 2" xfId="14169" xr:uid="{644615DE-88E1-4D92-8DFD-B90450837B23}"/>
    <cellStyle name="Normal 9 3 2 2 4 4" xfId="9951" xr:uid="{84D78928-B2FB-450E-AD09-B482F6B1A395}"/>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A1C701C0-5BB0-4DD5-99E4-2AA629C4B6D4}"/>
    <cellStyle name="Normal 9 3 2 2 5 2 3" xfId="12509" xr:uid="{8C2DF60A-2D74-4914-873E-99C792EE24EC}"/>
    <cellStyle name="Normal 9 3 2 2 5 3" xfId="6132" xr:uid="{00000000-0005-0000-0000-0000CB1F0000}"/>
    <cellStyle name="Normal 9 3 2 2 5 3 2" xfId="14582" xr:uid="{801A15F9-12A3-4DAB-9BE5-0AFC0AD3E3C7}"/>
    <cellStyle name="Normal 9 3 2 2 5 4" xfId="10364" xr:uid="{DBEBC9EB-EB56-4CD9-950A-E71D3446D8ED}"/>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0050597F-F12F-4732-A790-B63E62FE6431}"/>
    <cellStyle name="Normal 9 3 2 2 6 2 3" xfId="12922" xr:uid="{EB4AB8E4-4A6C-4786-AA36-22CF832F7A67}"/>
    <cellStyle name="Normal 9 3 2 2 6 3" xfId="6545" xr:uid="{00000000-0005-0000-0000-0000CF1F0000}"/>
    <cellStyle name="Normal 9 3 2 2 6 3 2" xfId="14995" xr:uid="{E0C6CF12-F922-4F3A-B3AB-51A383B0BE30}"/>
    <cellStyle name="Normal 9 3 2 2 6 4" xfId="10777" xr:uid="{C896AF00-1823-44EB-973A-0C2371B0FBBE}"/>
    <cellStyle name="Normal 9 3 2 2 7" xfId="2675" xr:uid="{00000000-0005-0000-0000-0000D01F0000}"/>
    <cellStyle name="Normal 9 3 2 2 7 2" xfId="6958" xr:uid="{00000000-0005-0000-0000-0000D11F0000}"/>
    <cellStyle name="Normal 9 3 2 2 7 2 2" xfId="15408" xr:uid="{C8E4B168-FC00-44C8-B916-F6D3B6F9581B}"/>
    <cellStyle name="Normal 9 3 2 2 7 3" xfId="11190" xr:uid="{B83E98AD-2BCE-4561-9657-7D7B2898D6EB}"/>
    <cellStyle name="Normal 9 3 2 2 8" xfId="4893" xr:uid="{00000000-0005-0000-0000-0000D21F0000}"/>
    <cellStyle name="Normal 9 3 2 2 8 2" xfId="13343" xr:uid="{2FC2ACDB-329B-4EF5-A305-C036F2D46FA0}"/>
    <cellStyle name="Normal 9 3 2 2 9" xfId="17565" xr:uid="{0328AA78-53C6-452E-A795-0802200FFE96}"/>
    <cellStyle name="Normal 9 3 2 3" xfId="531" xr:uid="{00000000-0005-0000-0000-0000D31F0000}"/>
    <cellStyle name="Normal 9 3 2 3 10" xfId="19229" xr:uid="{CB48C1DE-C9EC-4D88-ACB3-43E0166741E9}"/>
    <cellStyle name="Normal 9 3 2 3 11" xfId="9127" xr:uid="{38C251B1-3DD0-4222-9252-EDCE5A0E4363}"/>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E89ACC80-66FB-47DE-BCF3-5B7287B7CFBA}"/>
    <cellStyle name="Normal 9 3 2 3 2 2 3" xfId="11685" xr:uid="{18445007-196D-45D9-AEFD-6C71EA799E1B}"/>
    <cellStyle name="Normal 9 3 2 3 2 3" xfId="5308" xr:uid="{00000000-0005-0000-0000-0000D71F0000}"/>
    <cellStyle name="Normal 9 3 2 3 2 3 2" xfId="13758" xr:uid="{B3D2F934-DD6E-4C88-888C-D479DBC48AE1}"/>
    <cellStyle name="Normal 9 3 2 3 2 4" xfId="17986" xr:uid="{CA8D4E02-936E-490A-AC0A-C60C8E4C0520}"/>
    <cellStyle name="Normal 9 3 2 3 2 5" xfId="18816" xr:uid="{2539FE14-3D3B-46B5-AEB3-7E3A33038E78}"/>
    <cellStyle name="Normal 9 3 2 3 2 6" xfId="19645" xr:uid="{011005A0-7F00-4C77-BCC6-597E5D9153A3}"/>
    <cellStyle name="Normal 9 3 2 3 2 7" xfId="9540" xr:uid="{C46E4C85-FA67-4098-B5FE-4B90F655C958}"/>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201773BD-BA6B-497A-9B48-C0C80B390BE1}"/>
    <cellStyle name="Normal 9 3 2 3 3 2 3" xfId="12098" xr:uid="{8803C55F-C9A1-4E6F-8768-79D050F3F6EE}"/>
    <cellStyle name="Normal 9 3 2 3 3 3" xfId="5721" xr:uid="{00000000-0005-0000-0000-0000DB1F0000}"/>
    <cellStyle name="Normal 9 3 2 3 3 3 2" xfId="14171" xr:uid="{B6CF180A-0EA9-4B7C-B2BB-0E09BC05779A}"/>
    <cellStyle name="Normal 9 3 2 3 3 4" xfId="9953" xr:uid="{B66CD813-399D-4CB1-AF19-66C46B5CCD8B}"/>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C77044F9-9B82-4978-91DA-E26D6CE91D3A}"/>
    <cellStyle name="Normal 9 3 2 3 4 2 3" xfId="12511" xr:uid="{BE0CC9A3-A58C-407A-8BDF-1B3360AF877A}"/>
    <cellStyle name="Normal 9 3 2 3 4 3" xfId="6134" xr:uid="{00000000-0005-0000-0000-0000DF1F0000}"/>
    <cellStyle name="Normal 9 3 2 3 4 3 2" xfId="14584" xr:uid="{29C15266-556E-4E9B-9045-4DD7F189A316}"/>
    <cellStyle name="Normal 9 3 2 3 4 4" xfId="10366" xr:uid="{73A5D4D6-0E76-4961-9012-EBBFBEFFA983}"/>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07BDD755-5822-48BB-A890-3D2C55BCC43C}"/>
    <cellStyle name="Normal 9 3 2 3 5 2 3" xfId="12924" xr:uid="{E9EAEB38-FBB9-44BF-900B-929E2CB5563D}"/>
    <cellStyle name="Normal 9 3 2 3 5 3" xfId="6547" xr:uid="{00000000-0005-0000-0000-0000E31F0000}"/>
    <cellStyle name="Normal 9 3 2 3 5 3 2" xfId="14997" xr:uid="{049ED5D7-276C-4743-9268-ACC2934C04CA}"/>
    <cellStyle name="Normal 9 3 2 3 5 4" xfId="10779" xr:uid="{275D979A-A301-4506-8B9A-633DC66EAA91}"/>
    <cellStyle name="Normal 9 3 2 3 6" xfId="2677" xr:uid="{00000000-0005-0000-0000-0000E41F0000}"/>
    <cellStyle name="Normal 9 3 2 3 6 2" xfId="6960" xr:uid="{00000000-0005-0000-0000-0000E51F0000}"/>
    <cellStyle name="Normal 9 3 2 3 6 2 2" xfId="15410" xr:uid="{55A090B2-7860-452E-9CCA-D26D89789957}"/>
    <cellStyle name="Normal 9 3 2 3 6 3" xfId="11192" xr:uid="{850B7D89-26F0-4595-9899-32B6DAECC706}"/>
    <cellStyle name="Normal 9 3 2 3 7" xfId="4895" xr:uid="{00000000-0005-0000-0000-0000E61F0000}"/>
    <cellStyle name="Normal 9 3 2 3 7 2" xfId="13345" xr:uid="{B780E155-8529-4F5E-B346-45514B386A92}"/>
    <cellStyle name="Normal 9 3 2 3 8" xfId="17567" xr:uid="{0D978CC6-8BC6-47B9-8454-A75E82030ABC}"/>
    <cellStyle name="Normal 9 3 2 3 9" xfId="18400" xr:uid="{AC105E46-5026-47EC-804A-9BEF6E4010EA}"/>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10C031DA-610D-46BE-B77A-AA164AD19272}"/>
    <cellStyle name="Normal 9 3 2 4 2 3" xfId="11682" xr:uid="{477D99C7-36AF-4F9B-BFD6-6F746621A819}"/>
    <cellStyle name="Normal 9 3 2 4 3" xfId="5305" xr:uid="{00000000-0005-0000-0000-0000EA1F0000}"/>
    <cellStyle name="Normal 9 3 2 4 3 2" xfId="13755" xr:uid="{34C82DBB-2AB7-4C0D-A85F-B89CA725F500}"/>
    <cellStyle name="Normal 9 3 2 4 4" xfId="17983" xr:uid="{8843CD8A-C0B7-4697-B2A8-AF3A3C0D37A0}"/>
    <cellStyle name="Normal 9 3 2 4 5" xfId="18813" xr:uid="{70A004C2-5049-457F-ACAA-A94ABFA2C1A5}"/>
    <cellStyle name="Normal 9 3 2 4 6" xfId="19642" xr:uid="{655FC0EA-9421-461C-B337-13CFAF055A61}"/>
    <cellStyle name="Normal 9 3 2 4 7" xfId="9537" xr:uid="{24B7FF08-B027-4D1C-B5FA-38AA3BDD1200}"/>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5ECB6844-950E-4B35-9AEE-01B034E02DD0}"/>
    <cellStyle name="Normal 9 3 2 5 2 3" xfId="12095" xr:uid="{23ED1196-FAA5-407D-B278-8EEE6283DF0C}"/>
    <cellStyle name="Normal 9 3 2 5 3" xfId="5718" xr:uid="{00000000-0005-0000-0000-0000EE1F0000}"/>
    <cellStyle name="Normal 9 3 2 5 3 2" xfId="14168" xr:uid="{E925FC49-6E82-4FE1-936D-B47D22B9844E}"/>
    <cellStyle name="Normal 9 3 2 5 4" xfId="9950" xr:uid="{4280100B-15F0-4D4B-ADDF-31896B0458E6}"/>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89353A8D-13E0-4D04-AAD0-DC3A90918E97}"/>
    <cellStyle name="Normal 9 3 2 6 2 3" xfId="12508" xr:uid="{B9029D1E-7A97-4430-BAAB-41FC70F51256}"/>
    <cellStyle name="Normal 9 3 2 6 3" xfId="6131" xr:uid="{00000000-0005-0000-0000-0000F21F0000}"/>
    <cellStyle name="Normal 9 3 2 6 3 2" xfId="14581" xr:uid="{4112449D-F1DF-446E-8E85-7AFD9B303D78}"/>
    <cellStyle name="Normal 9 3 2 6 4" xfId="10363" xr:uid="{AAC3D300-1496-4E53-A95F-DA119F2439DA}"/>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89C51EF6-1EA0-48A7-952F-F7DE66111A7D}"/>
    <cellStyle name="Normal 9 3 2 7 2 3" xfId="12921" xr:uid="{5F89841D-4414-4709-8040-F01896D2F120}"/>
    <cellStyle name="Normal 9 3 2 7 3" xfId="6544" xr:uid="{00000000-0005-0000-0000-0000F61F0000}"/>
    <cellStyle name="Normal 9 3 2 7 3 2" xfId="14994" xr:uid="{5171FB29-17AD-4E3C-A9E6-92E63A8FE15D}"/>
    <cellStyle name="Normal 9 3 2 7 4" xfId="10776" xr:uid="{86381786-6153-4E34-BAE7-F44D268B4A57}"/>
    <cellStyle name="Normal 9 3 2 8" xfId="2674" xr:uid="{00000000-0005-0000-0000-0000F71F0000}"/>
    <cellStyle name="Normal 9 3 2 8 2" xfId="6957" xr:uid="{00000000-0005-0000-0000-0000F81F0000}"/>
    <cellStyle name="Normal 9 3 2 8 2 2" xfId="15407" xr:uid="{4E1BAAAB-3BDA-4D1E-9D35-2C10A6E69655}"/>
    <cellStyle name="Normal 9 3 2 8 3" xfId="11189" xr:uid="{2AB8719F-9A35-42C6-B58E-85CEFBFE4404}"/>
    <cellStyle name="Normal 9 3 2 9" xfId="4892" xr:uid="{00000000-0005-0000-0000-0000F91F0000}"/>
    <cellStyle name="Normal 9 3 2 9 2" xfId="13342" xr:uid="{5B248274-035F-444B-A83D-109BC5124EEA}"/>
    <cellStyle name="Normal 9 3 3" xfId="532" xr:uid="{00000000-0005-0000-0000-0000FA1F0000}"/>
    <cellStyle name="Normal 9 3 3 10" xfId="18401" xr:uid="{4999B0F3-54DF-407E-AB98-F5E8AC5B30B9}"/>
    <cellStyle name="Normal 9 3 3 11" xfId="19230" xr:uid="{BCE717ED-D1D1-45A6-BB7A-0086F2921613}"/>
    <cellStyle name="Normal 9 3 3 12" xfId="9128" xr:uid="{976C9E84-43AF-4728-9771-A49D1F34618F}"/>
    <cellStyle name="Normal 9 3 3 2" xfId="533" xr:uid="{00000000-0005-0000-0000-0000FB1F0000}"/>
    <cellStyle name="Normal 9 3 3 2 10" xfId="19231" xr:uid="{3B823CDA-63C5-4D9F-AC5C-AE0A61870DDB}"/>
    <cellStyle name="Normal 9 3 3 2 11" xfId="9129" xr:uid="{73E3229E-8B92-4B46-88DF-2B76A30D8AC7}"/>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8CFD1104-561D-4645-B7B0-D621056937D3}"/>
    <cellStyle name="Normal 9 3 3 2 2 2 3" xfId="11687" xr:uid="{EF66C841-78E7-4CBF-A7C4-7F54DA01FC0F}"/>
    <cellStyle name="Normal 9 3 3 2 2 3" xfId="5310" xr:uid="{00000000-0005-0000-0000-0000FF1F0000}"/>
    <cellStyle name="Normal 9 3 3 2 2 3 2" xfId="13760" xr:uid="{A79FD4E7-FFE6-42A8-BD35-82762A38D281}"/>
    <cellStyle name="Normal 9 3 3 2 2 4" xfId="17988" xr:uid="{A3E8067B-1769-4605-835D-6010AF2DF428}"/>
    <cellStyle name="Normal 9 3 3 2 2 5" xfId="18818" xr:uid="{1DE089FB-6142-40EA-BA92-40527C0C4A20}"/>
    <cellStyle name="Normal 9 3 3 2 2 6" xfId="19647" xr:uid="{3ADB5C7E-4654-4CCD-844E-53BC0688AD64}"/>
    <cellStyle name="Normal 9 3 3 2 2 7" xfId="9542" xr:uid="{FECC9479-A18F-4735-8BD3-E9BA4DF4A882}"/>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1CB16C1F-A347-447A-A1F4-371B7BBF9933}"/>
    <cellStyle name="Normal 9 3 3 2 3 2 3" xfId="12100" xr:uid="{650AC2AE-C4B3-41D1-82D0-EA169F9A2D63}"/>
    <cellStyle name="Normal 9 3 3 2 3 3" xfId="5723" xr:uid="{00000000-0005-0000-0000-000003200000}"/>
    <cellStyle name="Normal 9 3 3 2 3 3 2" xfId="14173" xr:uid="{BA36EE93-63F0-4367-8544-854A1B6570A5}"/>
    <cellStyle name="Normal 9 3 3 2 3 4" xfId="9955" xr:uid="{19E90480-2832-4528-857B-507C6C991679}"/>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EF7EC3D0-CFB5-446B-969F-552C0F50637C}"/>
    <cellStyle name="Normal 9 3 3 2 4 2 3" xfId="12513" xr:uid="{CAB9ABF8-D960-4504-9E88-103FF3BB185C}"/>
    <cellStyle name="Normal 9 3 3 2 4 3" xfId="6136" xr:uid="{00000000-0005-0000-0000-000007200000}"/>
    <cellStyle name="Normal 9 3 3 2 4 3 2" xfId="14586" xr:uid="{0E2DEDAC-D245-44EF-924E-F3F4F5100C90}"/>
    <cellStyle name="Normal 9 3 3 2 4 4" xfId="10368" xr:uid="{A2C5FF8D-E799-435E-99AE-4E4896FA7A48}"/>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BF4B03C6-B84A-4184-870F-6E9D1199AEEF}"/>
    <cellStyle name="Normal 9 3 3 2 5 2 3" xfId="12926" xr:uid="{92D285D6-B41D-4D77-848D-80E496283EA5}"/>
    <cellStyle name="Normal 9 3 3 2 5 3" xfId="6549" xr:uid="{00000000-0005-0000-0000-00000B200000}"/>
    <cellStyle name="Normal 9 3 3 2 5 3 2" xfId="14999" xr:uid="{36D6EFDD-53BB-4A64-BE83-53F70CDEE1CA}"/>
    <cellStyle name="Normal 9 3 3 2 5 4" xfId="10781" xr:uid="{EE9ACBE9-F0B9-4938-860F-A5783304D5C1}"/>
    <cellStyle name="Normal 9 3 3 2 6" xfId="2679" xr:uid="{00000000-0005-0000-0000-00000C200000}"/>
    <cellStyle name="Normal 9 3 3 2 6 2" xfId="6962" xr:uid="{00000000-0005-0000-0000-00000D200000}"/>
    <cellStyle name="Normal 9 3 3 2 6 2 2" xfId="15412" xr:uid="{075DB3D3-FFD7-48F1-833D-C6E6CB9334EC}"/>
    <cellStyle name="Normal 9 3 3 2 6 3" xfId="11194" xr:uid="{F63AC40E-5761-4411-81A4-443A22F15022}"/>
    <cellStyle name="Normal 9 3 3 2 7" xfId="4897" xr:uid="{00000000-0005-0000-0000-00000E200000}"/>
    <cellStyle name="Normal 9 3 3 2 7 2" xfId="13347" xr:uid="{1B29A3C2-ADF6-4702-8CF1-44D039E8E22C}"/>
    <cellStyle name="Normal 9 3 3 2 8" xfId="17569" xr:uid="{7488C7BE-EAA9-4CFF-82B4-3C08BD5F2659}"/>
    <cellStyle name="Normal 9 3 3 2 9" xfId="18402" xr:uid="{50187590-903D-42CE-B767-43F00A2EAF5D}"/>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6B840DA8-AC4E-4D8C-8609-299C48C383D0}"/>
    <cellStyle name="Normal 9 3 3 3 2 3" xfId="11686" xr:uid="{F79A521C-84E1-4800-BD3D-4B3804C231E4}"/>
    <cellStyle name="Normal 9 3 3 3 3" xfId="5309" xr:uid="{00000000-0005-0000-0000-000012200000}"/>
    <cellStyle name="Normal 9 3 3 3 3 2" xfId="13759" xr:uid="{6466752B-33D3-4F91-B385-6634DBD0AA97}"/>
    <cellStyle name="Normal 9 3 3 3 4" xfId="17987" xr:uid="{AD8E9FDD-34D5-4467-BCAB-76D5E35A1919}"/>
    <cellStyle name="Normal 9 3 3 3 5" xfId="18817" xr:uid="{E245E0A9-82A5-46A6-B771-F889AFE83ECB}"/>
    <cellStyle name="Normal 9 3 3 3 6" xfId="19646" xr:uid="{7F3D4C40-F095-4DAC-B325-D47A82A4E5E1}"/>
    <cellStyle name="Normal 9 3 3 3 7" xfId="9541" xr:uid="{5D877709-796D-44E0-B535-60465C299E61}"/>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5802EDF3-2949-4F2A-A3A2-DC20A68DFB5C}"/>
    <cellStyle name="Normal 9 3 3 4 2 3" xfId="12099" xr:uid="{AF9A7F43-103F-44CB-B627-2EDD7E4FAD15}"/>
    <cellStyle name="Normal 9 3 3 4 3" xfId="5722" xr:uid="{00000000-0005-0000-0000-000016200000}"/>
    <cellStyle name="Normal 9 3 3 4 3 2" xfId="14172" xr:uid="{25661205-C9E9-4393-94CB-E9B59D06D632}"/>
    <cellStyle name="Normal 9 3 3 4 4" xfId="9954" xr:uid="{996CC84F-FD0F-43F7-93E1-CEE71378C6EE}"/>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130CE4C2-0406-4088-9997-79944B2F7C2C}"/>
    <cellStyle name="Normal 9 3 3 5 2 3" xfId="12512" xr:uid="{9271B3B5-40DE-42A2-8C06-4ECC2ABB84B3}"/>
    <cellStyle name="Normal 9 3 3 5 3" xfId="6135" xr:uid="{00000000-0005-0000-0000-00001A200000}"/>
    <cellStyle name="Normal 9 3 3 5 3 2" xfId="14585" xr:uid="{C4EE7002-21D0-49B7-B1C0-0DA96F1BC6E0}"/>
    <cellStyle name="Normal 9 3 3 5 4" xfId="10367" xr:uid="{E37C7CD6-3341-461F-9DF7-10BB90CF95C3}"/>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35219F60-7146-4642-8F46-FC94AECD64E9}"/>
    <cellStyle name="Normal 9 3 3 6 2 3" xfId="12925" xr:uid="{2C0D62BB-92D3-4595-8751-06B1B41455A2}"/>
    <cellStyle name="Normal 9 3 3 6 3" xfId="6548" xr:uid="{00000000-0005-0000-0000-00001E200000}"/>
    <cellStyle name="Normal 9 3 3 6 3 2" xfId="14998" xr:uid="{C8B9A060-1718-4DAC-9248-1BD6CC691CFA}"/>
    <cellStyle name="Normal 9 3 3 6 4" xfId="10780" xr:uid="{ADBAF93B-11E1-4E19-8F20-E5139C03D27A}"/>
    <cellStyle name="Normal 9 3 3 7" xfId="2678" xr:uid="{00000000-0005-0000-0000-00001F200000}"/>
    <cellStyle name="Normal 9 3 3 7 2" xfId="6961" xr:uid="{00000000-0005-0000-0000-000020200000}"/>
    <cellStyle name="Normal 9 3 3 7 2 2" xfId="15411" xr:uid="{F3880C5E-3A97-4528-AC3A-C86C616221DE}"/>
    <cellStyle name="Normal 9 3 3 7 3" xfId="11193" xr:uid="{80ECA760-BB3E-452B-8653-28186A1706D1}"/>
    <cellStyle name="Normal 9 3 3 8" xfId="4896" xr:uid="{00000000-0005-0000-0000-000021200000}"/>
    <cellStyle name="Normal 9 3 3 8 2" xfId="13346" xr:uid="{7DD4AFE6-034F-44FD-967C-8B9A7FC324DC}"/>
    <cellStyle name="Normal 9 3 3 9" xfId="17568" xr:uid="{75012179-B7B7-4EDC-8AE9-643F3D88D674}"/>
    <cellStyle name="Normal 9 3 4" xfId="534" xr:uid="{00000000-0005-0000-0000-000022200000}"/>
    <cellStyle name="Normal 9 3 4 10" xfId="19232" xr:uid="{BAF4F3CE-668F-48F3-A1DE-16794771D0E0}"/>
    <cellStyle name="Normal 9 3 4 11" xfId="9130" xr:uid="{D2DAB772-D354-4FBA-AC11-46A371E94334}"/>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1983FF0F-F3E6-428E-8274-FF7BD01A54E5}"/>
    <cellStyle name="Normal 9 3 4 2 2 3" xfId="11688" xr:uid="{F9A8740E-ED94-482B-892F-0D1A21726ED3}"/>
    <cellStyle name="Normal 9 3 4 2 3" xfId="5311" xr:uid="{00000000-0005-0000-0000-000026200000}"/>
    <cellStyle name="Normal 9 3 4 2 3 2" xfId="13761" xr:uid="{D6162EF7-9E61-48DD-A227-6A7449F344B4}"/>
    <cellStyle name="Normal 9 3 4 2 4" xfId="17989" xr:uid="{4337E65A-05DD-4248-AA21-82DCD982891B}"/>
    <cellStyle name="Normal 9 3 4 2 5" xfId="18819" xr:uid="{25E8D1EA-CD5D-40CA-A45C-A50A247B20A1}"/>
    <cellStyle name="Normal 9 3 4 2 6" xfId="19648" xr:uid="{07E23FB7-A698-4224-874F-C8BB28033A84}"/>
    <cellStyle name="Normal 9 3 4 2 7" xfId="9543" xr:uid="{CEC1C434-E960-4BBA-9F3C-BD08BED4CAFE}"/>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FE4E17C2-1355-4030-9C19-4C56CD557BC0}"/>
    <cellStyle name="Normal 9 3 4 3 2 3" xfId="12101" xr:uid="{A3962869-3756-47B8-9D4D-1DCC8BD42793}"/>
    <cellStyle name="Normal 9 3 4 3 3" xfId="5724" xr:uid="{00000000-0005-0000-0000-00002A200000}"/>
    <cellStyle name="Normal 9 3 4 3 3 2" xfId="14174" xr:uid="{5E07F050-E1A0-48CF-83BF-BFAB78B49D4E}"/>
    <cellStyle name="Normal 9 3 4 3 4" xfId="9956" xr:uid="{36D3DE19-FD79-48EB-889A-8C05204541DC}"/>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1DEABFAF-9A5B-4232-89F5-E47B068F96D0}"/>
    <cellStyle name="Normal 9 3 4 4 2 3" xfId="12514" xr:uid="{B874F913-0885-46D4-A59A-F32F985468DB}"/>
    <cellStyle name="Normal 9 3 4 4 3" xfId="6137" xr:uid="{00000000-0005-0000-0000-00002E200000}"/>
    <cellStyle name="Normal 9 3 4 4 3 2" xfId="14587" xr:uid="{2E6CA628-7B2D-4DB6-BB0D-FAC557275C1C}"/>
    <cellStyle name="Normal 9 3 4 4 4" xfId="10369" xr:uid="{F92360CA-A64F-4FB2-92DF-3B80813B4B45}"/>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AE9CAE9D-0DBC-42DD-A5CE-99AFD2C69C7E}"/>
    <cellStyle name="Normal 9 3 4 5 2 3" xfId="12927" xr:uid="{98BAAA8A-D0DF-4B34-AE7C-434DC20A55EA}"/>
    <cellStyle name="Normal 9 3 4 5 3" xfId="6550" xr:uid="{00000000-0005-0000-0000-000032200000}"/>
    <cellStyle name="Normal 9 3 4 5 3 2" xfId="15000" xr:uid="{6BA47AEA-3E2B-42A0-8878-372C6038DAE1}"/>
    <cellStyle name="Normal 9 3 4 5 4" xfId="10782" xr:uid="{5B2B4384-2691-4074-A74E-3DC517FEBA1C}"/>
    <cellStyle name="Normal 9 3 4 6" xfId="2680" xr:uid="{00000000-0005-0000-0000-000033200000}"/>
    <cellStyle name="Normal 9 3 4 6 2" xfId="6963" xr:uid="{00000000-0005-0000-0000-000034200000}"/>
    <cellStyle name="Normal 9 3 4 6 2 2" xfId="15413" xr:uid="{1AEC226C-7D85-4274-A61A-BEB396F699C5}"/>
    <cellStyle name="Normal 9 3 4 6 3" xfId="11195" xr:uid="{FC436CCE-611A-4B5F-97C3-605C7448A76A}"/>
    <cellStyle name="Normal 9 3 4 7" xfId="4898" xr:uid="{00000000-0005-0000-0000-000035200000}"/>
    <cellStyle name="Normal 9 3 4 7 2" xfId="13348" xr:uid="{5628E854-181F-4F46-99F2-75D4D50BFF4A}"/>
    <cellStyle name="Normal 9 3 4 8" xfId="17570" xr:uid="{8686D949-12CC-4BB0-8B8E-A1AA20865FB8}"/>
    <cellStyle name="Normal 9 3 4 9" xfId="18403" xr:uid="{E347C92C-3967-48F8-8AC7-C53441B5B288}"/>
    <cellStyle name="Normal 9 3 5" xfId="994" xr:uid="{00000000-0005-0000-0000-000036200000}"/>
    <cellStyle name="Normal 9 3 5 2" xfId="3227" xr:uid="{00000000-0005-0000-0000-000037200000}"/>
    <cellStyle name="Normal 9 3 5 2 2" xfId="7449" xr:uid="{00000000-0005-0000-0000-000038200000}"/>
    <cellStyle name="Normal 9 3 5 2 2 2" xfId="15899" xr:uid="{58578E8F-6C6B-4BB5-B23F-63C2F01AD2CB}"/>
    <cellStyle name="Normal 9 3 5 2 3" xfId="11681" xr:uid="{635212CC-66E7-468E-8906-EDB5648E7EA3}"/>
    <cellStyle name="Normal 9 3 5 3" xfId="5304" xr:uid="{00000000-0005-0000-0000-000039200000}"/>
    <cellStyle name="Normal 9 3 5 3 2" xfId="13754" xr:uid="{F8860570-DDC0-4673-AD22-63218B713DCE}"/>
    <cellStyle name="Normal 9 3 5 4" xfId="17982" xr:uid="{DF4A9431-6795-4D53-91D8-9AE283399852}"/>
    <cellStyle name="Normal 9 3 5 5" xfId="18812" xr:uid="{879508D6-5903-4F78-8219-D644B967DB2B}"/>
    <cellStyle name="Normal 9 3 5 6" xfId="19641" xr:uid="{C74347D7-850C-47EF-9283-CAC464C1D275}"/>
    <cellStyle name="Normal 9 3 5 7" xfId="9536" xr:uid="{4F1C1479-DA44-4702-9C0A-EF938D570E89}"/>
    <cellStyle name="Normal 9 3 6" xfId="1410" xr:uid="{00000000-0005-0000-0000-00003A200000}"/>
    <cellStyle name="Normal 9 3 6 2" xfId="3640" xr:uid="{00000000-0005-0000-0000-00003B200000}"/>
    <cellStyle name="Normal 9 3 6 2 2" xfId="7862" xr:uid="{00000000-0005-0000-0000-00003C200000}"/>
    <cellStyle name="Normal 9 3 6 2 2 2" xfId="16312" xr:uid="{E9691561-8559-4752-902D-9FB805E57E0A}"/>
    <cellStyle name="Normal 9 3 6 2 3" xfId="12094" xr:uid="{BA310DCF-55B5-44BB-AA2D-218E443C5F87}"/>
    <cellStyle name="Normal 9 3 6 3" xfId="5717" xr:uid="{00000000-0005-0000-0000-00003D200000}"/>
    <cellStyle name="Normal 9 3 6 3 2" xfId="14167" xr:uid="{AC6DC37F-9B4D-4B2C-82C1-A40C83D311FE}"/>
    <cellStyle name="Normal 9 3 6 4" xfId="9949" xr:uid="{1295B810-BC50-447A-9C12-57E92EF8FA20}"/>
    <cellStyle name="Normal 9 3 7" xfId="1823" xr:uid="{00000000-0005-0000-0000-00003E200000}"/>
    <cellStyle name="Normal 9 3 7 2" xfId="4053" xr:uid="{00000000-0005-0000-0000-00003F200000}"/>
    <cellStyle name="Normal 9 3 7 2 2" xfId="8275" xr:uid="{00000000-0005-0000-0000-000040200000}"/>
    <cellStyle name="Normal 9 3 7 2 2 2" xfId="16725" xr:uid="{E19E1F1F-67A2-4102-86C2-D6AEE9748C19}"/>
    <cellStyle name="Normal 9 3 7 2 3" xfId="12507" xr:uid="{64AE44D9-3E44-485C-9278-510B50EDBAFF}"/>
    <cellStyle name="Normal 9 3 7 3" xfId="6130" xr:uid="{00000000-0005-0000-0000-000041200000}"/>
    <cellStyle name="Normal 9 3 7 3 2" xfId="14580" xr:uid="{A18448ED-3811-4D8D-8F79-3BEE13D0C680}"/>
    <cellStyle name="Normal 9 3 7 4" xfId="10362" xr:uid="{D97B0370-2724-4038-91F9-6F2B37F3F6C7}"/>
    <cellStyle name="Normal 9 3 8" xfId="2237" xr:uid="{00000000-0005-0000-0000-000042200000}"/>
    <cellStyle name="Normal 9 3 8 2" xfId="4466" xr:uid="{00000000-0005-0000-0000-000043200000}"/>
    <cellStyle name="Normal 9 3 8 2 2" xfId="8688" xr:uid="{00000000-0005-0000-0000-000044200000}"/>
    <cellStyle name="Normal 9 3 8 2 2 2" xfId="17138" xr:uid="{A630F872-F9B8-4829-8E57-E0E3CA668281}"/>
    <cellStyle name="Normal 9 3 8 2 3" xfId="12920" xr:uid="{EAD20AEA-868F-4DBE-B7B5-F5F6A42ED16E}"/>
    <cellStyle name="Normal 9 3 8 3" xfId="6543" xr:uid="{00000000-0005-0000-0000-000045200000}"/>
    <cellStyle name="Normal 9 3 8 3 2" xfId="14993" xr:uid="{21855EB3-2197-4CEF-8672-8EDCD5A00486}"/>
    <cellStyle name="Normal 9 3 8 4" xfId="10775" xr:uid="{89C236E4-D124-437D-970D-E05E9F616B60}"/>
    <cellStyle name="Normal 9 3 9" xfId="2673" xr:uid="{00000000-0005-0000-0000-000046200000}"/>
    <cellStyle name="Normal 9 3 9 2" xfId="6956" xr:uid="{00000000-0005-0000-0000-000047200000}"/>
    <cellStyle name="Normal 9 3 9 2 2" xfId="15406" xr:uid="{42293876-B268-4850-A7F8-5F6539B96463}"/>
    <cellStyle name="Normal 9 3 9 3" xfId="11188" xr:uid="{6028A30B-1254-4975-92E5-3023F6FD5E54}"/>
    <cellStyle name="Normal 9 4" xfId="535" xr:uid="{00000000-0005-0000-0000-000048200000}"/>
    <cellStyle name="Normal 9 4 2" xfId="1002" xr:uid="{00000000-0005-0000-0000-000049200000}"/>
    <cellStyle name="Normal 9 5" xfId="536" xr:uid="{00000000-0005-0000-0000-00004A200000}"/>
    <cellStyle name="Normal 9 5 10" xfId="18404" xr:uid="{026AB138-39B2-411A-8FAF-798092104A1F}"/>
    <cellStyle name="Normal 9 5 11" xfId="19233" xr:uid="{2F6D668B-C09F-4A3E-9B5E-0642904A2FFD}"/>
    <cellStyle name="Normal 9 5 12" xfId="9131" xr:uid="{72C873DA-B120-4F6F-B9AD-6E4BC716661C}"/>
    <cellStyle name="Normal 9 5 2" xfId="537" xr:uid="{00000000-0005-0000-0000-00004B200000}"/>
    <cellStyle name="Normal 9 5 2 10" xfId="19234" xr:uid="{9DFF3EDD-E705-4B53-89F9-8CD2F0230086}"/>
    <cellStyle name="Normal 9 5 2 11" xfId="9132" xr:uid="{0647B83C-45C3-47AC-BA40-B28623104F05}"/>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59A4BD6B-50FA-41DB-9CAD-6CD98A9EC276}"/>
    <cellStyle name="Normal 9 5 2 2 2 3" xfId="11690" xr:uid="{EE1285F8-A182-4CC7-948C-AEBE61371309}"/>
    <cellStyle name="Normal 9 5 2 2 3" xfId="5313" xr:uid="{00000000-0005-0000-0000-00004F200000}"/>
    <cellStyle name="Normal 9 5 2 2 3 2" xfId="13763" xr:uid="{1C0B437D-B8B2-47F7-9DC3-6426B4A646BF}"/>
    <cellStyle name="Normal 9 5 2 2 4" xfId="17991" xr:uid="{19F859B8-5566-4A45-BE45-88114FE9250A}"/>
    <cellStyle name="Normal 9 5 2 2 5" xfId="18821" xr:uid="{D35E8304-19A4-4FF4-8722-D5BDA0367316}"/>
    <cellStyle name="Normal 9 5 2 2 6" xfId="19650" xr:uid="{03536F07-3F45-4C11-95A3-F048EB7C0AA6}"/>
    <cellStyle name="Normal 9 5 2 2 7" xfId="9545" xr:uid="{20B9BEFB-05DC-490D-ABD3-C89ACCDCA41E}"/>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33C4EBAB-370E-499C-9556-41FF8A9FBB04}"/>
    <cellStyle name="Normal 9 5 2 3 2 3" xfId="12103" xr:uid="{EE795AA5-E31D-44BC-B1BF-66327353DD18}"/>
    <cellStyle name="Normal 9 5 2 3 3" xfId="5726" xr:uid="{00000000-0005-0000-0000-000053200000}"/>
    <cellStyle name="Normal 9 5 2 3 3 2" xfId="14176" xr:uid="{5F016083-4972-476B-88DF-4F06C520C156}"/>
    <cellStyle name="Normal 9 5 2 3 4" xfId="9958" xr:uid="{BD9BC2DB-6BDF-4761-A9B2-4A01F0961E04}"/>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19EEDFF4-A861-496C-981D-1B51B4AC8D48}"/>
    <cellStyle name="Normal 9 5 2 4 2 3" xfId="12516" xr:uid="{2E9617A2-CB2D-4C5A-A5D8-35B52F677E1E}"/>
    <cellStyle name="Normal 9 5 2 4 3" xfId="6139" xr:uid="{00000000-0005-0000-0000-000057200000}"/>
    <cellStyle name="Normal 9 5 2 4 3 2" xfId="14589" xr:uid="{DDA1F8B2-A23E-4931-82F6-F257A18A1121}"/>
    <cellStyle name="Normal 9 5 2 4 4" xfId="10371" xr:uid="{17364C10-4BEA-4493-9CC7-239297F5125C}"/>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397FAF71-66A6-46C4-9366-7D47387D604A}"/>
    <cellStyle name="Normal 9 5 2 5 2 3" xfId="12929" xr:uid="{B6C4AC49-08B7-4CC1-90E5-0D5EA409828D}"/>
    <cellStyle name="Normal 9 5 2 5 3" xfId="6552" xr:uid="{00000000-0005-0000-0000-00005B200000}"/>
    <cellStyle name="Normal 9 5 2 5 3 2" xfId="15002" xr:uid="{5F523674-BC6D-4F01-94CC-3650C76890AE}"/>
    <cellStyle name="Normal 9 5 2 5 4" xfId="10784" xr:uid="{6C4A39A0-EED1-4A6A-A366-E682D6F90FB0}"/>
    <cellStyle name="Normal 9 5 2 6" xfId="2682" xr:uid="{00000000-0005-0000-0000-00005C200000}"/>
    <cellStyle name="Normal 9 5 2 6 2" xfId="6965" xr:uid="{00000000-0005-0000-0000-00005D200000}"/>
    <cellStyle name="Normal 9 5 2 6 2 2" xfId="15415" xr:uid="{E95C15B2-FA13-4F7F-94B1-497F500266FE}"/>
    <cellStyle name="Normal 9 5 2 6 3" xfId="11197" xr:uid="{985B596E-FD1A-400F-BB3E-8B20363064CC}"/>
    <cellStyle name="Normal 9 5 2 7" xfId="4900" xr:uid="{00000000-0005-0000-0000-00005E200000}"/>
    <cellStyle name="Normal 9 5 2 7 2" xfId="13350" xr:uid="{EE1DB29C-C920-40BC-A4CA-B24147FAFF80}"/>
    <cellStyle name="Normal 9 5 2 8" xfId="17572" xr:uid="{909E0203-37E4-4B5D-9417-510A20A299C5}"/>
    <cellStyle name="Normal 9 5 2 9" xfId="18405" xr:uid="{B712EA26-560A-4465-87CE-1A4CC7838953}"/>
    <cellStyle name="Normal 9 5 3" xfId="1003" xr:uid="{00000000-0005-0000-0000-00005F200000}"/>
    <cellStyle name="Normal 9 5 3 2" xfId="3235" xr:uid="{00000000-0005-0000-0000-000060200000}"/>
    <cellStyle name="Normal 9 5 3 2 2" xfId="7457" xr:uid="{00000000-0005-0000-0000-000061200000}"/>
    <cellStyle name="Normal 9 5 3 2 2 2" xfId="15907" xr:uid="{CD8D3122-530E-4D41-8D33-90E4B4DECC76}"/>
    <cellStyle name="Normal 9 5 3 2 3" xfId="11689" xr:uid="{F5E9EA92-A327-4361-994D-30707B0C02FC}"/>
    <cellStyle name="Normal 9 5 3 3" xfId="5312" xr:uid="{00000000-0005-0000-0000-000062200000}"/>
    <cellStyle name="Normal 9 5 3 3 2" xfId="13762" xr:uid="{264A9C20-CA89-400A-83FD-DD306DABDE09}"/>
    <cellStyle name="Normal 9 5 3 4" xfId="17990" xr:uid="{603CD5F7-01B3-4A65-84D4-8149E36AC2EB}"/>
    <cellStyle name="Normal 9 5 3 5" xfId="18820" xr:uid="{8E4A7EE1-EB00-4BE8-90B8-6C4B1080883B}"/>
    <cellStyle name="Normal 9 5 3 6" xfId="19649" xr:uid="{7FD4DD84-102E-46C2-882D-4A0D85903728}"/>
    <cellStyle name="Normal 9 5 3 7" xfId="9544" xr:uid="{2AA23980-148E-4C6D-8AFE-404928B0D6AB}"/>
    <cellStyle name="Normal 9 5 4" xfId="1418" xr:uid="{00000000-0005-0000-0000-000063200000}"/>
    <cellStyle name="Normal 9 5 4 2" xfId="3648" xr:uid="{00000000-0005-0000-0000-000064200000}"/>
    <cellStyle name="Normal 9 5 4 2 2" xfId="7870" xr:uid="{00000000-0005-0000-0000-000065200000}"/>
    <cellStyle name="Normal 9 5 4 2 2 2" xfId="16320" xr:uid="{75D00721-8F98-4F2D-AE72-35539FA5C373}"/>
    <cellStyle name="Normal 9 5 4 2 3" xfId="12102" xr:uid="{0B37BB61-0D8B-4E39-B7B6-5F27120E524E}"/>
    <cellStyle name="Normal 9 5 4 3" xfId="5725" xr:uid="{00000000-0005-0000-0000-000066200000}"/>
    <cellStyle name="Normal 9 5 4 3 2" xfId="14175" xr:uid="{2043B9B6-94ED-4D20-B885-B57CE5230CB4}"/>
    <cellStyle name="Normal 9 5 4 4" xfId="9957" xr:uid="{015ADE15-28D1-4DD0-9A02-0521EF9019CD}"/>
    <cellStyle name="Normal 9 5 5" xfId="1831" xr:uid="{00000000-0005-0000-0000-000067200000}"/>
    <cellStyle name="Normal 9 5 5 2" xfId="4061" xr:uid="{00000000-0005-0000-0000-000068200000}"/>
    <cellStyle name="Normal 9 5 5 2 2" xfId="8283" xr:uid="{00000000-0005-0000-0000-000069200000}"/>
    <cellStyle name="Normal 9 5 5 2 2 2" xfId="16733" xr:uid="{10A66380-BB5C-45A2-A220-C572FCCC1783}"/>
    <cellStyle name="Normal 9 5 5 2 3" xfId="12515" xr:uid="{DD2FADF1-D48B-493F-BE3F-963832DF9EA4}"/>
    <cellStyle name="Normal 9 5 5 3" xfId="6138" xr:uid="{00000000-0005-0000-0000-00006A200000}"/>
    <cellStyle name="Normal 9 5 5 3 2" xfId="14588" xr:uid="{9A635A42-9E2C-49A7-B135-9C05CF80003B}"/>
    <cellStyle name="Normal 9 5 5 4" xfId="10370" xr:uid="{F32A9C54-AC33-472B-9B69-F6C9DE12DE12}"/>
    <cellStyle name="Normal 9 5 6" xfId="2245" xr:uid="{00000000-0005-0000-0000-00006B200000}"/>
    <cellStyle name="Normal 9 5 6 2" xfId="4474" xr:uid="{00000000-0005-0000-0000-00006C200000}"/>
    <cellStyle name="Normal 9 5 6 2 2" xfId="8696" xr:uid="{00000000-0005-0000-0000-00006D200000}"/>
    <cellStyle name="Normal 9 5 6 2 2 2" xfId="17146" xr:uid="{3EC9DD99-84A7-4388-9BE8-1203BD4167E7}"/>
    <cellStyle name="Normal 9 5 6 2 3" xfId="12928" xr:uid="{E82A486C-3454-4BFC-9C94-7D2D520F9884}"/>
    <cellStyle name="Normal 9 5 6 3" xfId="6551" xr:uid="{00000000-0005-0000-0000-00006E200000}"/>
    <cellStyle name="Normal 9 5 6 3 2" xfId="15001" xr:uid="{9B95A9B2-13C5-423D-84F1-7B23AB2B2DE9}"/>
    <cellStyle name="Normal 9 5 6 4" xfId="10783" xr:uid="{C8CA255A-3D83-41E1-BD2C-8597D053EEB6}"/>
    <cellStyle name="Normal 9 5 7" xfId="2681" xr:uid="{00000000-0005-0000-0000-00006F200000}"/>
    <cellStyle name="Normal 9 5 7 2" xfId="6964" xr:uid="{00000000-0005-0000-0000-000070200000}"/>
    <cellStyle name="Normal 9 5 7 2 2" xfId="15414" xr:uid="{6040CA77-DCF5-4CBB-8B36-D5CF9A13A65C}"/>
    <cellStyle name="Normal 9 5 7 3" xfId="11196" xr:uid="{43199B6F-125D-4153-AF5F-D77B52BAA632}"/>
    <cellStyle name="Normal 9 5 8" xfId="4899" xr:uid="{00000000-0005-0000-0000-000071200000}"/>
    <cellStyle name="Normal 9 5 8 2" xfId="13349" xr:uid="{E699AF2E-D50D-497A-B487-5131DE84E552}"/>
    <cellStyle name="Normal 9 5 9" xfId="17571" xr:uid="{1556BAC9-D240-4C98-8667-53C83CD21DD3}"/>
    <cellStyle name="Normal 9 6" xfId="538" xr:uid="{00000000-0005-0000-0000-000072200000}"/>
    <cellStyle name="Normal 9 6 10" xfId="19235" xr:uid="{558F7685-7A9B-4B29-891E-6E3417F585C1}"/>
    <cellStyle name="Normal 9 6 11" xfId="9133" xr:uid="{0AA9F3CE-9038-432F-87B8-6B7EDC34F2AF}"/>
    <cellStyle name="Normal 9 6 2" xfId="1005" xr:uid="{00000000-0005-0000-0000-000073200000}"/>
    <cellStyle name="Normal 9 6 2 2" xfId="3237" xr:uid="{00000000-0005-0000-0000-000074200000}"/>
    <cellStyle name="Normal 9 6 2 2 2" xfId="7459" xr:uid="{00000000-0005-0000-0000-000075200000}"/>
    <cellStyle name="Normal 9 6 2 2 2 2" xfId="15909" xr:uid="{5F26621E-C5C0-4536-8EE8-207CFAB04B11}"/>
    <cellStyle name="Normal 9 6 2 2 3" xfId="11691" xr:uid="{67F1E80E-17D3-4DD6-B5EA-908E172D1119}"/>
    <cellStyle name="Normal 9 6 2 3" xfId="5314" xr:uid="{00000000-0005-0000-0000-000076200000}"/>
    <cellStyle name="Normal 9 6 2 3 2" xfId="13764" xr:uid="{431F025A-DC34-4814-B076-372D07650F7E}"/>
    <cellStyle name="Normal 9 6 2 4" xfId="17992" xr:uid="{1F1003CB-F3CF-4AF6-A175-487457513C2C}"/>
    <cellStyle name="Normal 9 6 2 5" xfId="18822" xr:uid="{28B0591B-9275-4EBD-9E37-C1AAAE400458}"/>
    <cellStyle name="Normal 9 6 2 6" xfId="19651" xr:uid="{A8F591F9-5058-40B8-A7D1-696B34930DC6}"/>
    <cellStyle name="Normal 9 6 2 7" xfId="9546" xr:uid="{CDB9A265-7418-4FD9-9D29-8D8875896BF8}"/>
    <cellStyle name="Normal 9 6 3" xfId="1420" xr:uid="{00000000-0005-0000-0000-000077200000}"/>
    <cellStyle name="Normal 9 6 3 2" xfId="3650" xr:uid="{00000000-0005-0000-0000-000078200000}"/>
    <cellStyle name="Normal 9 6 3 2 2" xfId="7872" xr:uid="{00000000-0005-0000-0000-000079200000}"/>
    <cellStyle name="Normal 9 6 3 2 2 2" xfId="16322" xr:uid="{CA961A34-4757-4239-B18C-A9296EE57F2E}"/>
    <cellStyle name="Normal 9 6 3 2 3" xfId="12104" xr:uid="{D547DE37-DECD-4551-B581-0D0E78326222}"/>
    <cellStyle name="Normal 9 6 3 3" xfId="5727" xr:uid="{00000000-0005-0000-0000-00007A200000}"/>
    <cellStyle name="Normal 9 6 3 3 2" xfId="14177" xr:uid="{A113710D-A4CA-4BDC-922A-2AEB6BFC5685}"/>
    <cellStyle name="Normal 9 6 3 4" xfId="9959" xr:uid="{796DF5DC-6B09-46A7-91E8-69A02308730C}"/>
    <cellStyle name="Normal 9 6 4" xfId="1833" xr:uid="{00000000-0005-0000-0000-00007B200000}"/>
    <cellStyle name="Normal 9 6 4 2" xfId="4063" xr:uid="{00000000-0005-0000-0000-00007C200000}"/>
    <cellStyle name="Normal 9 6 4 2 2" xfId="8285" xr:uid="{00000000-0005-0000-0000-00007D200000}"/>
    <cellStyle name="Normal 9 6 4 2 2 2" xfId="16735" xr:uid="{615B37D9-DF08-44A6-A141-052B10DBA4E3}"/>
    <cellStyle name="Normal 9 6 4 2 3" xfId="12517" xr:uid="{8D302AAD-673F-48C2-8D10-F3D42D446A46}"/>
    <cellStyle name="Normal 9 6 4 3" xfId="6140" xr:uid="{00000000-0005-0000-0000-00007E200000}"/>
    <cellStyle name="Normal 9 6 4 3 2" xfId="14590" xr:uid="{B1FD5275-E651-4B01-B8A1-FDB406643F00}"/>
    <cellStyle name="Normal 9 6 4 4" xfId="10372" xr:uid="{D1EC08DD-59F8-4B11-94CF-70B7B57C73AF}"/>
    <cellStyle name="Normal 9 6 5" xfId="2247" xr:uid="{00000000-0005-0000-0000-00007F200000}"/>
    <cellStyle name="Normal 9 6 5 2" xfId="4476" xr:uid="{00000000-0005-0000-0000-000080200000}"/>
    <cellStyle name="Normal 9 6 5 2 2" xfId="8698" xr:uid="{00000000-0005-0000-0000-000081200000}"/>
    <cellStyle name="Normal 9 6 5 2 2 2" xfId="17148" xr:uid="{D95A49F4-4B2F-460B-82C2-3FA221BA68AD}"/>
    <cellStyle name="Normal 9 6 5 2 3" xfId="12930" xr:uid="{4ABD50C8-6071-4E53-82C1-65F4019CA0D5}"/>
    <cellStyle name="Normal 9 6 5 3" xfId="6553" xr:uid="{00000000-0005-0000-0000-000082200000}"/>
    <cellStyle name="Normal 9 6 5 3 2" xfId="15003" xr:uid="{A2B7A86A-6EFB-41DD-8A0F-F0D8A150A232}"/>
    <cellStyle name="Normal 9 6 5 4" xfId="10785" xr:uid="{B06091D1-A619-4601-9557-83262D530CD7}"/>
    <cellStyle name="Normal 9 6 6" xfId="2683" xr:uid="{00000000-0005-0000-0000-000083200000}"/>
    <cellStyle name="Normal 9 6 6 2" xfId="6966" xr:uid="{00000000-0005-0000-0000-000084200000}"/>
    <cellStyle name="Normal 9 6 6 2 2" xfId="15416" xr:uid="{8B62E68F-ED21-492E-829F-29F44D039258}"/>
    <cellStyle name="Normal 9 6 6 3" xfId="11198" xr:uid="{16220FA1-A3EE-4EAE-86C8-E9EA6757BEC1}"/>
    <cellStyle name="Normal 9 6 7" xfId="4901" xr:uid="{00000000-0005-0000-0000-000085200000}"/>
    <cellStyle name="Normal 9 6 7 2" xfId="13351" xr:uid="{CC134B5B-3713-4E79-BB10-93D0CC23475D}"/>
    <cellStyle name="Normal 9 6 8" xfId="17573" xr:uid="{2B22A7D1-B254-4D10-802C-870F342D3F17}"/>
    <cellStyle name="Normal 9 6 9" xfId="18406" xr:uid="{B7434075-907D-4173-9F1F-3E56B6B230C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CD3B2429-F160-4723-AD74-A57756CD6D7D}"/>
    <cellStyle name="Note 2 2 10 3" xfId="11279" xr:uid="{712516E7-6142-4151-B2E4-852373AE984C}"/>
    <cellStyle name="Note 2 2 11" xfId="4902" xr:uid="{00000000-0005-0000-0000-000094200000}"/>
    <cellStyle name="Note 2 2 11 2" xfId="13352" xr:uid="{5FF510A9-037D-412E-8B12-D59D1A73A288}"/>
    <cellStyle name="Note 2 2 12" xfId="17574" xr:uid="{410C980C-530B-4476-887B-90091AC0491F}"/>
    <cellStyle name="Note 2 2 13" xfId="18407" xr:uid="{A7B2CE54-E2F3-4CCB-8E2B-01C60CEDB9D0}"/>
    <cellStyle name="Note 2 2 14" xfId="19236" xr:uid="{AABD3785-2E23-4D07-85C1-BF2BC96748F9}"/>
    <cellStyle name="Note 2 2 15" xfId="9134" xr:uid="{F00D6E55-5737-4909-98CA-4849AE9FC9C2}"/>
    <cellStyle name="Note 2 2 2" xfId="546" xr:uid="{00000000-0005-0000-0000-000095200000}"/>
    <cellStyle name="Note 2 2 2 10" xfId="4903" xr:uid="{00000000-0005-0000-0000-000096200000}"/>
    <cellStyle name="Note 2 2 2 10 2" xfId="13353" xr:uid="{987EDDBB-8A05-48B4-87DE-3E9A7EF43DBC}"/>
    <cellStyle name="Note 2 2 2 11" xfId="17575" xr:uid="{C16AAF22-D3C6-462F-9F92-F10EE8A4EDF3}"/>
    <cellStyle name="Note 2 2 2 12" xfId="18408" xr:uid="{005C678F-269A-4081-B6B3-48805186F05D}"/>
    <cellStyle name="Note 2 2 2 13" xfId="19237" xr:uid="{DCD1F683-8668-4548-98C0-39C8EF8C7AE9}"/>
    <cellStyle name="Note 2 2 2 14" xfId="9135" xr:uid="{533E5D08-AB9B-49F5-BA5E-E99A89247943}"/>
    <cellStyle name="Note 2 2 2 2" xfId="547" xr:uid="{00000000-0005-0000-0000-000097200000}"/>
    <cellStyle name="Note 2 2 2 2 10" xfId="17576" xr:uid="{4131413F-C1AD-4D8B-B32A-3FD64787D793}"/>
    <cellStyle name="Note 2 2 2 2 11" xfId="18409" xr:uid="{06422414-3A48-4A3C-969F-506E2C13942B}"/>
    <cellStyle name="Note 2 2 2 2 12" xfId="19238" xr:uid="{A3870541-5118-470C-A4EC-363565281453}"/>
    <cellStyle name="Note 2 2 2 2 13" xfId="9136" xr:uid="{5470EBAC-2369-409F-9AA6-97E4B9B27FB7}"/>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141919F8-5A90-4F8E-8E9B-D2DEC8B37ACE}"/>
    <cellStyle name="Note 2 2 2 2 2 2 3" xfId="11694" xr:uid="{9CABFD3B-A91F-40B3-A592-B83413132E99}"/>
    <cellStyle name="Note 2 2 2 2 2 3" xfId="5317" xr:uid="{00000000-0005-0000-0000-00009B200000}"/>
    <cellStyle name="Note 2 2 2 2 2 3 2" xfId="13767" xr:uid="{4D9C839B-AC1D-47B0-8C02-5F97B84159A9}"/>
    <cellStyle name="Note 2 2 2 2 2 4" xfId="17995" xr:uid="{7B712838-6971-447C-9A51-072158BCFE91}"/>
    <cellStyle name="Note 2 2 2 2 2 5" xfId="18825" xr:uid="{2D45F928-3807-4DC7-BA08-DE186EA5DA2C}"/>
    <cellStyle name="Note 2 2 2 2 2 6" xfId="19654" xr:uid="{D1379B0E-D09B-4CC0-B06A-1956FC6B3959}"/>
    <cellStyle name="Note 2 2 2 2 2 7" xfId="9549" xr:uid="{2C7F06EA-34B7-456E-AAB1-DE39BE3548CB}"/>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961E73D7-803F-401E-9805-C59E27E64A9A}"/>
    <cellStyle name="Note 2 2 2 2 3 2 3" xfId="12107" xr:uid="{F0BC01C3-FD83-4931-838E-C42B17D9D2DF}"/>
    <cellStyle name="Note 2 2 2 2 3 3" xfId="5730" xr:uid="{00000000-0005-0000-0000-00009F200000}"/>
    <cellStyle name="Note 2 2 2 2 3 3 2" xfId="14180" xr:uid="{82AF0C7D-5B54-4BD3-AA7D-92AD844BBF20}"/>
    <cellStyle name="Note 2 2 2 2 3 4" xfId="9962" xr:uid="{688C3800-B0E0-4D37-980C-74315A16E3FF}"/>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E0E346CD-A0B0-44DF-B057-3B4BAFB0E38B}"/>
    <cellStyle name="Note 2 2 2 2 4 2 3" xfId="12520" xr:uid="{CCF9CE73-4746-4898-9E87-DC1255AE96FE}"/>
    <cellStyle name="Note 2 2 2 2 4 3" xfId="6143" xr:uid="{00000000-0005-0000-0000-0000A3200000}"/>
    <cellStyle name="Note 2 2 2 2 4 3 2" xfId="14593" xr:uid="{AD71F3FF-51D0-44EB-B9A3-EF8E6B5E5521}"/>
    <cellStyle name="Note 2 2 2 2 4 4" xfId="10375" xr:uid="{EC3B30B4-57EB-46F5-9564-21A213965255}"/>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2B8BEB38-7994-45D8-922A-DE1665CBF277}"/>
    <cellStyle name="Note 2 2 2 2 5 2 3" xfId="12933" xr:uid="{DAC33E6A-D142-44FC-B57A-35E8FE6B5418}"/>
    <cellStyle name="Note 2 2 2 2 5 3" xfId="6556" xr:uid="{00000000-0005-0000-0000-0000A7200000}"/>
    <cellStyle name="Note 2 2 2 2 5 3 2" xfId="15006" xr:uid="{BE9370F8-EFCB-42FD-8A86-D5C0F62B2296}"/>
    <cellStyle name="Note 2 2 2 2 5 4" xfId="10788" xr:uid="{F18E0019-BE1E-4CB2-8083-36CE5594AE54}"/>
    <cellStyle name="Note 2 2 2 2 6" xfId="2686" xr:uid="{00000000-0005-0000-0000-0000A8200000}"/>
    <cellStyle name="Note 2 2 2 2 6 2" xfId="6969" xr:uid="{00000000-0005-0000-0000-0000A9200000}"/>
    <cellStyle name="Note 2 2 2 2 6 2 2" xfId="15419" xr:uid="{04FC17D3-21C6-49A4-AD80-93F68FBA08F6}"/>
    <cellStyle name="Note 2 2 2 2 6 3" xfId="11201" xr:uid="{6BB8301D-86C3-42AE-896A-AAB3E7A862B2}"/>
    <cellStyle name="Note 2 2 2 2 7" xfId="2745" xr:uid="{00000000-0005-0000-0000-0000AA200000}"/>
    <cellStyle name="Note 2 2 2 2 8" xfId="2826" xr:uid="{00000000-0005-0000-0000-0000AB200000}"/>
    <cellStyle name="Note 2 2 2 2 8 2" xfId="7049" xr:uid="{00000000-0005-0000-0000-0000AC200000}"/>
    <cellStyle name="Note 2 2 2 2 8 2 2" xfId="15499" xr:uid="{B1D2C84F-EF00-4749-8FE6-C9192514C86D}"/>
    <cellStyle name="Note 2 2 2 2 8 3" xfId="11281" xr:uid="{6627A673-54E2-4500-86F7-CC9176886729}"/>
    <cellStyle name="Note 2 2 2 2 9" xfId="4904" xr:uid="{00000000-0005-0000-0000-0000AD200000}"/>
    <cellStyle name="Note 2 2 2 2 9 2" xfId="13354" xr:uid="{C33FD9EE-2E79-45B0-8955-E2A329B149EC}"/>
    <cellStyle name="Note 2 2 2 3" xfId="1007" xr:uid="{00000000-0005-0000-0000-0000AE200000}"/>
    <cellStyle name="Note 2 2 2 3 2" xfId="3239" xr:uid="{00000000-0005-0000-0000-0000AF200000}"/>
    <cellStyle name="Note 2 2 2 3 2 2" xfId="7461" xr:uid="{00000000-0005-0000-0000-0000B0200000}"/>
    <cellStyle name="Note 2 2 2 3 2 2 2" xfId="15911" xr:uid="{73E7FF76-38DC-4806-B243-7E7A8887D1EB}"/>
    <cellStyle name="Note 2 2 2 3 2 3" xfId="11693" xr:uid="{5300ECD6-CE38-415B-99F4-DA60B642E931}"/>
    <cellStyle name="Note 2 2 2 3 3" xfId="5316" xr:uid="{00000000-0005-0000-0000-0000B1200000}"/>
    <cellStyle name="Note 2 2 2 3 3 2" xfId="13766" xr:uid="{AE7B1416-EECF-4A1A-B48E-EF6C45BBCBC9}"/>
    <cellStyle name="Note 2 2 2 3 4" xfId="17994" xr:uid="{0182CCFE-EA73-43CA-BB93-13D52E50BFF2}"/>
    <cellStyle name="Note 2 2 2 3 5" xfId="18824" xr:uid="{026FD837-853B-4AE2-9CE7-7F1D1D8ACCA8}"/>
    <cellStyle name="Note 2 2 2 3 6" xfId="19653" xr:uid="{A8C404EA-C6DA-40DF-917F-F9915ABEFDEA}"/>
    <cellStyle name="Note 2 2 2 3 7" xfId="9548" xr:uid="{46E744C1-80C2-4F26-B8CE-6E6F62757BA9}"/>
    <cellStyle name="Note 2 2 2 4" xfId="1422" xr:uid="{00000000-0005-0000-0000-0000B2200000}"/>
    <cellStyle name="Note 2 2 2 4 2" xfId="3652" xr:uid="{00000000-0005-0000-0000-0000B3200000}"/>
    <cellStyle name="Note 2 2 2 4 2 2" xfId="7874" xr:uid="{00000000-0005-0000-0000-0000B4200000}"/>
    <cellStyle name="Note 2 2 2 4 2 2 2" xfId="16324" xr:uid="{60DD27EB-9EA0-4F81-8A55-0773CF029BCF}"/>
    <cellStyle name="Note 2 2 2 4 2 3" xfId="12106" xr:uid="{C3008A25-D2EE-4C07-A766-E997D7B66F13}"/>
    <cellStyle name="Note 2 2 2 4 3" xfId="5729" xr:uid="{00000000-0005-0000-0000-0000B5200000}"/>
    <cellStyle name="Note 2 2 2 4 3 2" xfId="14179" xr:uid="{5E99F458-526D-47BC-9674-7F9AABFBE93B}"/>
    <cellStyle name="Note 2 2 2 4 4" xfId="9961" xr:uid="{1E0C0A31-4856-4FB2-A528-5E16A6F349C1}"/>
    <cellStyle name="Note 2 2 2 5" xfId="1836" xr:uid="{00000000-0005-0000-0000-0000B6200000}"/>
    <cellStyle name="Note 2 2 2 5 2" xfId="4065" xr:uid="{00000000-0005-0000-0000-0000B7200000}"/>
    <cellStyle name="Note 2 2 2 5 2 2" xfId="8287" xr:uid="{00000000-0005-0000-0000-0000B8200000}"/>
    <cellStyle name="Note 2 2 2 5 2 2 2" xfId="16737" xr:uid="{B29C8BA2-7265-442D-98A9-B2E463011327}"/>
    <cellStyle name="Note 2 2 2 5 2 3" xfId="12519" xr:uid="{F8D56B8E-3B7D-477A-BF6D-810C57F3AA7E}"/>
    <cellStyle name="Note 2 2 2 5 3" xfId="6142" xr:uid="{00000000-0005-0000-0000-0000B9200000}"/>
    <cellStyle name="Note 2 2 2 5 3 2" xfId="14592" xr:uid="{5EB83F8A-A4FE-430C-8964-2E2E4B09E31F}"/>
    <cellStyle name="Note 2 2 2 5 4" xfId="10374" xr:uid="{BA1D67CE-90CE-4342-84AD-1925172094A8}"/>
    <cellStyle name="Note 2 2 2 6" xfId="2249" xr:uid="{00000000-0005-0000-0000-0000BA200000}"/>
    <cellStyle name="Note 2 2 2 6 2" xfId="4478" xr:uid="{00000000-0005-0000-0000-0000BB200000}"/>
    <cellStyle name="Note 2 2 2 6 2 2" xfId="8700" xr:uid="{00000000-0005-0000-0000-0000BC200000}"/>
    <cellStyle name="Note 2 2 2 6 2 2 2" xfId="17150" xr:uid="{8F41B1E5-1E18-4A21-9A57-579F00770EFB}"/>
    <cellStyle name="Note 2 2 2 6 2 3" xfId="12932" xr:uid="{FBB7F51B-7830-45E4-9661-192F2FF58623}"/>
    <cellStyle name="Note 2 2 2 6 3" xfId="6555" xr:uid="{00000000-0005-0000-0000-0000BD200000}"/>
    <cellStyle name="Note 2 2 2 6 3 2" xfId="15005" xr:uid="{D7EBA90D-6356-4F48-A122-BF1C8B35D266}"/>
    <cellStyle name="Note 2 2 2 6 4" xfId="10787" xr:uid="{86A0D4E9-A7E2-431B-BB07-705D203D30F5}"/>
    <cellStyle name="Note 2 2 2 7" xfId="2685" xr:uid="{00000000-0005-0000-0000-0000BE200000}"/>
    <cellStyle name="Note 2 2 2 7 2" xfId="6968" xr:uid="{00000000-0005-0000-0000-0000BF200000}"/>
    <cellStyle name="Note 2 2 2 7 2 2" xfId="15418" xr:uid="{2DDFC5F5-2AFB-4A88-AEAA-77CA2491248D}"/>
    <cellStyle name="Note 2 2 2 7 3" xfId="11200" xr:uid="{D43356D7-3992-4748-8EFA-B91157AD78C4}"/>
    <cellStyle name="Note 2 2 2 8" xfId="2744" xr:uid="{00000000-0005-0000-0000-0000C0200000}"/>
    <cellStyle name="Note 2 2 2 9" xfId="2825" xr:uid="{00000000-0005-0000-0000-0000C1200000}"/>
    <cellStyle name="Note 2 2 2 9 2" xfId="7048" xr:uid="{00000000-0005-0000-0000-0000C2200000}"/>
    <cellStyle name="Note 2 2 2 9 2 2" xfId="15498" xr:uid="{1BB621F9-7855-4F54-B9A7-7BE5F644555A}"/>
    <cellStyle name="Note 2 2 2 9 3" xfId="11280" xr:uid="{F0D084F5-CB4F-4DE3-94DD-9D35D78C736A}"/>
    <cellStyle name="Note 2 2 3" xfId="548" xr:uid="{00000000-0005-0000-0000-0000C3200000}"/>
    <cellStyle name="Note 2 2 3 10" xfId="17577" xr:uid="{9FE34CC5-8CAC-496E-8FDA-86DD7F53E98B}"/>
    <cellStyle name="Note 2 2 3 11" xfId="18410" xr:uid="{822AFEC0-28B6-46F1-94A5-06859693E5C0}"/>
    <cellStyle name="Note 2 2 3 12" xfId="19239" xr:uid="{87AE5CA5-7150-4313-8FA4-1D3E71B2CB00}"/>
    <cellStyle name="Note 2 2 3 13" xfId="9137" xr:uid="{CA81765F-C635-42FF-B0F0-972A366423A6}"/>
    <cellStyle name="Note 2 2 3 2" xfId="1009" xr:uid="{00000000-0005-0000-0000-0000C4200000}"/>
    <cellStyle name="Note 2 2 3 2 2" xfId="3241" xr:uid="{00000000-0005-0000-0000-0000C5200000}"/>
    <cellStyle name="Note 2 2 3 2 2 2" xfId="7463" xr:uid="{00000000-0005-0000-0000-0000C6200000}"/>
    <cellStyle name="Note 2 2 3 2 2 2 2" xfId="15913" xr:uid="{7798E0EA-EED4-4925-98C3-04F61BF09009}"/>
    <cellStyle name="Note 2 2 3 2 2 3" xfId="11695" xr:uid="{C05597F0-B03C-44C5-B400-4CD5E507CFEB}"/>
    <cellStyle name="Note 2 2 3 2 3" xfId="5318" xr:uid="{00000000-0005-0000-0000-0000C7200000}"/>
    <cellStyle name="Note 2 2 3 2 3 2" xfId="13768" xr:uid="{B546211A-406E-4C61-B6E2-9917625E7C53}"/>
    <cellStyle name="Note 2 2 3 2 4" xfId="17996" xr:uid="{14835F8C-A920-4BD0-B981-4F8437500D27}"/>
    <cellStyle name="Note 2 2 3 2 5" xfId="18826" xr:uid="{F1C9D7FD-7A02-4B90-9B74-2E9F0B1ADA6B}"/>
    <cellStyle name="Note 2 2 3 2 6" xfId="19655" xr:uid="{61D14183-6520-41E9-BFEA-DB8A3DE8D3D6}"/>
    <cellStyle name="Note 2 2 3 2 7" xfId="9550" xr:uid="{A4A423E4-211C-41E2-AB80-C8FDC830CB8C}"/>
    <cellStyle name="Note 2 2 3 3" xfId="1424" xr:uid="{00000000-0005-0000-0000-0000C8200000}"/>
    <cellStyle name="Note 2 2 3 3 2" xfId="3654" xr:uid="{00000000-0005-0000-0000-0000C9200000}"/>
    <cellStyle name="Note 2 2 3 3 2 2" xfId="7876" xr:uid="{00000000-0005-0000-0000-0000CA200000}"/>
    <cellStyle name="Note 2 2 3 3 2 2 2" xfId="16326" xr:uid="{A0C50543-78E5-4512-A781-88432C8B70D5}"/>
    <cellStyle name="Note 2 2 3 3 2 3" xfId="12108" xr:uid="{F73B24CA-B95C-43BF-97A7-A922C29A39FF}"/>
    <cellStyle name="Note 2 2 3 3 3" xfId="5731" xr:uid="{00000000-0005-0000-0000-0000CB200000}"/>
    <cellStyle name="Note 2 2 3 3 3 2" xfId="14181" xr:uid="{0875FB4D-E9A9-4DB0-A7B6-9CB70D306981}"/>
    <cellStyle name="Note 2 2 3 3 4" xfId="9963" xr:uid="{848650CE-EE79-4087-9BE6-F5783A3AD8A2}"/>
    <cellStyle name="Note 2 2 3 4" xfId="1838" xr:uid="{00000000-0005-0000-0000-0000CC200000}"/>
    <cellStyle name="Note 2 2 3 4 2" xfId="4067" xr:uid="{00000000-0005-0000-0000-0000CD200000}"/>
    <cellStyle name="Note 2 2 3 4 2 2" xfId="8289" xr:uid="{00000000-0005-0000-0000-0000CE200000}"/>
    <cellStyle name="Note 2 2 3 4 2 2 2" xfId="16739" xr:uid="{A988F05E-CBE1-445B-9881-834E46E4D0A4}"/>
    <cellStyle name="Note 2 2 3 4 2 3" xfId="12521" xr:uid="{59E09813-A12F-4E8D-A325-F6E931EC4CFA}"/>
    <cellStyle name="Note 2 2 3 4 3" xfId="6144" xr:uid="{00000000-0005-0000-0000-0000CF200000}"/>
    <cellStyle name="Note 2 2 3 4 3 2" xfId="14594" xr:uid="{74EB908D-D876-4A1B-9BE9-46028A34FF91}"/>
    <cellStyle name="Note 2 2 3 4 4" xfId="10376" xr:uid="{F8EDC325-3EDF-4C36-8DC1-D540C0AB348E}"/>
    <cellStyle name="Note 2 2 3 5" xfId="2251" xr:uid="{00000000-0005-0000-0000-0000D0200000}"/>
    <cellStyle name="Note 2 2 3 5 2" xfId="4480" xr:uid="{00000000-0005-0000-0000-0000D1200000}"/>
    <cellStyle name="Note 2 2 3 5 2 2" xfId="8702" xr:uid="{00000000-0005-0000-0000-0000D2200000}"/>
    <cellStyle name="Note 2 2 3 5 2 2 2" xfId="17152" xr:uid="{5FB96413-7837-4C2F-9530-0830A12F107A}"/>
    <cellStyle name="Note 2 2 3 5 2 3" xfId="12934" xr:uid="{550BB69F-B69C-4A81-AFD1-88B059CAE711}"/>
    <cellStyle name="Note 2 2 3 5 3" xfId="6557" xr:uid="{00000000-0005-0000-0000-0000D3200000}"/>
    <cellStyle name="Note 2 2 3 5 3 2" xfId="15007" xr:uid="{C9DB27F5-3210-45CA-AF7B-05812ECE6A30}"/>
    <cellStyle name="Note 2 2 3 5 4" xfId="10789" xr:uid="{B3B00D0C-A20F-42E2-9162-2DAECDB9A5FD}"/>
    <cellStyle name="Note 2 2 3 6" xfId="2687" xr:uid="{00000000-0005-0000-0000-0000D4200000}"/>
    <cellStyle name="Note 2 2 3 6 2" xfId="6970" xr:uid="{00000000-0005-0000-0000-0000D5200000}"/>
    <cellStyle name="Note 2 2 3 6 2 2" xfId="15420" xr:uid="{D48466AA-CA14-4144-A9BF-9569C5BA8DB1}"/>
    <cellStyle name="Note 2 2 3 6 3" xfId="11202" xr:uid="{15AA1121-FF28-46E6-96AF-A33733D9C678}"/>
    <cellStyle name="Note 2 2 3 7" xfId="2746" xr:uid="{00000000-0005-0000-0000-0000D6200000}"/>
    <cellStyle name="Note 2 2 3 8" xfId="2827" xr:uid="{00000000-0005-0000-0000-0000D7200000}"/>
    <cellStyle name="Note 2 2 3 8 2" xfId="7050" xr:uid="{00000000-0005-0000-0000-0000D8200000}"/>
    <cellStyle name="Note 2 2 3 8 2 2" xfId="15500" xr:uid="{478F42CB-34FB-439A-95D3-46C7F228A825}"/>
    <cellStyle name="Note 2 2 3 8 3" xfId="11282" xr:uid="{DE6B5809-5364-4F38-BDEE-4E8B97D2BCC9}"/>
    <cellStyle name="Note 2 2 3 9" xfId="4905" xr:uid="{00000000-0005-0000-0000-0000D9200000}"/>
    <cellStyle name="Note 2 2 3 9 2" xfId="13355" xr:uid="{F3FA05CE-C478-4660-84F9-B10DE7A273E5}"/>
    <cellStyle name="Note 2 2 4" xfId="1006" xr:uid="{00000000-0005-0000-0000-0000DA200000}"/>
    <cellStyle name="Note 2 2 4 2" xfId="3238" xr:uid="{00000000-0005-0000-0000-0000DB200000}"/>
    <cellStyle name="Note 2 2 4 2 2" xfId="7460" xr:uid="{00000000-0005-0000-0000-0000DC200000}"/>
    <cellStyle name="Note 2 2 4 2 2 2" xfId="15910" xr:uid="{23FEE2BF-C3BE-4B17-9709-A26D02F925A7}"/>
    <cellStyle name="Note 2 2 4 2 3" xfId="11692" xr:uid="{00EAB21E-6C09-4770-A3AE-51B3F7E586B0}"/>
    <cellStyle name="Note 2 2 4 3" xfId="5315" xr:uid="{00000000-0005-0000-0000-0000DD200000}"/>
    <cellStyle name="Note 2 2 4 3 2" xfId="13765" xr:uid="{6A86DDBA-ADA4-4B18-9A9A-03A322F46102}"/>
    <cellStyle name="Note 2 2 4 4" xfId="17993" xr:uid="{BF416369-475F-4D3A-BB11-901CA223B327}"/>
    <cellStyle name="Note 2 2 4 5" xfId="18823" xr:uid="{AEFBBB14-2C4B-4D05-BFD0-D942D1F5DF76}"/>
    <cellStyle name="Note 2 2 4 6" xfId="19652" xr:uid="{61449866-5A2D-4059-B082-F18DF0AFD2FF}"/>
    <cellStyle name="Note 2 2 4 7" xfId="9547" xr:uid="{D2589125-D9E5-44ED-8EE8-91334A55FCAA}"/>
    <cellStyle name="Note 2 2 5" xfId="1421" xr:uid="{00000000-0005-0000-0000-0000DE200000}"/>
    <cellStyle name="Note 2 2 5 2" xfId="3651" xr:uid="{00000000-0005-0000-0000-0000DF200000}"/>
    <cellStyle name="Note 2 2 5 2 2" xfId="7873" xr:uid="{00000000-0005-0000-0000-0000E0200000}"/>
    <cellStyle name="Note 2 2 5 2 2 2" xfId="16323" xr:uid="{FB590292-9143-47C1-A11B-4FC0172D759F}"/>
    <cellStyle name="Note 2 2 5 2 3" xfId="12105" xr:uid="{5A42DFED-5237-455D-9644-8EE4568F1217}"/>
    <cellStyle name="Note 2 2 5 3" xfId="5728" xr:uid="{00000000-0005-0000-0000-0000E1200000}"/>
    <cellStyle name="Note 2 2 5 3 2" xfId="14178" xr:uid="{AC370939-48E0-47EF-B938-E6EE123B1142}"/>
    <cellStyle name="Note 2 2 5 4" xfId="9960" xr:uid="{DCAA40F9-4083-4B87-B18B-836B0B4EFF17}"/>
    <cellStyle name="Note 2 2 6" xfId="1835" xr:uid="{00000000-0005-0000-0000-0000E2200000}"/>
    <cellStyle name="Note 2 2 6 2" xfId="4064" xr:uid="{00000000-0005-0000-0000-0000E3200000}"/>
    <cellStyle name="Note 2 2 6 2 2" xfId="8286" xr:uid="{00000000-0005-0000-0000-0000E4200000}"/>
    <cellStyle name="Note 2 2 6 2 2 2" xfId="16736" xr:uid="{3ACA7F87-7411-4A73-8C8C-00AC227AD07C}"/>
    <cellStyle name="Note 2 2 6 2 3" xfId="12518" xr:uid="{62EC9DCF-4577-4FA4-9845-9F24F48D0300}"/>
    <cellStyle name="Note 2 2 6 3" xfId="6141" xr:uid="{00000000-0005-0000-0000-0000E5200000}"/>
    <cellStyle name="Note 2 2 6 3 2" xfId="14591" xr:uid="{F2323231-3F34-4A72-B8EF-01F1339389E8}"/>
    <cellStyle name="Note 2 2 6 4" xfId="10373" xr:uid="{2D4B0969-9548-4977-AAEF-E625DE664403}"/>
    <cellStyle name="Note 2 2 7" xfId="2248" xr:uid="{00000000-0005-0000-0000-0000E6200000}"/>
    <cellStyle name="Note 2 2 7 2" xfId="4477" xr:uid="{00000000-0005-0000-0000-0000E7200000}"/>
    <cellStyle name="Note 2 2 7 2 2" xfId="8699" xr:uid="{00000000-0005-0000-0000-0000E8200000}"/>
    <cellStyle name="Note 2 2 7 2 2 2" xfId="17149" xr:uid="{783C6452-4DA4-4367-8008-2D325C4EA872}"/>
    <cellStyle name="Note 2 2 7 2 3" xfId="12931" xr:uid="{8D31483E-D1D2-43D1-A83E-0FD3385C7E03}"/>
    <cellStyle name="Note 2 2 7 3" xfId="6554" xr:uid="{00000000-0005-0000-0000-0000E9200000}"/>
    <cellStyle name="Note 2 2 7 3 2" xfId="15004" xr:uid="{A708F229-AF4F-4F2E-9C44-EE3AB386AE78}"/>
    <cellStyle name="Note 2 2 7 4" xfId="10786" xr:uid="{9F3D6699-16E9-4304-BEC3-9B91561A9B17}"/>
    <cellStyle name="Note 2 2 8" xfId="2684" xr:uid="{00000000-0005-0000-0000-0000EA200000}"/>
    <cellStyle name="Note 2 2 8 2" xfId="6967" xr:uid="{00000000-0005-0000-0000-0000EB200000}"/>
    <cellStyle name="Note 2 2 8 2 2" xfId="15417" xr:uid="{0FE20F79-3F75-4190-BCFA-D9F2143314BF}"/>
    <cellStyle name="Note 2 2 8 3" xfId="11199" xr:uid="{3F8363AF-EB1E-470E-96A9-03E272307C1C}"/>
    <cellStyle name="Note 2 2 9" xfId="2743" xr:uid="{00000000-0005-0000-0000-0000EC200000}"/>
    <cellStyle name="Note 2 3" xfId="549" xr:uid="{00000000-0005-0000-0000-0000ED200000}"/>
    <cellStyle name="Note 2 3 10" xfId="4906" xr:uid="{00000000-0005-0000-0000-0000EE200000}"/>
    <cellStyle name="Note 2 3 10 2" xfId="13356" xr:uid="{97622A24-D6E2-4ACD-B140-0A29B97E5260}"/>
    <cellStyle name="Note 2 3 11" xfId="17578" xr:uid="{B0CDD9E3-8EE4-4780-B739-C2F9F7B4174C}"/>
    <cellStyle name="Note 2 3 12" xfId="18411" xr:uid="{9E03E611-9F89-4604-B9F8-7B7681A8E5C8}"/>
    <cellStyle name="Note 2 3 13" xfId="19240" xr:uid="{3197D132-2C54-4E49-B88C-27EAF70EEB30}"/>
    <cellStyle name="Note 2 3 14" xfId="9138" xr:uid="{27CFA5A7-44A8-458C-8A39-6DCB2B6160F8}"/>
    <cellStyle name="Note 2 3 2" xfId="550" xr:uid="{00000000-0005-0000-0000-0000EF200000}"/>
    <cellStyle name="Note 2 3 2 10" xfId="17579" xr:uid="{286327B8-5B25-44F8-9530-744DF1A9FC12}"/>
    <cellStyle name="Note 2 3 2 11" xfId="18412" xr:uid="{FA5F33BE-B5D4-45F1-BF23-BB97D228D5CD}"/>
    <cellStyle name="Note 2 3 2 12" xfId="19241" xr:uid="{B9B70828-F9FF-41DE-BCB7-715BB5870BF2}"/>
    <cellStyle name="Note 2 3 2 13" xfId="9139" xr:uid="{6EAE6849-87EB-46FE-9E50-5B332B8BC3BC}"/>
    <cellStyle name="Note 2 3 2 2" xfId="1011" xr:uid="{00000000-0005-0000-0000-0000F0200000}"/>
    <cellStyle name="Note 2 3 2 2 2" xfId="3243" xr:uid="{00000000-0005-0000-0000-0000F1200000}"/>
    <cellStyle name="Note 2 3 2 2 2 2" xfId="7465" xr:uid="{00000000-0005-0000-0000-0000F2200000}"/>
    <cellStyle name="Note 2 3 2 2 2 2 2" xfId="15915" xr:uid="{F46F2AD0-605C-4D0F-8B23-B5303ED18F05}"/>
    <cellStyle name="Note 2 3 2 2 2 3" xfId="11697" xr:uid="{66BD4E33-ABF2-415C-9653-FAF6A0B4C2C0}"/>
    <cellStyle name="Note 2 3 2 2 3" xfId="5320" xr:uid="{00000000-0005-0000-0000-0000F3200000}"/>
    <cellStyle name="Note 2 3 2 2 3 2" xfId="13770" xr:uid="{B50DA203-7BCB-404E-92C5-CCA3A203C992}"/>
    <cellStyle name="Note 2 3 2 2 4" xfId="17998" xr:uid="{3A643AC4-BC94-40B1-A581-2FEAFD63DAA8}"/>
    <cellStyle name="Note 2 3 2 2 5" xfId="18828" xr:uid="{653C95B8-1109-4B60-95DB-F4B813D859F5}"/>
    <cellStyle name="Note 2 3 2 2 6" xfId="19657" xr:uid="{8537B703-A92D-4B49-A5D8-6070D76BAE1F}"/>
    <cellStyle name="Note 2 3 2 2 7" xfId="9552" xr:uid="{7A043277-BD05-4612-98E7-1BEC744C7EBD}"/>
    <cellStyle name="Note 2 3 2 3" xfId="1426" xr:uid="{00000000-0005-0000-0000-0000F4200000}"/>
    <cellStyle name="Note 2 3 2 3 2" xfId="3656" xr:uid="{00000000-0005-0000-0000-0000F5200000}"/>
    <cellStyle name="Note 2 3 2 3 2 2" xfId="7878" xr:uid="{00000000-0005-0000-0000-0000F6200000}"/>
    <cellStyle name="Note 2 3 2 3 2 2 2" xfId="16328" xr:uid="{B900E2BA-EA03-4BC4-8E5F-0E375F8F6C92}"/>
    <cellStyle name="Note 2 3 2 3 2 3" xfId="12110" xr:uid="{C29AC5E9-1301-49A0-930C-4426014C2DE4}"/>
    <cellStyle name="Note 2 3 2 3 3" xfId="5733" xr:uid="{00000000-0005-0000-0000-0000F7200000}"/>
    <cellStyle name="Note 2 3 2 3 3 2" xfId="14183" xr:uid="{EBE34912-4E9C-49D6-9B4B-E97AA304B709}"/>
    <cellStyle name="Note 2 3 2 3 4" xfId="9965" xr:uid="{0319F9CC-45F5-4F36-A627-AC9AAF8B9045}"/>
    <cellStyle name="Note 2 3 2 4" xfId="1840" xr:uid="{00000000-0005-0000-0000-0000F8200000}"/>
    <cellStyle name="Note 2 3 2 4 2" xfId="4069" xr:uid="{00000000-0005-0000-0000-0000F9200000}"/>
    <cellStyle name="Note 2 3 2 4 2 2" xfId="8291" xr:uid="{00000000-0005-0000-0000-0000FA200000}"/>
    <cellStyle name="Note 2 3 2 4 2 2 2" xfId="16741" xr:uid="{498BECEC-DC65-4BD7-BAD2-9293B9507D1B}"/>
    <cellStyle name="Note 2 3 2 4 2 3" xfId="12523" xr:uid="{50A79762-794C-4176-8B95-FEDE24249036}"/>
    <cellStyle name="Note 2 3 2 4 3" xfId="6146" xr:uid="{00000000-0005-0000-0000-0000FB200000}"/>
    <cellStyle name="Note 2 3 2 4 3 2" xfId="14596" xr:uid="{9C729B33-F3DD-4D8F-83E8-4C26CC4DAB95}"/>
    <cellStyle name="Note 2 3 2 4 4" xfId="10378" xr:uid="{ED80661D-6A16-4A37-84FC-ACAF0A308981}"/>
    <cellStyle name="Note 2 3 2 5" xfId="2253" xr:uid="{00000000-0005-0000-0000-0000FC200000}"/>
    <cellStyle name="Note 2 3 2 5 2" xfId="4482" xr:uid="{00000000-0005-0000-0000-0000FD200000}"/>
    <cellStyle name="Note 2 3 2 5 2 2" xfId="8704" xr:uid="{00000000-0005-0000-0000-0000FE200000}"/>
    <cellStyle name="Note 2 3 2 5 2 2 2" xfId="17154" xr:uid="{2F233DA8-128F-4E77-AD16-959CCBF0D561}"/>
    <cellStyle name="Note 2 3 2 5 2 3" xfId="12936" xr:uid="{58BBC87C-303F-4144-B0B3-1FE2A7E3D7C7}"/>
    <cellStyle name="Note 2 3 2 5 3" xfId="6559" xr:uid="{00000000-0005-0000-0000-0000FF200000}"/>
    <cellStyle name="Note 2 3 2 5 3 2" xfId="15009" xr:uid="{30F140BA-A045-49DB-9A39-D8FA79D75F52}"/>
    <cellStyle name="Note 2 3 2 5 4" xfId="10791" xr:uid="{4CA643EC-A5BE-4971-8898-7D1CADE75742}"/>
    <cellStyle name="Note 2 3 2 6" xfId="2689" xr:uid="{00000000-0005-0000-0000-000000210000}"/>
    <cellStyle name="Note 2 3 2 6 2" xfId="6972" xr:uid="{00000000-0005-0000-0000-000001210000}"/>
    <cellStyle name="Note 2 3 2 6 2 2" xfId="15422" xr:uid="{A0255A68-F4CF-4B18-8C51-B41B1C7E1949}"/>
    <cellStyle name="Note 2 3 2 6 3" xfId="11204" xr:uid="{564BB7C5-A947-4D99-97BA-A263452D7268}"/>
    <cellStyle name="Note 2 3 2 7" xfId="2748" xr:uid="{00000000-0005-0000-0000-000002210000}"/>
    <cellStyle name="Note 2 3 2 8" xfId="2829" xr:uid="{00000000-0005-0000-0000-000003210000}"/>
    <cellStyle name="Note 2 3 2 8 2" xfId="7052" xr:uid="{00000000-0005-0000-0000-000004210000}"/>
    <cellStyle name="Note 2 3 2 8 2 2" xfId="15502" xr:uid="{738469C4-FF5F-4175-B8B9-45382D0450D4}"/>
    <cellStyle name="Note 2 3 2 8 3" xfId="11284" xr:uid="{08393E10-6838-4D4D-8BBE-46ABC63ABD59}"/>
    <cellStyle name="Note 2 3 2 9" xfId="4907" xr:uid="{00000000-0005-0000-0000-000005210000}"/>
    <cellStyle name="Note 2 3 2 9 2" xfId="13357" xr:uid="{4A89D2A2-E5F9-4A73-B014-3425CA866322}"/>
    <cellStyle name="Note 2 3 3" xfId="1010" xr:uid="{00000000-0005-0000-0000-000006210000}"/>
    <cellStyle name="Note 2 3 3 2" xfId="3242" xr:uid="{00000000-0005-0000-0000-000007210000}"/>
    <cellStyle name="Note 2 3 3 2 2" xfId="7464" xr:uid="{00000000-0005-0000-0000-000008210000}"/>
    <cellStyle name="Note 2 3 3 2 2 2" xfId="15914" xr:uid="{020746F6-E31A-4239-A27C-FDA0F985B2AC}"/>
    <cellStyle name="Note 2 3 3 2 3" xfId="11696" xr:uid="{F49D8223-70FC-4771-BAF0-83F49D772E64}"/>
    <cellStyle name="Note 2 3 3 3" xfId="5319" xr:uid="{00000000-0005-0000-0000-000009210000}"/>
    <cellStyle name="Note 2 3 3 3 2" xfId="13769" xr:uid="{04D78A17-0A4E-4695-84D7-4D2E2CC5BBFB}"/>
    <cellStyle name="Note 2 3 3 4" xfId="17997" xr:uid="{C1AB9A0E-BF06-47BB-8727-32754AC1FFF8}"/>
    <cellStyle name="Note 2 3 3 5" xfId="18827" xr:uid="{8FBDBEFC-25A0-4520-B1FC-8C9E983AD891}"/>
    <cellStyle name="Note 2 3 3 6" xfId="19656" xr:uid="{E4BAAB46-78A6-4E5C-ACE7-2523572D8C91}"/>
    <cellStyle name="Note 2 3 3 7" xfId="9551" xr:uid="{F66B9800-1E07-4A0E-ADCB-4CAAB4E556C0}"/>
    <cellStyle name="Note 2 3 4" xfId="1425" xr:uid="{00000000-0005-0000-0000-00000A210000}"/>
    <cellStyle name="Note 2 3 4 2" xfId="3655" xr:uid="{00000000-0005-0000-0000-00000B210000}"/>
    <cellStyle name="Note 2 3 4 2 2" xfId="7877" xr:uid="{00000000-0005-0000-0000-00000C210000}"/>
    <cellStyle name="Note 2 3 4 2 2 2" xfId="16327" xr:uid="{0ACCA153-E02F-4A32-96EB-C5D109D5E052}"/>
    <cellStyle name="Note 2 3 4 2 3" xfId="12109" xr:uid="{09F9907C-0830-49E5-AE16-A177CE9DFEC4}"/>
    <cellStyle name="Note 2 3 4 3" xfId="5732" xr:uid="{00000000-0005-0000-0000-00000D210000}"/>
    <cellStyle name="Note 2 3 4 3 2" xfId="14182" xr:uid="{8577CA48-D888-4A2E-9EB7-9F78460BAB1A}"/>
    <cellStyle name="Note 2 3 4 4" xfId="9964" xr:uid="{C3AB940A-A581-44ED-841E-D17BAD57A4B1}"/>
    <cellStyle name="Note 2 3 5" xfId="1839" xr:uid="{00000000-0005-0000-0000-00000E210000}"/>
    <cellStyle name="Note 2 3 5 2" xfId="4068" xr:uid="{00000000-0005-0000-0000-00000F210000}"/>
    <cellStyle name="Note 2 3 5 2 2" xfId="8290" xr:uid="{00000000-0005-0000-0000-000010210000}"/>
    <cellStyle name="Note 2 3 5 2 2 2" xfId="16740" xr:uid="{1C88E18C-E45E-41CC-8BB1-7E97121D7B0C}"/>
    <cellStyle name="Note 2 3 5 2 3" xfId="12522" xr:uid="{267D144B-D0A8-4C3A-96B3-ADCC1F4FABEE}"/>
    <cellStyle name="Note 2 3 5 3" xfId="6145" xr:uid="{00000000-0005-0000-0000-000011210000}"/>
    <cellStyle name="Note 2 3 5 3 2" xfId="14595" xr:uid="{46B87AD9-399B-44CB-BFB6-E67A2B03D0F0}"/>
    <cellStyle name="Note 2 3 5 4" xfId="10377" xr:uid="{E0F33248-B43B-4DBE-BD4E-4A75727AD915}"/>
    <cellStyle name="Note 2 3 6" xfId="2252" xr:uid="{00000000-0005-0000-0000-000012210000}"/>
    <cellStyle name="Note 2 3 6 2" xfId="4481" xr:uid="{00000000-0005-0000-0000-000013210000}"/>
    <cellStyle name="Note 2 3 6 2 2" xfId="8703" xr:uid="{00000000-0005-0000-0000-000014210000}"/>
    <cellStyle name="Note 2 3 6 2 2 2" xfId="17153" xr:uid="{E3005025-BF91-4667-A4D5-A07612756B65}"/>
    <cellStyle name="Note 2 3 6 2 3" xfId="12935" xr:uid="{F51A6649-6999-4C2B-9F3E-CDD1E5AFAAB7}"/>
    <cellStyle name="Note 2 3 6 3" xfId="6558" xr:uid="{00000000-0005-0000-0000-000015210000}"/>
    <cellStyle name="Note 2 3 6 3 2" xfId="15008" xr:uid="{3E2246D0-5A5A-4394-9049-B1B68F0CE146}"/>
    <cellStyle name="Note 2 3 6 4" xfId="10790" xr:uid="{15B10211-5391-4720-BF83-1757DB9604D3}"/>
    <cellStyle name="Note 2 3 7" xfId="2688" xr:uid="{00000000-0005-0000-0000-000016210000}"/>
    <cellStyle name="Note 2 3 7 2" xfId="6971" xr:uid="{00000000-0005-0000-0000-000017210000}"/>
    <cellStyle name="Note 2 3 7 2 2" xfId="15421" xr:uid="{C1B7E152-0FD5-4226-A33C-AF71E15C8D41}"/>
    <cellStyle name="Note 2 3 7 3" xfId="11203" xr:uid="{A1888DF4-58B6-4DB6-A0BF-B6BF462E39D9}"/>
    <cellStyle name="Note 2 3 8" xfId="2747" xr:uid="{00000000-0005-0000-0000-000018210000}"/>
    <cellStyle name="Note 2 3 9" xfId="2828" xr:uid="{00000000-0005-0000-0000-000019210000}"/>
    <cellStyle name="Note 2 3 9 2" xfId="7051" xr:uid="{00000000-0005-0000-0000-00001A210000}"/>
    <cellStyle name="Note 2 3 9 2 2" xfId="15501" xr:uid="{DB6A6192-C6DF-44D9-ABE7-B81DDF1D2E70}"/>
    <cellStyle name="Note 2 3 9 3" xfId="11283" xr:uid="{C553819C-AB4D-421C-97A2-AA7B68C50B68}"/>
    <cellStyle name="Note 2 4" xfId="551" xr:uid="{00000000-0005-0000-0000-00001B210000}"/>
    <cellStyle name="Note 2 4 10" xfId="17580" xr:uid="{B1E39DDF-2314-42F7-ABE6-4D4489BE68B2}"/>
    <cellStyle name="Note 2 4 11" xfId="18413" xr:uid="{A8CEF272-860A-447C-8009-7C299660A035}"/>
    <cellStyle name="Note 2 4 12" xfId="19242" xr:uid="{33E94934-7B80-47C2-A5E3-6CF014AC4260}"/>
    <cellStyle name="Note 2 4 13" xfId="9140" xr:uid="{BB5B2C29-8139-4312-B213-B66BEFB555E2}"/>
    <cellStyle name="Note 2 4 2" xfId="1012" xr:uid="{00000000-0005-0000-0000-00001C210000}"/>
    <cellStyle name="Note 2 4 2 2" xfId="3244" xr:uid="{00000000-0005-0000-0000-00001D210000}"/>
    <cellStyle name="Note 2 4 2 2 2" xfId="7466" xr:uid="{00000000-0005-0000-0000-00001E210000}"/>
    <cellStyle name="Note 2 4 2 2 2 2" xfId="15916" xr:uid="{0176B6FD-7DC6-4E8C-A743-3B0470F5E8D4}"/>
    <cellStyle name="Note 2 4 2 2 3" xfId="11698" xr:uid="{63904BD3-45BB-4648-8D3A-2B2CACEF3CBE}"/>
    <cellStyle name="Note 2 4 2 3" xfId="5321" xr:uid="{00000000-0005-0000-0000-00001F210000}"/>
    <cellStyle name="Note 2 4 2 3 2" xfId="13771" xr:uid="{29C4AE65-DD21-4A84-98C7-198A10D0D778}"/>
    <cellStyle name="Note 2 4 2 4" xfId="17999" xr:uid="{7A98631C-E66A-4D60-9E27-442316678F7A}"/>
    <cellStyle name="Note 2 4 2 5" xfId="18829" xr:uid="{4620E152-EF42-47CF-9B65-9B79BFEAF544}"/>
    <cellStyle name="Note 2 4 2 6" xfId="19658" xr:uid="{6FF3D289-AE1A-43E7-A7E0-94C5603A0783}"/>
    <cellStyle name="Note 2 4 2 7" xfId="9553" xr:uid="{8C93B039-0317-4220-B321-16A8BF467C30}"/>
    <cellStyle name="Note 2 4 3" xfId="1427" xr:uid="{00000000-0005-0000-0000-000020210000}"/>
    <cellStyle name="Note 2 4 3 2" xfId="3657" xr:uid="{00000000-0005-0000-0000-000021210000}"/>
    <cellStyle name="Note 2 4 3 2 2" xfId="7879" xr:uid="{00000000-0005-0000-0000-000022210000}"/>
    <cellStyle name="Note 2 4 3 2 2 2" xfId="16329" xr:uid="{450CDA04-E822-4481-9473-A9A628A27298}"/>
    <cellStyle name="Note 2 4 3 2 3" xfId="12111" xr:uid="{0D9C8B00-C600-417F-94D7-9A9BC10C181A}"/>
    <cellStyle name="Note 2 4 3 3" xfId="5734" xr:uid="{00000000-0005-0000-0000-000023210000}"/>
    <cellStyle name="Note 2 4 3 3 2" xfId="14184" xr:uid="{48DC63CE-6AEC-499D-8275-5D374FFD9945}"/>
    <cellStyle name="Note 2 4 3 4" xfId="9966" xr:uid="{B9E504E8-3540-452A-8ED3-808F9C5770F5}"/>
    <cellStyle name="Note 2 4 4" xfId="1841" xr:uid="{00000000-0005-0000-0000-000024210000}"/>
    <cellStyle name="Note 2 4 4 2" xfId="4070" xr:uid="{00000000-0005-0000-0000-000025210000}"/>
    <cellStyle name="Note 2 4 4 2 2" xfId="8292" xr:uid="{00000000-0005-0000-0000-000026210000}"/>
    <cellStyle name="Note 2 4 4 2 2 2" xfId="16742" xr:uid="{5DC184BF-C23E-43E5-99EE-71BCAA2929FB}"/>
    <cellStyle name="Note 2 4 4 2 3" xfId="12524" xr:uid="{0A07B576-A4B0-4BD7-A547-F49E10CAF9EF}"/>
    <cellStyle name="Note 2 4 4 3" xfId="6147" xr:uid="{00000000-0005-0000-0000-000027210000}"/>
    <cellStyle name="Note 2 4 4 3 2" xfId="14597" xr:uid="{821431D3-994D-4BCC-9312-0473A1D554E3}"/>
    <cellStyle name="Note 2 4 4 4" xfId="10379" xr:uid="{BA2F4D01-011C-42DE-8E41-AFF15447A596}"/>
    <cellStyle name="Note 2 4 5" xfId="2254" xr:uid="{00000000-0005-0000-0000-000028210000}"/>
    <cellStyle name="Note 2 4 5 2" xfId="4483" xr:uid="{00000000-0005-0000-0000-000029210000}"/>
    <cellStyle name="Note 2 4 5 2 2" xfId="8705" xr:uid="{00000000-0005-0000-0000-00002A210000}"/>
    <cellStyle name="Note 2 4 5 2 2 2" xfId="17155" xr:uid="{5E4118E6-EBE2-4C8A-9EAD-7A1F6365B516}"/>
    <cellStyle name="Note 2 4 5 2 3" xfId="12937" xr:uid="{73B477BF-814B-4C60-903A-D5B98DDBEBD9}"/>
    <cellStyle name="Note 2 4 5 3" xfId="6560" xr:uid="{00000000-0005-0000-0000-00002B210000}"/>
    <cellStyle name="Note 2 4 5 3 2" xfId="15010" xr:uid="{DE714462-70F1-4FD5-A5E4-988934207B21}"/>
    <cellStyle name="Note 2 4 5 4" xfId="10792" xr:uid="{B67E522E-2A0C-433B-862E-D82E9BF95CF1}"/>
    <cellStyle name="Note 2 4 6" xfId="2690" xr:uid="{00000000-0005-0000-0000-00002C210000}"/>
    <cellStyle name="Note 2 4 6 2" xfId="6973" xr:uid="{00000000-0005-0000-0000-00002D210000}"/>
    <cellStyle name="Note 2 4 6 2 2" xfId="15423" xr:uid="{0CED1D67-759D-46A5-B4BC-32DF195C109F}"/>
    <cellStyle name="Note 2 4 6 3" xfId="11205" xr:uid="{FE71C670-D374-490E-BB3B-3EE7D7030E77}"/>
    <cellStyle name="Note 2 4 7" xfId="2749" xr:uid="{00000000-0005-0000-0000-00002E210000}"/>
    <cellStyle name="Note 2 4 8" xfId="2830" xr:uid="{00000000-0005-0000-0000-00002F210000}"/>
    <cellStyle name="Note 2 4 8 2" xfId="7053" xr:uid="{00000000-0005-0000-0000-000030210000}"/>
    <cellStyle name="Note 2 4 8 2 2" xfId="15503" xr:uid="{65787D26-C678-49F0-A5F7-444B7F99E1E4}"/>
    <cellStyle name="Note 2 4 8 3" xfId="11285" xr:uid="{B9EDEA54-1265-40B8-9E8E-A7A7F303DF5A}"/>
    <cellStyle name="Note 2 4 9" xfId="4908" xr:uid="{00000000-0005-0000-0000-000031210000}"/>
    <cellStyle name="Note 2 4 9 2" xfId="13358" xr:uid="{B8A4EFDF-9152-4045-822E-4377D7C54E51}"/>
    <cellStyle name="Note 2 5" xfId="552" xr:uid="{00000000-0005-0000-0000-000032210000}"/>
    <cellStyle name="Note 2 5 10" xfId="17581" xr:uid="{C75CD663-3E25-48A7-8094-A9BC516A50E2}"/>
    <cellStyle name="Note 2 5 11" xfId="18414" xr:uid="{B697D570-1CA9-469A-87BB-8FD5A40B516B}"/>
    <cellStyle name="Note 2 5 12" xfId="19243" xr:uid="{EE2F2CD2-5A0A-4527-A718-C460ADEFE57B}"/>
    <cellStyle name="Note 2 5 13" xfId="9141" xr:uid="{47EB1CEB-12F7-424E-AEBB-6FDF03EFEBF1}"/>
    <cellStyle name="Note 2 5 2" xfId="1013" xr:uid="{00000000-0005-0000-0000-000033210000}"/>
    <cellStyle name="Note 2 5 2 2" xfId="3245" xr:uid="{00000000-0005-0000-0000-000034210000}"/>
    <cellStyle name="Note 2 5 2 2 2" xfId="7467" xr:uid="{00000000-0005-0000-0000-000035210000}"/>
    <cellStyle name="Note 2 5 2 2 2 2" xfId="15917" xr:uid="{5243B556-1093-443B-94F8-CF6BD5FF5226}"/>
    <cellStyle name="Note 2 5 2 2 3" xfId="11699" xr:uid="{1C7B6AE8-692B-486A-B378-FBE2C6D395F2}"/>
    <cellStyle name="Note 2 5 2 3" xfId="5322" xr:uid="{00000000-0005-0000-0000-000036210000}"/>
    <cellStyle name="Note 2 5 2 3 2" xfId="13772" xr:uid="{C79164C6-133D-4614-BC42-2792C0A416E5}"/>
    <cellStyle name="Note 2 5 2 4" xfId="18000" xr:uid="{42F8229A-31EA-4AE5-AD9A-7F66BF1F5C6C}"/>
    <cellStyle name="Note 2 5 2 5" xfId="18830" xr:uid="{6BD71A19-964E-47A6-B76A-050E0469067C}"/>
    <cellStyle name="Note 2 5 2 6" xfId="19659" xr:uid="{EFAAC82D-E483-4058-8CC1-637C1A8AD008}"/>
    <cellStyle name="Note 2 5 2 7" xfId="9554" xr:uid="{B54B389E-CE6D-4484-8ED2-CDCFB43352BF}"/>
    <cellStyle name="Note 2 5 3" xfId="1428" xr:uid="{00000000-0005-0000-0000-000037210000}"/>
    <cellStyle name="Note 2 5 3 2" xfId="3658" xr:uid="{00000000-0005-0000-0000-000038210000}"/>
    <cellStyle name="Note 2 5 3 2 2" xfId="7880" xr:uid="{00000000-0005-0000-0000-000039210000}"/>
    <cellStyle name="Note 2 5 3 2 2 2" xfId="16330" xr:uid="{3F73E898-8566-4453-AB76-09FE92CAB970}"/>
    <cellStyle name="Note 2 5 3 2 3" xfId="12112" xr:uid="{5DE7E9EC-6E60-4EF2-8525-918C5EBC0B95}"/>
    <cellStyle name="Note 2 5 3 3" xfId="5735" xr:uid="{00000000-0005-0000-0000-00003A210000}"/>
    <cellStyle name="Note 2 5 3 3 2" xfId="14185" xr:uid="{F9492795-CDB8-480E-AC61-85248C64F8A5}"/>
    <cellStyle name="Note 2 5 3 4" xfId="9967" xr:uid="{A0C8C719-3EF0-4AA6-8A67-54771E32C7E6}"/>
    <cellStyle name="Note 2 5 4" xfId="1842" xr:uid="{00000000-0005-0000-0000-00003B210000}"/>
    <cellStyle name="Note 2 5 4 2" xfId="4071" xr:uid="{00000000-0005-0000-0000-00003C210000}"/>
    <cellStyle name="Note 2 5 4 2 2" xfId="8293" xr:uid="{00000000-0005-0000-0000-00003D210000}"/>
    <cellStyle name="Note 2 5 4 2 2 2" xfId="16743" xr:uid="{58121C9A-4EB1-4DF1-828F-6E7E9171DBBD}"/>
    <cellStyle name="Note 2 5 4 2 3" xfId="12525" xr:uid="{61629AEC-6778-4A44-9856-D990D4BE7219}"/>
    <cellStyle name="Note 2 5 4 3" xfId="6148" xr:uid="{00000000-0005-0000-0000-00003E210000}"/>
    <cellStyle name="Note 2 5 4 3 2" xfId="14598" xr:uid="{077905BC-53E9-4380-B3B0-63F75CC0C4DD}"/>
    <cellStyle name="Note 2 5 4 4" xfId="10380" xr:uid="{A5DA3DC6-7E6E-405E-A039-F258DFA73388}"/>
    <cellStyle name="Note 2 5 5" xfId="2255" xr:uid="{00000000-0005-0000-0000-00003F210000}"/>
    <cellStyle name="Note 2 5 5 2" xfId="4484" xr:uid="{00000000-0005-0000-0000-000040210000}"/>
    <cellStyle name="Note 2 5 5 2 2" xfId="8706" xr:uid="{00000000-0005-0000-0000-000041210000}"/>
    <cellStyle name="Note 2 5 5 2 2 2" xfId="17156" xr:uid="{056D70F4-5744-4363-9AA2-498EFFD6B2CA}"/>
    <cellStyle name="Note 2 5 5 2 3" xfId="12938" xr:uid="{EE9B121B-3B9C-416C-872D-5D7146FAE08F}"/>
    <cellStyle name="Note 2 5 5 3" xfId="6561" xr:uid="{00000000-0005-0000-0000-000042210000}"/>
    <cellStyle name="Note 2 5 5 3 2" xfId="15011" xr:uid="{11986D65-A489-4117-B810-E8D25828BE1A}"/>
    <cellStyle name="Note 2 5 5 4" xfId="10793" xr:uid="{3889CF98-7F08-4199-83C3-2A36F2E58380}"/>
    <cellStyle name="Note 2 5 6" xfId="2691" xr:uid="{00000000-0005-0000-0000-000043210000}"/>
    <cellStyle name="Note 2 5 6 2" xfId="6974" xr:uid="{00000000-0005-0000-0000-000044210000}"/>
    <cellStyle name="Note 2 5 6 2 2" xfId="15424" xr:uid="{60752DEB-0D1E-4783-B7FB-4B190D810535}"/>
    <cellStyle name="Note 2 5 6 3" xfId="11206" xr:uid="{0A55024A-94CA-4487-AE3D-02BC1ECFAF71}"/>
    <cellStyle name="Note 2 5 7" xfId="2750" xr:uid="{00000000-0005-0000-0000-000045210000}"/>
    <cellStyle name="Note 2 5 8" xfId="2831" xr:uid="{00000000-0005-0000-0000-000046210000}"/>
    <cellStyle name="Note 2 5 8 2" xfId="7054" xr:uid="{00000000-0005-0000-0000-000047210000}"/>
    <cellStyle name="Note 2 5 8 2 2" xfId="15504" xr:uid="{FD974179-6B9A-494C-8912-FA66900BDA65}"/>
    <cellStyle name="Note 2 5 8 3" xfId="11286" xr:uid="{A3B1E709-95BF-4078-8AE3-9CE861478773}"/>
    <cellStyle name="Note 2 5 9" xfId="4909" xr:uid="{00000000-0005-0000-0000-000048210000}"/>
    <cellStyle name="Note 2 5 9 2" xfId="13359" xr:uid="{38C24675-00E8-4694-9386-CC4387E4CE2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09E513E3-2660-468B-BDD9-ECCF97F83118}"/>
    <cellStyle name="Note 3 2 10 3" xfId="11287" xr:uid="{8EB80C24-C5E4-4D6A-99D0-730931AAD483}"/>
    <cellStyle name="Note 3 2 11" xfId="4910" xr:uid="{00000000-0005-0000-0000-00004D210000}"/>
    <cellStyle name="Note 3 2 11 2" xfId="13360" xr:uid="{A463C5C7-745D-4AE1-936A-9B8CBC61B3CF}"/>
    <cellStyle name="Note 3 2 12" xfId="17582" xr:uid="{182334A1-96B7-4F49-8684-FDDAC92F321E}"/>
    <cellStyle name="Note 3 2 13" xfId="18415" xr:uid="{4E6AACA0-FC13-41FE-AF3F-EFAC699366B9}"/>
    <cellStyle name="Note 3 2 14" xfId="19244" xr:uid="{520D7D5F-4A7B-41CA-840B-431431234BC9}"/>
    <cellStyle name="Note 3 2 15" xfId="9142" xr:uid="{7033947C-243C-4558-82E5-D96CDD2C9CC4}"/>
    <cellStyle name="Note 3 2 2" xfId="555" xr:uid="{00000000-0005-0000-0000-00004E210000}"/>
    <cellStyle name="Note 3 2 2 10" xfId="4911" xr:uid="{00000000-0005-0000-0000-00004F210000}"/>
    <cellStyle name="Note 3 2 2 10 2" xfId="13361" xr:uid="{A208B3BA-66D2-4765-87C8-6C1867E63E34}"/>
    <cellStyle name="Note 3 2 2 11" xfId="17583" xr:uid="{65E1A241-6BDD-4EC3-839B-30070D642554}"/>
    <cellStyle name="Note 3 2 2 12" xfId="18416" xr:uid="{C5097E31-AC9E-467B-8CAE-1FDE7C6F982A}"/>
    <cellStyle name="Note 3 2 2 13" xfId="19245" xr:uid="{52490579-5E75-4393-91FF-1042B3137E3C}"/>
    <cellStyle name="Note 3 2 2 14" xfId="9143" xr:uid="{958AC833-40FF-448C-9B53-16E97927BF63}"/>
    <cellStyle name="Note 3 2 2 2" xfId="556" xr:uid="{00000000-0005-0000-0000-000050210000}"/>
    <cellStyle name="Note 3 2 2 2 10" xfId="17584" xr:uid="{AF5295F5-8E5C-4A78-B446-068EC24B2501}"/>
    <cellStyle name="Note 3 2 2 2 11" xfId="18417" xr:uid="{BFFAD099-DF6D-4B55-A0AA-5A7B76A26C8D}"/>
    <cellStyle name="Note 3 2 2 2 12" xfId="19246" xr:uid="{C2B4D6B8-3F58-4EBB-956E-A5BE534C15AF}"/>
    <cellStyle name="Note 3 2 2 2 13" xfId="9144" xr:uid="{259FCE7C-D5DA-48D6-9D0F-C66B61FF9CCA}"/>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C3A4979A-03C7-4C35-B33F-98531A55C99C}"/>
    <cellStyle name="Note 3 2 2 2 2 2 3" xfId="11702" xr:uid="{25923134-5895-4DDE-B715-6195B3973F7F}"/>
    <cellStyle name="Note 3 2 2 2 2 3" xfId="5325" xr:uid="{00000000-0005-0000-0000-000054210000}"/>
    <cellStyle name="Note 3 2 2 2 2 3 2" xfId="13775" xr:uid="{EEFDA6F6-5A93-4F51-84B6-0789D8234752}"/>
    <cellStyle name="Note 3 2 2 2 2 4" xfId="18003" xr:uid="{F5ACE481-3A53-40B7-9245-847A1C8DF7EC}"/>
    <cellStyle name="Note 3 2 2 2 2 5" xfId="18833" xr:uid="{B672A036-08A6-4C2C-B4D3-B6EE1F0D8E36}"/>
    <cellStyle name="Note 3 2 2 2 2 6" xfId="19662" xr:uid="{729F3AA2-6934-4378-B99D-F550A35626B6}"/>
    <cellStyle name="Note 3 2 2 2 2 7" xfId="9557" xr:uid="{496BB7BF-DB22-41D6-A8BD-9DB468CE9785}"/>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D26B3522-E1C9-4830-9950-1D9C6A57E3FE}"/>
    <cellStyle name="Note 3 2 2 2 3 2 3" xfId="12115" xr:uid="{1EF930D2-9714-4EDB-B768-FA96BC7B641A}"/>
    <cellStyle name="Note 3 2 2 2 3 3" xfId="5738" xr:uid="{00000000-0005-0000-0000-000058210000}"/>
    <cellStyle name="Note 3 2 2 2 3 3 2" xfId="14188" xr:uid="{6DD0DDF9-059C-4B40-BDE8-F0CD6AE45157}"/>
    <cellStyle name="Note 3 2 2 2 3 4" xfId="9970" xr:uid="{FDAEECA0-78A4-4E49-A626-A815CA7FE040}"/>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B8AC632B-C77C-4DA6-9295-7C7AAFABAB1B}"/>
    <cellStyle name="Note 3 2 2 2 4 2 3" xfId="12528" xr:uid="{0C5782E5-5DF4-4C95-8638-FCE9E3D1EA3F}"/>
    <cellStyle name="Note 3 2 2 2 4 3" xfId="6151" xr:uid="{00000000-0005-0000-0000-00005C210000}"/>
    <cellStyle name="Note 3 2 2 2 4 3 2" xfId="14601" xr:uid="{98829C95-6F7C-4EEC-90FF-B14A6613F32E}"/>
    <cellStyle name="Note 3 2 2 2 4 4" xfId="10383" xr:uid="{B83D0775-042A-4DEC-849D-103B7500A316}"/>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FED57E55-87D0-4611-9642-462A2A8B9C54}"/>
    <cellStyle name="Note 3 2 2 2 5 2 3" xfId="12941" xr:uid="{25B39269-8C8D-4004-A0CF-B312A1123D2D}"/>
    <cellStyle name="Note 3 2 2 2 5 3" xfId="6564" xr:uid="{00000000-0005-0000-0000-000060210000}"/>
    <cellStyle name="Note 3 2 2 2 5 3 2" xfId="15014" xr:uid="{C4305C2C-D814-4A37-9F71-A921B7662C96}"/>
    <cellStyle name="Note 3 2 2 2 5 4" xfId="10796" xr:uid="{B5D51F53-B589-4F73-AE36-C27E8554B671}"/>
    <cellStyle name="Note 3 2 2 2 6" xfId="2694" xr:uid="{00000000-0005-0000-0000-000061210000}"/>
    <cellStyle name="Note 3 2 2 2 6 2" xfId="6977" xr:uid="{00000000-0005-0000-0000-000062210000}"/>
    <cellStyle name="Note 3 2 2 2 6 2 2" xfId="15427" xr:uid="{4893B62C-B1FB-440F-B01F-5AC857310C41}"/>
    <cellStyle name="Note 3 2 2 2 6 3" xfId="11209" xr:uid="{C9226201-1E38-43C6-9291-2C3221EE9814}"/>
    <cellStyle name="Note 3 2 2 2 7" xfId="2753" xr:uid="{00000000-0005-0000-0000-000063210000}"/>
    <cellStyle name="Note 3 2 2 2 8" xfId="2834" xr:uid="{00000000-0005-0000-0000-000064210000}"/>
    <cellStyle name="Note 3 2 2 2 8 2" xfId="7057" xr:uid="{00000000-0005-0000-0000-000065210000}"/>
    <cellStyle name="Note 3 2 2 2 8 2 2" xfId="15507" xr:uid="{47E19DD5-E167-4BB7-88DE-6F76AA829756}"/>
    <cellStyle name="Note 3 2 2 2 8 3" xfId="11289" xr:uid="{1EAA5F8D-AF99-403D-9CB9-1C95A4DD36EB}"/>
    <cellStyle name="Note 3 2 2 2 9" xfId="4912" xr:uid="{00000000-0005-0000-0000-000066210000}"/>
    <cellStyle name="Note 3 2 2 2 9 2" xfId="13362" xr:uid="{497300C7-8D2C-431D-85CE-FFAA52546F1B}"/>
    <cellStyle name="Note 3 2 2 3" xfId="1015" xr:uid="{00000000-0005-0000-0000-000067210000}"/>
    <cellStyle name="Note 3 2 2 3 2" xfId="3247" xr:uid="{00000000-0005-0000-0000-000068210000}"/>
    <cellStyle name="Note 3 2 2 3 2 2" xfId="7469" xr:uid="{00000000-0005-0000-0000-000069210000}"/>
    <cellStyle name="Note 3 2 2 3 2 2 2" xfId="15919" xr:uid="{36E80F1D-C87A-4934-9F41-B035472443A5}"/>
    <cellStyle name="Note 3 2 2 3 2 3" xfId="11701" xr:uid="{891935BE-BFF3-4791-871E-D22FE82925DC}"/>
    <cellStyle name="Note 3 2 2 3 3" xfId="5324" xr:uid="{00000000-0005-0000-0000-00006A210000}"/>
    <cellStyle name="Note 3 2 2 3 3 2" xfId="13774" xr:uid="{CBF74F8D-4D6B-44A0-A7C0-11EAF6DEB755}"/>
    <cellStyle name="Note 3 2 2 3 4" xfId="18002" xr:uid="{BFF8878F-7DAE-4069-8AD2-8D7281BA30F0}"/>
    <cellStyle name="Note 3 2 2 3 5" xfId="18832" xr:uid="{E9B7BF97-38E7-4AB0-A2B4-630086A6ACA0}"/>
    <cellStyle name="Note 3 2 2 3 6" xfId="19661" xr:uid="{2883C574-CDE4-4597-A334-FFA2C499B401}"/>
    <cellStyle name="Note 3 2 2 3 7" xfId="9556" xr:uid="{3F68478D-9915-49D2-9345-46A12E15F39E}"/>
    <cellStyle name="Note 3 2 2 4" xfId="1430" xr:uid="{00000000-0005-0000-0000-00006B210000}"/>
    <cellStyle name="Note 3 2 2 4 2" xfId="3660" xr:uid="{00000000-0005-0000-0000-00006C210000}"/>
    <cellStyle name="Note 3 2 2 4 2 2" xfId="7882" xr:uid="{00000000-0005-0000-0000-00006D210000}"/>
    <cellStyle name="Note 3 2 2 4 2 2 2" xfId="16332" xr:uid="{7E15E25E-4778-40AB-940E-7083A3475B79}"/>
    <cellStyle name="Note 3 2 2 4 2 3" xfId="12114" xr:uid="{7EDB3100-DFD2-4C40-AD4A-171DFD9705AB}"/>
    <cellStyle name="Note 3 2 2 4 3" xfId="5737" xr:uid="{00000000-0005-0000-0000-00006E210000}"/>
    <cellStyle name="Note 3 2 2 4 3 2" xfId="14187" xr:uid="{4103259A-C40C-489C-86AC-56EC0430379B}"/>
    <cellStyle name="Note 3 2 2 4 4" xfId="9969" xr:uid="{D7DF8F28-B28A-4B50-898E-DC0A9413A8B0}"/>
    <cellStyle name="Note 3 2 2 5" xfId="1844" xr:uid="{00000000-0005-0000-0000-00006F210000}"/>
    <cellStyle name="Note 3 2 2 5 2" xfId="4073" xr:uid="{00000000-0005-0000-0000-000070210000}"/>
    <cellStyle name="Note 3 2 2 5 2 2" xfId="8295" xr:uid="{00000000-0005-0000-0000-000071210000}"/>
    <cellStyle name="Note 3 2 2 5 2 2 2" xfId="16745" xr:uid="{2ECEF1FA-9A45-4FA9-AA0B-8B9920706590}"/>
    <cellStyle name="Note 3 2 2 5 2 3" xfId="12527" xr:uid="{71982BB7-CCFC-4C4D-ADC7-FA51A8E3D275}"/>
    <cellStyle name="Note 3 2 2 5 3" xfId="6150" xr:uid="{00000000-0005-0000-0000-000072210000}"/>
    <cellStyle name="Note 3 2 2 5 3 2" xfId="14600" xr:uid="{4E7EE629-8B4E-4FFA-A0AE-64C0939A479D}"/>
    <cellStyle name="Note 3 2 2 5 4" xfId="10382" xr:uid="{C2DA75D0-AE79-4E24-9975-D29EACD7864C}"/>
    <cellStyle name="Note 3 2 2 6" xfId="2257" xr:uid="{00000000-0005-0000-0000-000073210000}"/>
    <cellStyle name="Note 3 2 2 6 2" xfId="4486" xr:uid="{00000000-0005-0000-0000-000074210000}"/>
    <cellStyle name="Note 3 2 2 6 2 2" xfId="8708" xr:uid="{00000000-0005-0000-0000-000075210000}"/>
    <cellStyle name="Note 3 2 2 6 2 2 2" xfId="17158" xr:uid="{9F989BB3-CAE5-4AC8-96A4-0E0D7A0ECBAD}"/>
    <cellStyle name="Note 3 2 2 6 2 3" xfId="12940" xr:uid="{590AEFC4-C172-4423-B6C7-D874B43660AE}"/>
    <cellStyle name="Note 3 2 2 6 3" xfId="6563" xr:uid="{00000000-0005-0000-0000-000076210000}"/>
    <cellStyle name="Note 3 2 2 6 3 2" xfId="15013" xr:uid="{603698A7-C0D4-4EF6-B609-AF7E9AEAE1BB}"/>
    <cellStyle name="Note 3 2 2 6 4" xfId="10795" xr:uid="{A39DCA0F-F1EC-403D-B56C-702BFE0EA317}"/>
    <cellStyle name="Note 3 2 2 7" xfId="2693" xr:uid="{00000000-0005-0000-0000-000077210000}"/>
    <cellStyle name="Note 3 2 2 7 2" xfId="6976" xr:uid="{00000000-0005-0000-0000-000078210000}"/>
    <cellStyle name="Note 3 2 2 7 2 2" xfId="15426" xr:uid="{002BE36D-B887-468E-855B-065E493F9756}"/>
    <cellStyle name="Note 3 2 2 7 3" xfId="11208" xr:uid="{C3B28958-6CB7-48F4-B7BE-5AF8C4E60067}"/>
    <cellStyle name="Note 3 2 2 8" xfId="2752" xr:uid="{00000000-0005-0000-0000-000079210000}"/>
    <cellStyle name="Note 3 2 2 9" xfId="2833" xr:uid="{00000000-0005-0000-0000-00007A210000}"/>
    <cellStyle name="Note 3 2 2 9 2" xfId="7056" xr:uid="{00000000-0005-0000-0000-00007B210000}"/>
    <cellStyle name="Note 3 2 2 9 2 2" xfId="15506" xr:uid="{CCA7F5A9-88E4-4496-86DE-B845A60A58DB}"/>
    <cellStyle name="Note 3 2 2 9 3" xfId="11288" xr:uid="{113A9344-A93F-46F6-9ADB-455E62A8515B}"/>
    <cellStyle name="Note 3 2 3" xfId="557" xr:uid="{00000000-0005-0000-0000-00007C210000}"/>
    <cellStyle name="Note 3 2 3 10" xfId="17585" xr:uid="{EFA1D182-85F0-4149-83A0-5E101B5B5816}"/>
    <cellStyle name="Note 3 2 3 11" xfId="18418" xr:uid="{B46537B9-1F04-4AE9-92D0-51A752664192}"/>
    <cellStyle name="Note 3 2 3 12" xfId="19247" xr:uid="{3BBA3BD6-DEB5-4018-AF55-08B6E1EC45F9}"/>
    <cellStyle name="Note 3 2 3 13" xfId="9145" xr:uid="{8A683E5D-6E46-4160-95EE-D36D159D28E7}"/>
    <cellStyle name="Note 3 2 3 2" xfId="1017" xr:uid="{00000000-0005-0000-0000-00007D210000}"/>
    <cellStyle name="Note 3 2 3 2 2" xfId="3249" xr:uid="{00000000-0005-0000-0000-00007E210000}"/>
    <cellStyle name="Note 3 2 3 2 2 2" xfId="7471" xr:uid="{00000000-0005-0000-0000-00007F210000}"/>
    <cellStyle name="Note 3 2 3 2 2 2 2" xfId="15921" xr:uid="{5B0E4B4C-A7BC-4071-9D46-18B1703EBDFE}"/>
    <cellStyle name="Note 3 2 3 2 2 3" xfId="11703" xr:uid="{2CE84C3C-299A-40F5-B8D3-F96FF8312E8E}"/>
    <cellStyle name="Note 3 2 3 2 3" xfId="5326" xr:uid="{00000000-0005-0000-0000-000080210000}"/>
    <cellStyle name="Note 3 2 3 2 3 2" xfId="13776" xr:uid="{34FA1495-0E5F-4323-8152-EAA07633CEF5}"/>
    <cellStyle name="Note 3 2 3 2 4" xfId="18004" xr:uid="{CB0B9F33-59F2-4D86-8FA3-FBA6407EDDFA}"/>
    <cellStyle name="Note 3 2 3 2 5" xfId="18834" xr:uid="{87D9964F-F4EA-476F-A013-34150592C8CA}"/>
    <cellStyle name="Note 3 2 3 2 6" xfId="19663" xr:uid="{C760E0E2-2C76-4AD9-B03E-59242296983B}"/>
    <cellStyle name="Note 3 2 3 2 7" xfId="9558" xr:uid="{B754EF46-10EF-4447-82E7-F2D85B746F49}"/>
    <cellStyle name="Note 3 2 3 3" xfId="1432" xr:uid="{00000000-0005-0000-0000-000081210000}"/>
    <cellStyle name="Note 3 2 3 3 2" xfId="3662" xr:uid="{00000000-0005-0000-0000-000082210000}"/>
    <cellStyle name="Note 3 2 3 3 2 2" xfId="7884" xr:uid="{00000000-0005-0000-0000-000083210000}"/>
    <cellStyle name="Note 3 2 3 3 2 2 2" xfId="16334" xr:uid="{EF1A5034-56F2-4F82-BDDF-42EC90A1D1AE}"/>
    <cellStyle name="Note 3 2 3 3 2 3" xfId="12116" xr:uid="{8500FD91-E0A0-4F68-AEEE-CCD830FF2420}"/>
    <cellStyle name="Note 3 2 3 3 3" xfId="5739" xr:uid="{00000000-0005-0000-0000-000084210000}"/>
    <cellStyle name="Note 3 2 3 3 3 2" xfId="14189" xr:uid="{D6AFF6DB-A607-462F-B329-5BC5458F9CAE}"/>
    <cellStyle name="Note 3 2 3 3 4" xfId="9971" xr:uid="{23482789-ACB6-4D3C-B3AF-C82E3ED0A4F2}"/>
    <cellStyle name="Note 3 2 3 4" xfId="1846" xr:uid="{00000000-0005-0000-0000-000085210000}"/>
    <cellStyle name="Note 3 2 3 4 2" xfId="4075" xr:uid="{00000000-0005-0000-0000-000086210000}"/>
    <cellStyle name="Note 3 2 3 4 2 2" xfId="8297" xr:uid="{00000000-0005-0000-0000-000087210000}"/>
    <cellStyle name="Note 3 2 3 4 2 2 2" xfId="16747" xr:uid="{6883CA3A-C866-41BB-BA14-DD21E0E045F3}"/>
    <cellStyle name="Note 3 2 3 4 2 3" xfId="12529" xr:uid="{AF199DF9-5893-4210-B819-03E30D702924}"/>
    <cellStyle name="Note 3 2 3 4 3" xfId="6152" xr:uid="{00000000-0005-0000-0000-000088210000}"/>
    <cellStyle name="Note 3 2 3 4 3 2" xfId="14602" xr:uid="{B8E32544-BF57-4A35-969D-4D4026DAF609}"/>
    <cellStyle name="Note 3 2 3 4 4" xfId="10384" xr:uid="{55859B57-194C-4F8A-8126-8CFE6EEAE47D}"/>
    <cellStyle name="Note 3 2 3 5" xfId="2259" xr:uid="{00000000-0005-0000-0000-000089210000}"/>
    <cellStyle name="Note 3 2 3 5 2" xfId="4488" xr:uid="{00000000-0005-0000-0000-00008A210000}"/>
    <cellStyle name="Note 3 2 3 5 2 2" xfId="8710" xr:uid="{00000000-0005-0000-0000-00008B210000}"/>
    <cellStyle name="Note 3 2 3 5 2 2 2" xfId="17160" xr:uid="{D4BF4C4A-1175-466E-9027-D48290D94D10}"/>
    <cellStyle name="Note 3 2 3 5 2 3" xfId="12942" xr:uid="{758D5F76-246B-4731-80E2-F6190D7E8EF4}"/>
    <cellStyle name="Note 3 2 3 5 3" xfId="6565" xr:uid="{00000000-0005-0000-0000-00008C210000}"/>
    <cellStyle name="Note 3 2 3 5 3 2" xfId="15015" xr:uid="{464DEC7B-6698-403B-865A-859403ACAD35}"/>
    <cellStyle name="Note 3 2 3 5 4" xfId="10797" xr:uid="{0CF635A8-B862-4B03-AADB-D41E8F553CA5}"/>
    <cellStyle name="Note 3 2 3 6" xfId="2695" xr:uid="{00000000-0005-0000-0000-00008D210000}"/>
    <cellStyle name="Note 3 2 3 6 2" xfId="6978" xr:uid="{00000000-0005-0000-0000-00008E210000}"/>
    <cellStyle name="Note 3 2 3 6 2 2" xfId="15428" xr:uid="{04909C41-4285-4559-8E1E-B33ADEBD2A4F}"/>
    <cellStyle name="Note 3 2 3 6 3" xfId="11210" xr:uid="{F671667F-BBAB-454C-BF64-E2433CB14F29}"/>
    <cellStyle name="Note 3 2 3 7" xfId="2754" xr:uid="{00000000-0005-0000-0000-00008F210000}"/>
    <cellStyle name="Note 3 2 3 8" xfId="2835" xr:uid="{00000000-0005-0000-0000-000090210000}"/>
    <cellStyle name="Note 3 2 3 8 2" xfId="7058" xr:uid="{00000000-0005-0000-0000-000091210000}"/>
    <cellStyle name="Note 3 2 3 8 2 2" xfId="15508" xr:uid="{5A9B2FE5-579E-4104-8154-C76FDD0F7E9C}"/>
    <cellStyle name="Note 3 2 3 8 3" xfId="11290" xr:uid="{55B708DC-BB72-4C27-9AAE-5CA1BF27DAE6}"/>
    <cellStyle name="Note 3 2 3 9" xfId="4913" xr:uid="{00000000-0005-0000-0000-000092210000}"/>
    <cellStyle name="Note 3 2 3 9 2" xfId="13363" xr:uid="{83DC2088-C844-4B70-8C40-F0343FBAC6B2}"/>
    <cellStyle name="Note 3 2 4" xfId="1014" xr:uid="{00000000-0005-0000-0000-000093210000}"/>
    <cellStyle name="Note 3 2 4 2" xfId="3246" xr:uid="{00000000-0005-0000-0000-000094210000}"/>
    <cellStyle name="Note 3 2 4 2 2" xfId="7468" xr:uid="{00000000-0005-0000-0000-000095210000}"/>
    <cellStyle name="Note 3 2 4 2 2 2" xfId="15918" xr:uid="{A7DAC19D-FA1A-4A9C-BDD8-03DA5ADF359F}"/>
    <cellStyle name="Note 3 2 4 2 3" xfId="11700" xr:uid="{05F09AA8-2601-441D-8CB7-A4952CABE1F3}"/>
    <cellStyle name="Note 3 2 4 3" xfId="5323" xr:uid="{00000000-0005-0000-0000-000096210000}"/>
    <cellStyle name="Note 3 2 4 3 2" xfId="13773" xr:uid="{6509F95B-0AB9-4C50-9226-78A99C1C7F5A}"/>
    <cellStyle name="Note 3 2 4 4" xfId="18001" xr:uid="{683239EB-1FAD-4C70-AC29-EB3FC20C6049}"/>
    <cellStyle name="Note 3 2 4 5" xfId="18831" xr:uid="{C6AE0CD4-11D8-4ECA-B2DF-2934A38239F2}"/>
    <cellStyle name="Note 3 2 4 6" xfId="19660" xr:uid="{C2B88421-4681-4EAA-8FFA-E99202BA7666}"/>
    <cellStyle name="Note 3 2 4 7" xfId="9555" xr:uid="{F86460AE-FD13-47C5-B778-B25F2324FA4A}"/>
    <cellStyle name="Note 3 2 5" xfId="1429" xr:uid="{00000000-0005-0000-0000-000097210000}"/>
    <cellStyle name="Note 3 2 5 2" xfId="3659" xr:uid="{00000000-0005-0000-0000-000098210000}"/>
    <cellStyle name="Note 3 2 5 2 2" xfId="7881" xr:uid="{00000000-0005-0000-0000-000099210000}"/>
    <cellStyle name="Note 3 2 5 2 2 2" xfId="16331" xr:uid="{CF0902CD-60C2-44FB-81AE-556FAE5635F9}"/>
    <cellStyle name="Note 3 2 5 2 3" xfId="12113" xr:uid="{EC5269AA-4A68-45E3-B062-FDE0469524E3}"/>
    <cellStyle name="Note 3 2 5 3" xfId="5736" xr:uid="{00000000-0005-0000-0000-00009A210000}"/>
    <cellStyle name="Note 3 2 5 3 2" xfId="14186" xr:uid="{1BCE2F9B-8B33-499A-B960-70DEC8E5EB5C}"/>
    <cellStyle name="Note 3 2 5 4" xfId="9968" xr:uid="{3735C547-6D2E-472E-A334-5229684A4FE3}"/>
    <cellStyle name="Note 3 2 6" xfId="1843" xr:uid="{00000000-0005-0000-0000-00009B210000}"/>
    <cellStyle name="Note 3 2 6 2" xfId="4072" xr:uid="{00000000-0005-0000-0000-00009C210000}"/>
    <cellStyle name="Note 3 2 6 2 2" xfId="8294" xr:uid="{00000000-0005-0000-0000-00009D210000}"/>
    <cellStyle name="Note 3 2 6 2 2 2" xfId="16744" xr:uid="{621DAF50-A615-494E-8B51-F4935CE4017C}"/>
    <cellStyle name="Note 3 2 6 2 3" xfId="12526" xr:uid="{6FC5DC76-E71C-4C2A-BE89-8969B8FDA1D8}"/>
    <cellStyle name="Note 3 2 6 3" xfId="6149" xr:uid="{00000000-0005-0000-0000-00009E210000}"/>
    <cellStyle name="Note 3 2 6 3 2" xfId="14599" xr:uid="{9749CE04-FEDF-4821-BCC4-5CC3C09A4953}"/>
    <cellStyle name="Note 3 2 6 4" xfId="10381" xr:uid="{EF42B1CA-BA21-4DD1-B4DF-56B99049C1F6}"/>
    <cellStyle name="Note 3 2 7" xfId="2256" xr:uid="{00000000-0005-0000-0000-00009F210000}"/>
    <cellStyle name="Note 3 2 7 2" xfId="4485" xr:uid="{00000000-0005-0000-0000-0000A0210000}"/>
    <cellStyle name="Note 3 2 7 2 2" xfId="8707" xr:uid="{00000000-0005-0000-0000-0000A1210000}"/>
    <cellStyle name="Note 3 2 7 2 2 2" xfId="17157" xr:uid="{53500802-CAE8-43ED-81BF-7C504EF1FD18}"/>
    <cellStyle name="Note 3 2 7 2 3" xfId="12939" xr:uid="{444C89BC-2C26-473D-8248-13F06F975CD0}"/>
    <cellStyle name="Note 3 2 7 3" xfId="6562" xr:uid="{00000000-0005-0000-0000-0000A2210000}"/>
    <cellStyle name="Note 3 2 7 3 2" xfId="15012" xr:uid="{42D38A08-B9B1-4FE0-9F60-AFD9C15723A3}"/>
    <cellStyle name="Note 3 2 7 4" xfId="10794" xr:uid="{F6BA2FC5-1ECC-4028-8E7C-43ED0F8D15A8}"/>
    <cellStyle name="Note 3 2 8" xfId="2692" xr:uid="{00000000-0005-0000-0000-0000A3210000}"/>
    <cellStyle name="Note 3 2 8 2" xfId="6975" xr:uid="{00000000-0005-0000-0000-0000A4210000}"/>
    <cellStyle name="Note 3 2 8 2 2" xfId="15425" xr:uid="{A8E7A21C-DD40-49FF-9507-C57A21E870BC}"/>
    <cellStyle name="Note 3 2 8 3" xfId="11207" xr:uid="{8C9C24BD-4230-4A5D-8EE3-C49793887862}"/>
    <cellStyle name="Note 3 2 9" xfId="2751" xr:uid="{00000000-0005-0000-0000-0000A5210000}"/>
    <cellStyle name="Note 3 3" xfId="558" xr:uid="{00000000-0005-0000-0000-0000A6210000}"/>
    <cellStyle name="Note 3 3 10" xfId="4914" xr:uid="{00000000-0005-0000-0000-0000A7210000}"/>
    <cellStyle name="Note 3 3 10 2" xfId="13364" xr:uid="{BA2E2B2E-8342-4045-BC63-3522FF91F83C}"/>
    <cellStyle name="Note 3 3 11" xfId="17586" xr:uid="{C7729B6E-F101-4982-8FC2-23A7886E9F15}"/>
    <cellStyle name="Note 3 3 12" xfId="18419" xr:uid="{E3095726-7FB3-4402-8859-B98F95DC4B5B}"/>
    <cellStyle name="Note 3 3 13" xfId="19248" xr:uid="{305736DD-BE42-4E00-8F2D-ECD044258F3B}"/>
    <cellStyle name="Note 3 3 14" xfId="9146" xr:uid="{26256554-16AB-4F89-B8AA-0EBEE9888FB7}"/>
    <cellStyle name="Note 3 3 2" xfId="559" xr:uid="{00000000-0005-0000-0000-0000A8210000}"/>
    <cellStyle name="Note 3 3 2 10" xfId="17587" xr:uid="{430BEE37-C9A4-426A-80AE-E89681EB027B}"/>
    <cellStyle name="Note 3 3 2 11" xfId="18420" xr:uid="{4781E2AB-568C-49AA-864D-7C4A74D7A087}"/>
    <cellStyle name="Note 3 3 2 12" xfId="19249" xr:uid="{FE30F69C-4051-4EEB-8B5A-DA38FFB48F79}"/>
    <cellStyle name="Note 3 3 2 13" xfId="9147" xr:uid="{C1E0B8F4-C9C2-4B4B-A0EF-D3D8505573C8}"/>
    <cellStyle name="Note 3 3 2 2" xfId="1019" xr:uid="{00000000-0005-0000-0000-0000A9210000}"/>
    <cellStyle name="Note 3 3 2 2 2" xfId="3251" xr:uid="{00000000-0005-0000-0000-0000AA210000}"/>
    <cellStyle name="Note 3 3 2 2 2 2" xfId="7473" xr:uid="{00000000-0005-0000-0000-0000AB210000}"/>
    <cellStyle name="Note 3 3 2 2 2 2 2" xfId="15923" xr:uid="{A17B52C8-E36C-4A2B-AA64-64A6BE607EA8}"/>
    <cellStyle name="Note 3 3 2 2 2 3" xfId="11705" xr:uid="{BAA0BE2B-328C-4BE7-A10B-01CA2A6E8DEB}"/>
    <cellStyle name="Note 3 3 2 2 3" xfId="5328" xr:uid="{00000000-0005-0000-0000-0000AC210000}"/>
    <cellStyle name="Note 3 3 2 2 3 2" xfId="13778" xr:uid="{C9C3A169-8C26-4C12-8748-BBDA4DDDA64C}"/>
    <cellStyle name="Note 3 3 2 2 4" xfId="18006" xr:uid="{BCCA08A3-F462-4D7B-82E6-8607406EF36F}"/>
    <cellStyle name="Note 3 3 2 2 5" xfId="18836" xr:uid="{EBD9387A-842F-4C9A-A3A5-38ADADE362EB}"/>
    <cellStyle name="Note 3 3 2 2 6" xfId="19665" xr:uid="{DCBBABA6-062C-446C-8838-793029573D7D}"/>
    <cellStyle name="Note 3 3 2 2 7" xfId="9560" xr:uid="{3D7AFF7B-7980-4E54-BD7B-9C66CFF566FB}"/>
    <cellStyle name="Note 3 3 2 3" xfId="1434" xr:uid="{00000000-0005-0000-0000-0000AD210000}"/>
    <cellStyle name="Note 3 3 2 3 2" xfId="3664" xr:uid="{00000000-0005-0000-0000-0000AE210000}"/>
    <cellStyle name="Note 3 3 2 3 2 2" xfId="7886" xr:uid="{00000000-0005-0000-0000-0000AF210000}"/>
    <cellStyle name="Note 3 3 2 3 2 2 2" xfId="16336" xr:uid="{E63B64EA-4D39-4650-A2D1-FA9BAE95782E}"/>
    <cellStyle name="Note 3 3 2 3 2 3" xfId="12118" xr:uid="{9C030778-1296-4F81-88C8-C6A636BD9D7F}"/>
    <cellStyle name="Note 3 3 2 3 3" xfId="5741" xr:uid="{00000000-0005-0000-0000-0000B0210000}"/>
    <cellStyle name="Note 3 3 2 3 3 2" xfId="14191" xr:uid="{BAC07D58-08EA-4154-911F-FCDE0F6BA9A4}"/>
    <cellStyle name="Note 3 3 2 3 4" xfId="9973" xr:uid="{6EBB6557-EBBE-464F-9313-39B7270D68A1}"/>
    <cellStyle name="Note 3 3 2 4" xfId="1848" xr:uid="{00000000-0005-0000-0000-0000B1210000}"/>
    <cellStyle name="Note 3 3 2 4 2" xfId="4077" xr:uid="{00000000-0005-0000-0000-0000B2210000}"/>
    <cellStyle name="Note 3 3 2 4 2 2" xfId="8299" xr:uid="{00000000-0005-0000-0000-0000B3210000}"/>
    <cellStyle name="Note 3 3 2 4 2 2 2" xfId="16749" xr:uid="{1562ECAF-5C51-4B9E-AFE1-92FA6C3850BB}"/>
    <cellStyle name="Note 3 3 2 4 2 3" xfId="12531" xr:uid="{020EA6F6-4741-4478-A0EA-AFD5C9D785CE}"/>
    <cellStyle name="Note 3 3 2 4 3" xfId="6154" xr:uid="{00000000-0005-0000-0000-0000B4210000}"/>
    <cellStyle name="Note 3 3 2 4 3 2" xfId="14604" xr:uid="{7AF7ED24-7439-4B05-A38C-11278607A75D}"/>
    <cellStyle name="Note 3 3 2 4 4" xfId="10386" xr:uid="{F52CA7EB-C69E-44AA-B5EF-7B0DDC541E7A}"/>
    <cellStyle name="Note 3 3 2 5" xfId="2261" xr:uid="{00000000-0005-0000-0000-0000B5210000}"/>
    <cellStyle name="Note 3 3 2 5 2" xfId="4490" xr:uid="{00000000-0005-0000-0000-0000B6210000}"/>
    <cellStyle name="Note 3 3 2 5 2 2" xfId="8712" xr:uid="{00000000-0005-0000-0000-0000B7210000}"/>
    <cellStyle name="Note 3 3 2 5 2 2 2" xfId="17162" xr:uid="{41B2F339-D4EE-4FDD-8341-5636E9DF7662}"/>
    <cellStyle name="Note 3 3 2 5 2 3" xfId="12944" xr:uid="{41490FAD-9B1F-4A8A-9B92-4C718B2E59F9}"/>
    <cellStyle name="Note 3 3 2 5 3" xfId="6567" xr:uid="{00000000-0005-0000-0000-0000B8210000}"/>
    <cellStyle name="Note 3 3 2 5 3 2" xfId="15017" xr:uid="{4FDD5A2E-1FE0-4798-A2A0-FA7082FD3C15}"/>
    <cellStyle name="Note 3 3 2 5 4" xfId="10799" xr:uid="{FC5310A4-4C28-4283-85C3-A3ED08CE1B3D}"/>
    <cellStyle name="Note 3 3 2 6" xfId="2697" xr:uid="{00000000-0005-0000-0000-0000B9210000}"/>
    <cellStyle name="Note 3 3 2 6 2" xfId="6980" xr:uid="{00000000-0005-0000-0000-0000BA210000}"/>
    <cellStyle name="Note 3 3 2 6 2 2" xfId="15430" xr:uid="{86FD4C63-840B-49B0-9A64-0F8C79EC6A97}"/>
    <cellStyle name="Note 3 3 2 6 3" xfId="11212" xr:uid="{0E2F3A38-537F-46B7-8890-ABD32BB7158C}"/>
    <cellStyle name="Note 3 3 2 7" xfId="2756" xr:uid="{00000000-0005-0000-0000-0000BB210000}"/>
    <cellStyle name="Note 3 3 2 8" xfId="2837" xr:uid="{00000000-0005-0000-0000-0000BC210000}"/>
    <cellStyle name="Note 3 3 2 8 2" xfId="7060" xr:uid="{00000000-0005-0000-0000-0000BD210000}"/>
    <cellStyle name="Note 3 3 2 8 2 2" xfId="15510" xr:uid="{F29DD20F-162D-47FA-9BB2-66C756EAD492}"/>
    <cellStyle name="Note 3 3 2 8 3" xfId="11292" xr:uid="{0AD17B3D-E95E-4634-9639-317A3FC8BFDA}"/>
    <cellStyle name="Note 3 3 2 9" xfId="4915" xr:uid="{00000000-0005-0000-0000-0000BE210000}"/>
    <cellStyle name="Note 3 3 2 9 2" xfId="13365" xr:uid="{64BC9D95-356E-4C2D-8628-64DB8AA376AF}"/>
    <cellStyle name="Note 3 3 3" xfId="1018" xr:uid="{00000000-0005-0000-0000-0000BF210000}"/>
    <cellStyle name="Note 3 3 3 2" xfId="3250" xr:uid="{00000000-0005-0000-0000-0000C0210000}"/>
    <cellStyle name="Note 3 3 3 2 2" xfId="7472" xr:uid="{00000000-0005-0000-0000-0000C1210000}"/>
    <cellStyle name="Note 3 3 3 2 2 2" xfId="15922" xr:uid="{F496FDDA-7242-4E0C-948A-8DE6665F084D}"/>
    <cellStyle name="Note 3 3 3 2 3" xfId="11704" xr:uid="{CF8E3392-8F29-490A-A559-ABEEEDBBD96B}"/>
    <cellStyle name="Note 3 3 3 3" xfId="5327" xr:uid="{00000000-0005-0000-0000-0000C2210000}"/>
    <cellStyle name="Note 3 3 3 3 2" xfId="13777" xr:uid="{8B5E0CA4-5EB3-4143-B9F7-C14A91611ED2}"/>
    <cellStyle name="Note 3 3 3 4" xfId="18005" xr:uid="{6FC29CF2-98C9-4BA4-BB12-EBFA38F0305F}"/>
    <cellStyle name="Note 3 3 3 5" xfId="18835" xr:uid="{BD79B739-763C-4460-AE91-E312FDC7FE49}"/>
    <cellStyle name="Note 3 3 3 6" xfId="19664" xr:uid="{1B435847-301F-4305-A899-2E1B5FD9D1F5}"/>
    <cellStyle name="Note 3 3 3 7" xfId="9559" xr:uid="{C0E19CFF-26DE-46B3-8C14-6ECC61B20137}"/>
    <cellStyle name="Note 3 3 4" xfId="1433" xr:uid="{00000000-0005-0000-0000-0000C3210000}"/>
    <cellStyle name="Note 3 3 4 2" xfId="3663" xr:uid="{00000000-0005-0000-0000-0000C4210000}"/>
    <cellStyle name="Note 3 3 4 2 2" xfId="7885" xr:uid="{00000000-0005-0000-0000-0000C5210000}"/>
    <cellStyle name="Note 3 3 4 2 2 2" xfId="16335" xr:uid="{395EBEBF-B085-4B62-8003-766A9F372484}"/>
    <cellStyle name="Note 3 3 4 2 3" xfId="12117" xr:uid="{F005D09D-278D-46EA-B186-AC19E7C0C679}"/>
    <cellStyle name="Note 3 3 4 3" xfId="5740" xr:uid="{00000000-0005-0000-0000-0000C6210000}"/>
    <cellStyle name="Note 3 3 4 3 2" xfId="14190" xr:uid="{4E54B6F3-9092-47E8-8FD4-C6B092C86748}"/>
    <cellStyle name="Note 3 3 4 4" xfId="9972" xr:uid="{BD7880E5-C117-426C-85EE-A4FCAA122CAF}"/>
    <cellStyle name="Note 3 3 5" xfId="1847" xr:uid="{00000000-0005-0000-0000-0000C7210000}"/>
    <cellStyle name="Note 3 3 5 2" xfId="4076" xr:uid="{00000000-0005-0000-0000-0000C8210000}"/>
    <cellStyle name="Note 3 3 5 2 2" xfId="8298" xr:uid="{00000000-0005-0000-0000-0000C9210000}"/>
    <cellStyle name="Note 3 3 5 2 2 2" xfId="16748" xr:uid="{4962A0DB-B25C-4328-9A0A-ABD23089EFBA}"/>
    <cellStyle name="Note 3 3 5 2 3" xfId="12530" xr:uid="{3C85C34E-22C2-4E15-B9E6-36E4943FEB39}"/>
    <cellStyle name="Note 3 3 5 3" xfId="6153" xr:uid="{00000000-0005-0000-0000-0000CA210000}"/>
    <cellStyle name="Note 3 3 5 3 2" xfId="14603" xr:uid="{5E42315F-FD01-436F-8F83-1FD0EFBEDCE5}"/>
    <cellStyle name="Note 3 3 5 4" xfId="10385" xr:uid="{C46D9925-A798-49E8-915D-1DE62EDACB76}"/>
    <cellStyle name="Note 3 3 6" xfId="2260" xr:uid="{00000000-0005-0000-0000-0000CB210000}"/>
    <cellStyle name="Note 3 3 6 2" xfId="4489" xr:uid="{00000000-0005-0000-0000-0000CC210000}"/>
    <cellStyle name="Note 3 3 6 2 2" xfId="8711" xr:uid="{00000000-0005-0000-0000-0000CD210000}"/>
    <cellStyle name="Note 3 3 6 2 2 2" xfId="17161" xr:uid="{2D03A178-AE7E-44D1-AD98-47CB41C340F6}"/>
    <cellStyle name="Note 3 3 6 2 3" xfId="12943" xr:uid="{F27FA9CF-68AB-440F-B3B7-FE2B34E2244B}"/>
    <cellStyle name="Note 3 3 6 3" xfId="6566" xr:uid="{00000000-0005-0000-0000-0000CE210000}"/>
    <cellStyle name="Note 3 3 6 3 2" xfId="15016" xr:uid="{EEF10F90-6128-4020-915B-696C8164F202}"/>
    <cellStyle name="Note 3 3 6 4" xfId="10798" xr:uid="{7E455C88-EA7D-4E8C-B5D9-F53B057BC6F9}"/>
    <cellStyle name="Note 3 3 7" xfId="2696" xr:uid="{00000000-0005-0000-0000-0000CF210000}"/>
    <cellStyle name="Note 3 3 7 2" xfId="6979" xr:uid="{00000000-0005-0000-0000-0000D0210000}"/>
    <cellStyle name="Note 3 3 7 2 2" xfId="15429" xr:uid="{7FC950B0-1B0C-46CE-8DAD-6ADF23D15871}"/>
    <cellStyle name="Note 3 3 7 3" xfId="11211" xr:uid="{378D0B68-F180-4219-8AD4-76AF378A3087}"/>
    <cellStyle name="Note 3 3 8" xfId="2755" xr:uid="{00000000-0005-0000-0000-0000D1210000}"/>
    <cellStyle name="Note 3 3 9" xfId="2836" xr:uid="{00000000-0005-0000-0000-0000D2210000}"/>
    <cellStyle name="Note 3 3 9 2" xfId="7059" xr:uid="{00000000-0005-0000-0000-0000D3210000}"/>
    <cellStyle name="Note 3 3 9 2 2" xfId="15509" xr:uid="{59110F2C-88C0-4D27-B479-0EAC6B870001}"/>
    <cellStyle name="Note 3 3 9 3" xfId="11291" xr:uid="{FDD5F958-D105-41F4-A30C-EE50FD417546}"/>
    <cellStyle name="Note 3 4" xfId="560" xr:uid="{00000000-0005-0000-0000-0000D4210000}"/>
    <cellStyle name="Note 3 4 10" xfId="17588" xr:uid="{58868358-80B3-4DEA-A30D-23A13AD0AF00}"/>
    <cellStyle name="Note 3 4 11" xfId="18421" xr:uid="{8301BAFE-9683-45C3-8C4C-D20D6EDC0F8F}"/>
    <cellStyle name="Note 3 4 12" xfId="19250" xr:uid="{1B25E3B3-79FD-4D76-94C3-CFC3DB2C4943}"/>
    <cellStyle name="Note 3 4 13" xfId="9148" xr:uid="{B2B793A5-441E-440A-B245-E4D64375225E}"/>
    <cellStyle name="Note 3 4 2" xfId="1020" xr:uid="{00000000-0005-0000-0000-0000D5210000}"/>
    <cellStyle name="Note 3 4 2 2" xfId="3252" xr:uid="{00000000-0005-0000-0000-0000D6210000}"/>
    <cellStyle name="Note 3 4 2 2 2" xfId="7474" xr:uid="{00000000-0005-0000-0000-0000D7210000}"/>
    <cellStyle name="Note 3 4 2 2 2 2" xfId="15924" xr:uid="{66022535-60A8-4DAC-B196-C2821CFBEA76}"/>
    <cellStyle name="Note 3 4 2 2 3" xfId="11706" xr:uid="{02F3C464-B030-41CF-9B02-CA1603BACF94}"/>
    <cellStyle name="Note 3 4 2 3" xfId="5329" xr:uid="{00000000-0005-0000-0000-0000D8210000}"/>
    <cellStyle name="Note 3 4 2 3 2" xfId="13779" xr:uid="{5B1CEB53-9A7B-4EE4-AAFB-1B0DB57278D2}"/>
    <cellStyle name="Note 3 4 2 4" xfId="18007" xr:uid="{160639AF-078C-4CF2-8BD5-3C12DC9EEC10}"/>
    <cellStyle name="Note 3 4 2 5" xfId="18837" xr:uid="{931B7D93-E369-440F-A1B8-7FC645D7A9AC}"/>
    <cellStyle name="Note 3 4 2 6" xfId="19666" xr:uid="{B6B754C3-D8D3-4C4C-92D2-7BF6A4A9CA0B}"/>
    <cellStyle name="Note 3 4 2 7" xfId="9561" xr:uid="{F8E1D74E-61C2-4985-9CEF-7FE06E40BEDA}"/>
    <cellStyle name="Note 3 4 3" xfId="1435" xr:uid="{00000000-0005-0000-0000-0000D9210000}"/>
    <cellStyle name="Note 3 4 3 2" xfId="3665" xr:uid="{00000000-0005-0000-0000-0000DA210000}"/>
    <cellStyle name="Note 3 4 3 2 2" xfId="7887" xr:uid="{00000000-0005-0000-0000-0000DB210000}"/>
    <cellStyle name="Note 3 4 3 2 2 2" xfId="16337" xr:uid="{B7333B1D-412D-4DA5-B883-B33B774E38EE}"/>
    <cellStyle name="Note 3 4 3 2 3" xfId="12119" xr:uid="{B6E564E7-6714-4DB2-B812-B262F2E60DB0}"/>
    <cellStyle name="Note 3 4 3 3" xfId="5742" xr:uid="{00000000-0005-0000-0000-0000DC210000}"/>
    <cellStyle name="Note 3 4 3 3 2" xfId="14192" xr:uid="{06C13060-E48F-4588-BB5C-208970DBDA97}"/>
    <cellStyle name="Note 3 4 3 4" xfId="9974" xr:uid="{5B400365-6854-4DA3-8053-0850B13BAB8B}"/>
    <cellStyle name="Note 3 4 4" xfId="1849" xr:uid="{00000000-0005-0000-0000-0000DD210000}"/>
    <cellStyle name="Note 3 4 4 2" xfId="4078" xr:uid="{00000000-0005-0000-0000-0000DE210000}"/>
    <cellStyle name="Note 3 4 4 2 2" xfId="8300" xr:uid="{00000000-0005-0000-0000-0000DF210000}"/>
    <cellStyle name="Note 3 4 4 2 2 2" xfId="16750" xr:uid="{B9A34FB2-3940-4110-8C9A-A50A5A02E955}"/>
    <cellStyle name="Note 3 4 4 2 3" xfId="12532" xr:uid="{4D2C9A04-BD0E-44B0-9220-3A753E379859}"/>
    <cellStyle name="Note 3 4 4 3" xfId="6155" xr:uid="{00000000-0005-0000-0000-0000E0210000}"/>
    <cellStyle name="Note 3 4 4 3 2" xfId="14605" xr:uid="{B402B20D-C02A-4DD4-A889-F5335F985E64}"/>
    <cellStyle name="Note 3 4 4 4" xfId="10387" xr:uid="{E95D77DE-7C54-4DC3-980F-F300EC84E41A}"/>
    <cellStyle name="Note 3 4 5" xfId="2262" xr:uid="{00000000-0005-0000-0000-0000E1210000}"/>
    <cellStyle name="Note 3 4 5 2" xfId="4491" xr:uid="{00000000-0005-0000-0000-0000E2210000}"/>
    <cellStyle name="Note 3 4 5 2 2" xfId="8713" xr:uid="{00000000-0005-0000-0000-0000E3210000}"/>
    <cellStyle name="Note 3 4 5 2 2 2" xfId="17163" xr:uid="{80E958AB-C269-4C7D-9898-287DE24D489C}"/>
    <cellStyle name="Note 3 4 5 2 3" xfId="12945" xr:uid="{881C7C3F-85AB-4B01-9BD3-DDD62DD7EA7B}"/>
    <cellStyle name="Note 3 4 5 3" xfId="6568" xr:uid="{00000000-0005-0000-0000-0000E4210000}"/>
    <cellStyle name="Note 3 4 5 3 2" xfId="15018" xr:uid="{CF6885CE-A5C5-46E6-8E85-FCC1E901CF52}"/>
    <cellStyle name="Note 3 4 5 4" xfId="10800" xr:uid="{D22C8618-6FDF-4CDC-98A9-3397F558334A}"/>
    <cellStyle name="Note 3 4 6" xfId="2698" xr:uid="{00000000-0005-0000-0000-0000E5210000}"/>
    <cellStyle name="Note 3 4 6 2" xfId="6981" xr:uid="{00000000-0005-0000-0000-0000E6210000}"/>
    <cellStyle name="Note 3 4 6 2 2" xfId="15431" xr:uid="{6624A56A-6AE1-4901-B99A-BA2A3F63F00E}"/>
    <cellStyle name="Note 3 4 6 3" xfId="11213" xr:uid="{60C45E4D-1936-4FC8-8FA8-1F1F441229A8}"/>
    <cellStyle name="Note 3 4 7" xfId="2757" xr:uid="{00000000-0005-0000-0000-0000E7210000}"/>
    <cellStyle name="Note 3 4 8" xfId="2838" xr:uid="{00000000-0005-0000-0000-0000E8210000}"/>
    <cellStyle name="Note 3 4 8 2" xfId="7061" xr:uid="{00000000-0005-0000-0000-0000E9210000}"/>
    <cellStyle name="Note 3 4 8 2 2" xfId="15511" xr:uid="{49803F0E-DE32-41E3-B19C-37C1C378DF8E}"/>
    <cellStyle name="Note 3 4 8 3" xfId="11293" xr:uid="{37B926A1-40EA-4F13-A7C1-8DCBA23750E4}"/>
    <cellStyle name="Note 3 4 9" xfId="4916" xr:uid="{00000000-0005-0000-0000-0000EA210000}"/>
    <cellStyle name="Note 3 4 9 2" xfId="13366" xr:uid="{131138B0-DF64-4583-BEF8-7F1AEDA5453B}"/>
    <cellStyle name="Note 3 5" xfId="561" xr:uid="{00000000-0005-0000-0000-0000EB210000}"/>
    <cellStyle name="Note 3 5 10" xfId="17589" xr:uid="{EFFEF9DA-E9CB-4801-BA92-EC77367CDB14}"/>
    <cellStyle name="Note 3 5 11" xfId="18422" xr:uid="{AC3C2049-E32F-470D-9537-222C1CA3511A}"/>
    <cellStyle name="Note 3 5 12" xfId="19251" xr:uid="{77354499-C7C2-4488-BE2A-8D3B16FC5BE6}"/>
    <cellStyle name="Note 3 5 13" xfId="9149" xr:uid="{BE83BB80-93D1-42D3-85C4-5B9F34ADA84E}"/>
    <cellStyle name="Note 3 5 2" xfId="1021" xr:uid="{00000000-0005-0000-0000-0000EC210000}"/>
    <cellStyle name="Note 3 5 2 2" xfId="3253" xr:uid="{00000000-0005-0000-0000-0000ED210000}"/>
    <cellStyle name="Note 3 5 2 2 2" xfId="7475" xr:uid="{00000000-0005-0000-0000-0000EE210000}"/>
    <cellStyle name="Note 3 5 2 2 2 2" xfId="15925" xr:uid="{F9AD1DA0-B577-4C9A-BB72-4F8D2B08F083}"/>
    <cellStyle name="Note 3 5 2 2 3" xfId="11707" xr:uid="{A5D3005E-C525-46CC-A1D9-1BFE95602874}"/>
    <cellStyle name="Note 3 5 2 3" xfId="5330" xr:uid="{00000000-0005-0000-0000-0000EF210000}"/>
    <cellStyle name="Note 3 5 2 3 2" xfId="13780" xr:uid="{C8D2EBF8-97AA-43F8-AAC4-C531390CBF48}"/>
    <cellStyle name="Note 3 5 2 4" xfId="18008" xr:uid="{AC966139-35D1-4106-878F-0E2A2A3EE019}"/>
    <cellStyle name="Note 3 5 2 5" xfId="18838" xr:uid="{70648E37-5915-465C-9D45-1C644CC58E1B}"/>
    <cellStyle name="Note 3 5 2 6" xfId="19667" xr:uid="{9C216ED9-1227-4A31-A86C-A1DED5BC045F}"/>
    <cellStyle name="Note 3 5 2 7" xfId="9562" xr:uid="{A8865BAD-4C91-4F16-A78D-B059194E03B4}"/>
    <cellStyle name="Note 3 5 3" xfId="1436" xr:uid="{00000000-0005-0000-0000-0000F0210000}"/>
    <cellStyle name="Note 3 5 3 2" xfId="3666" xr:uid="{00000000-0005-0000-0000-0000F1210000}"/>
    <cellStyle name="Note 3 5 3 2 2" xfId="7888" xr:uid="{00000000-0005-0000-0000-0000F2210000}"/>
    <cellStyle name="Note 3 5 3 2 2 2" xfId="16338" xr:uid="{33334B37-D837-4500-AD99-8A96EDB2CB6C}"/>
    <cellStyle name="Note 3 5 3 2 3" xfId="12120" xr:uid="{40155A61-9B76-44E5-A517-F9D1592FA85D}"/>
    <cellStyle name="Note 3 5 3 3" xfId="5743" xr:uid="{00000000-0005-0000-0000-0000F3210000}"/>
    <cellStyle name="Note 3 5 3 3 2" xfId="14193" xr:uid="{22FAFB23-59FC-4161-B4E8-801788258A21}"/>
    <cellStyle name="Note 3 5 3 4" xfId="9975" xr:uid="{3B075DCE-CAB4-43F4-9BA0-487BC90CB91E}"/>
    <cellStyle name="Note 3 5 4" xfId="1850" xr:uid="{00000000-0005-0000-0000-0000F4210000}"/>
    <cellStyle name="Note 3 5 4 2" xfId="4079" xr:uid="{00000000-0005-0000-0000-0000F5210000}"/>
    <cellStyle name="Note 3 5 4 2 2" xfId="8301" xr:uid="{00000000-0005-0000-0000-0000F6210000}"/>
    <cellStyle name="Note 3 5 4 2 2 2" xfId="16751" xr:uid="{89BA5A5F-02F9-417D-9B3D-3DB3F31DB363}"/>
    <cellStyle name="Note 3 5 4 2 3" xfId="12533" xr:uid="{CE33F592-94E0-4398-ABF0-FA5F65D4B940}"/>
    <cellStyle name="Note 3 5 4 3" xfId="6156" xr:uid="{00000000-0005-0000-0000-0000F7210000}"/>
    <cellStyle name="Note 3 5 4 3 2" xfId="14606" xr:uid="{A9314960-8E0D-4EA4-9AF6-6041AF9EDE75}"/>
    <cellStyle name="Note 3 5 4 4" xfId="10388" xr:uid="{A683A55C-6039-4F5C-9E45-6B5757EB11A4}"/>
    <cellStyle name="Note 3 5 5" xfId="2263" xr:uid="{00000000-0005-0000-0000-0000F8210000}"/>
    <cellStyle name="Note 3 5 5 2" xfId="4492" xr:uid="{00000000-0005-0000-0000-0000F9210000}"/>
    <cellStyle name="Note 3 5 5 2 2" xfId="8714" xr:uid="{00000000-0005-0000-0000-0000FA210000}"/>
    <cellStyle name="Note 3 5 5 2 2 2" xfId="17164" xr:uid="{BA3991CA-7535-4764-8889-869CCFFB5841}"/>
    <cellStyle name="Note 3 5 5 2 3" xfId="12946" xr:uid="{AA88DEA3-296A-482F-9880-3FC641186A70}"/>
    <cellStyle name="Note 3 5 5 3" xfId="6569" xr:uid="{00000000-0005-0000-0000-0000FB210000}"/>
    <cellStyle name="Note 3 5 5 3 2" xfId="15019" xr:uid="{A3855E58-9446-4ED6-AE9D-5BBC129C4334}"/>
    <cellStyle name="Note 3 5 5 4" xfId="10801" xr:uid="{5055567D-F68D-4552-82C5-32D503093AFA}"/>
    <cellStyle name="Note 3 5 6" xfId="2699" xr:uid="{00000000-0005-0000-0000-0000FC210000}"/>
    <cellStyle name="Note 3 5 6 2" xfId="6982" xr:uid="{00000000-0005-0000-0000-0000FD210000}"/>
    <cellStyle name="Note 3 5 6 2 2" xfId="15432" xr:uid="{F16817E5-1C0C-491F-9294-CEA77DC0CFE7}"/>
    <cellStyle name="Note 3 5 6 3" xfId="11214" xr:uid="{67A5A677-D6F9-4BCA-A86B-B074CBEA3CC1}"/>
    <cellStyle name="Note 3 5 7" xfId="2758" xr:uid="{00000000-0005-0000-0000-0000FE210000}"/>
    <cellStyle name="Note 3 5 8" xfId="2839" xr:uid="{00000000-0005-0000-0000-0000FF210000}"/>
    <cellStyle name="Note 3 5 8 2" xfId="7062" xr:uid="{00000000-0005-0000-0000-000000220000}"/>
    <cellStyle name="Note 3 5 8 2 2" xfId="15512" xr:uid="{CA623742-48CC-4DFA-A656-7434E29A140A}"/>
    <cellStyle name="Note 3 5 8 3" xfId="11294" xr:uid="{E51D6EBB-E392-4B0E-8A73-B4E8C07140EF}"/>
    <cellStyle name="Note 3 5 9" xfId="4917" xr:uid="{00000000-0005-0000-0000-000001220000}"/>
    <cellStyle name="Note 3 5 9 2" xfId="13367" xr:uid="{57B96057-294E-4E1C-B089-1AD1ABD586F6}"/>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7593" xr:uid="{B0AF995B-1993-4A0A-8D10-4EC44EFABB29}"/>
    <cellStyle name="Percent 3 3" xfId="18425" xr:uid="{5A03AB71-1EE3-4FA8-BC26-474D755BBADE}"/>
    <cellStyle name="Percent 3 4" xfId="19254" xr:uid="{C7BEFF95-30C0-42D4-B8D1-D0C8AB44FF96}"/>
    <cellStyle name="Percent 3 5" xfId="12950" xr:uid="{19E2F6A3-D2D1-48C6-8364-E74EE2D83541}"/>
    <cellStyle name="Percent 4" xfId="4502" xr:uid="{00000000-0005-0000-0000-000007220000}"/>
    <cellStyle name="Percent 4 2" xfId="8717" xr:uid="{00000000-0005-0000-0000-000008220000}"/>
    <cellStyle name="Percent 4 2 2" xfId="17167" xr:uid="{0E5ABA4E-A6D5-4D49-BF4E-FBD1105EE41E}"/>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3" xfId="17176" xr:uid="{31704210-86AA-4359-BBF8-85A57B014296}"/>
    <cellStyle name="Percent 4 3 2 3" xfId="17173" xr:uid="{331DD42A-86B7-4B92-B0DE-06C56DA0C599}"/>
    <cellStyle name="Percent 4 3 3" xfId="17170" xr:uid="{CA27FB72-CC6E-41ED-B0BB-238F9C2A10DB}"/>
    <cellStyle name="Percent 4 4" xfId="12953" xr:uid="{33745C5E-0291-4662-BA82-9E95C42A91C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653</v>
      </c>
      <c r="F40" s="1262" t="s">
        <v>1164</v>
      </c>
    </row>
    <row r="41" spans="1:38" s="1262"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87" workbookViewId="0">
      <selection activeCell="G99" sqref="G9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4" t="s">
        <v>1585</v>
      </c>
      <c r="B1" s="2664"/>
      <c r="C1" s="2664"/>
      <c r="D1" s="2664"/>
      <c r="E1" s="2664"/>
      <c r="F1" s="2664"/>
      <c r="G1" s="2664"/>
      <c r="H1" s="2664"/>
      <c r="I1" s="2664"/>
      <c r="J1" s="2664"/>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13325736</v>
      </c>
      <c r="I3" s="1105"/>
    </row>
    <row r="4" spans="1:13" s="1051" customFormat="1" ht="20.100000000000001" customHeight="1">
      <c r="B4" s="1094"/>
      <c r="D4" s="1108"/>
      <c r="F4" s="1092" t="s">
        <v>1992</v>
      </c>
      <c r="G4" s="1091" t="s">
        <v>1991</v>
      </c>
      <c r="H4" s="1093">
        <f>I18</f>
        <v>25966754.532434642</v>
      </c>
      <c r="I4" s="1095"/>
      <c r="K4" s="1055"/>
    </row>
    <row r="5" spans="1:13" s="1051" customFormat="1" ht="20.100000000000001" customHeight="1" thickBot="1">
      <c r="B5" s="1096"/>
      <c r="C5" s="1097"/>
      <c r="D5" s="1109"/>
      <c r="E5" s="1098"/>
      <c r="F5" s="1109" t="s">
        <v>1942</v>
      </c>
      <c r="G5" s="1110"/>
      <c r="H5" s="1106">
        <f>IFERROR(H3/H4,0)</f>
        <v>0.51318450225864942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7" t="s">
        <v>1940</v>
      </c>
      <c r="C8" s="2668"/>
      <c r="D8" s="2668"/>
      <c r="E8" s="2669"/>
      <c r="G8" s="2670" t="s">
        <v>1941</v>
      </c>
      <c r="H8" s="2671"/>
      <c r="I8" s="2672"/>
      <c r="K8" s="1057"/>
    </row>
    <row r="9" spans="1:13" ht="15" customHeight="1">
      <c r="A9" s="1046"/>
      <c r="B9" s="2665" t="s">
        <v>1974</v>
      </c>
      <c r="C9" s="2665"/>
      <c r="D9" s="2665"/>
      <c r="E9" s="1059">
        <f>G33</f>
        <v>2650000</v>
      </c>
      <c r="G9" s="2673" t="s">
        <v>1972</v>
      </c>
      <c r="H9" s="2673"/>
      <c r="I9" s="1060">
        <f>SUMIF(Application!M554:M565,"Loan, Tax-Exempt",Application!AM554:AM565)</f>
        <v>18797915</v>
      </c>
      <c r="K9" s="1061"/>
      <c r="M9" s="1062"/>
    </row>
    <row r="10" spans="1:13" ht="15" customHeight="1" thickBot="1">
      <c r="A10" s="1046"/>
      <c r="B10" s="2665" t="s">
        <v>1975</v>
      </c>
      <c r="C10" s="2665"/>
      <c r="D10" s="2665"/>
      <c r="E10" s="1060">
        <f>G47</f>
        <v>6662735.9999999991</v>
      </c>
      <c r="G10" s="2677" t="s">
        <v>1943</v>
      </c>
      <c r="H10" s="2677"/>
      <c r="I10" s="1140">
        <f>'Basis &amp; Credits'!AB78</f>
        <v>10661078</v>
      </c>
      <c r="M10" s="1062"/>
    </row>
    <row r="11" spans="1:13" ht="15" customHeight="1">
      <c r="A11" s="1046"/>
      <c r="B11" s="2681" t="s">
        <v>2264</v>
      </c>
      <c r="C11" s="2682"/>
      <c r="D11" s="2683"/>
      <c r="E11" s="1060">
        <f>SUM(E12,E13)</f>
        <v>780000</v>
      </c>
      <c r="G11" s="2680" t="s">
        <v>1983</v>
      </c>
      <c r="H11" s="2680"/>
      <c r="I11" s="1139">
        <f>I9+I10</f>
        <v>29458993</v>
      </c>
      <c r="M11" s="1062"/>
    </row>
    <row r="12" spans="1:13" ht="15" customHeight="1">
      <c r="A12" s="1063"/>
      <c r="B12" s="2666" t="s">
        <v>2266</v>
      </c>
      <c r="C12" s="2666"/>
      <c r="D12" s="2666"/>
      <c r="E12" s="1165">
        <f>G56</f>
        <v>260000</v>
      </c>
      <c r="M12" s="1062"/>
    </row>
    <row r="13" spans="1:13" ht="15" customHeight="1">
      <c r="A13" s="1049"/>
      <c r="B13" s="2666" t="s">
        <v>2267</v>
      </c>
      <c r="C13" s="2666"/>
      <c r="D13" s="2666"/>
      <c r="E13" s="1165">
        <f>G65</f>
        <v>520000</v>
      </c>
      <c r="G13" s="2670" t="s">
        <v>2006</v>
      </c>
      <c r="H13" s="2671"/>
      <c r="I13" s="2672"/>
      <c r="M13" s="1062"/>
    </row>
    <row r="14" spans="1:13" ht="15" customHeight="1">
      <c r="A14" s="1049"/>
      <c r="B14" s="2681" t="s">
        <v>2265</v>
      </c>
      <c r="C14" s="2682"/>
      <c r="D14" s="2683"/>
      <c r="E14" s="1167">
        <f>MAX(E15,E16)+E17</f>
        <v>3233000</v>
      </c>
      <c r="G14" s="2673" t="s">
        <v>139</v>
      </c>
      <c r="H14" s="2673"/>
      <c r="I14" s="1064">
        <f>15%*(AND(G120="Yes",G122&lt;&gt;""))</f>
        <v>0.15</v>
      </c>
      <c r="M14" s="1062"/>
    </row>
    <row r="15" spans="1:13" ht="15" customHeight="1">
      <c r="A15" s="1049"/>
      <c r="B15" s="2684" t="s">
        <v>2271</v>
      </c>
      <c r="C15" s="2685"/>
      <c r="D15" s="2686"/>
      <c r="E15" s="1165">
        <f>G80</f>
        <v>0</v>
      </c>
      <c r="G15" s="1137" t="s">
        <v>1984</v>
      </c>
      <c r="H15" s="1137"/>
      <c r="I15" s="1064">
        <f>IF(Application!AJ1032&gt;0,10%,IF(Application!AJ1036&gt;0,5%,0))</f>
        <v>0</v>
      </c>
      <c r="M15" s="1062"/>
    </row>
    <row r="16" spans="1:13" ht="15" customHeight="1">
      <c r="A16" s="1049"/>
      <c r="B16" s="2684" t="s">
        <v>2270</v>
      </c>
      <c r="C16" s="2685"/>
      <c r="D16" s="2686"/>
      <c r="E16" s="1165">
        <f>G90</f>
        <v>0</v>
      </c>
      <c r="G16" s="2673" t="s">
        <v>1985</v>
      </c>
      <c r="H16" s="2673"/>
      <c r="I16" s="1064">
        <f>G132</f>
        <v>-3.1454248366013071E-2</v>
      </c>
    </row>
    <row r="17" spans="1:21" ht="15" customHeight="1" thickBot="1">
      <c r="A17" s="1049"/>
      <c r="B17" s="2684" t="s">
        <v>2269</v>
      </c>
      <c r="C17" s="2685"/>
      <c r="D17" s="2686"/>
      <c r="E17" s="1165">
        <f>G115</f>
        <v>3233000</v>
      </c>
      <c r="G17" s="2673" t="s">
        <v>2279</v>
      </c>
      <c r="H17" s="2673"/>
      <c r="I17" s="1064">
        <f>IF(AND(G139="Yes",OR(G136,G137)),IF(G143&gt;15%,15%,G143),0)</f>
        <v>0</v>
      </c>
    </row>
    <row r="18" spans="1:21" ht="15" customHeight="1">
      <c r="A18" s="1046"/>
      <c r="B18" s="2676" t="s">
        <v>1939</v>
      </c>
      <c r="C18" s="2676"/>
      <c r="D18" s="2676"/>
      <c r="E18" s="1111">
        <f>SUM(E9:E11,E14)</f>
        <v>13325736</v>
      </c>
      <c r="G18" s="1138" t="s">
        <v>1973</v>
      </c>
      <c r="H18" s="1138"/>
      <c r="I18" s="1112">
        <f>I11-((I11*I14)+(I11*I15)+(I11*I16)+(I11*I17))</f>
        <v>25966754.532434642</v>
      </c>
      <c r="M18" s="1065">
        <f>SUM(Cdlac[Quantity])</f>
        <v>53</v>
      </c>
      <c r="O18" s="1084" t="s">
        <v>582</v>
      </c>
      <c r="P18" s="1044">
        <f>MATCH(Application!T189,Application!CB160:CB217,0)</f>
        <v>24</v>
      </c>
      <c r="T18" s="1065">
        <f>SUM(Cdlac[Population])</f>
        <v>27</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27</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1227</v>
      </c>
      <c r="S20" s="1065">
        <f>IF(Cdlac[[#This Row],[Quantity]]&gt;0,MAX(0,Cdlac[[#This Row],[Fair Market Rent]]-IF(AND($G$37,$G$38,$G$38&lt;&gt;"",NOT(Cdlac[[#This Row],[Federal]]),Cdlac[[#This Row],[Preservation Rent]]&lt;&gt;""),Cdlac[[#This Row],[Preservation Rent]],Cdlac[[#This Row],[Restricted Rent]])),"")</f>
        <v>698.4</v>
      </c>
      <c r="T20" s="1044">
        <f>IF(Cdlac[[#This Row],[Quantity]]&gt;0,AND(Application!AK718&lt;&gt;"N/A",Application!AK718&lt;&gt;"")*Cdlac[[#This Row],[Quantity]],"")</f>
        <v>27</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26</v>
      </c>
      <c r="N21" s="1071">
        <f>Application!AC719</f>
        <v>0.3</v>
      </c>
      <c r="O21" s="1071">
        <f>IF(Cdlac[[#This Row],[Quantity]]&gt;0,IF(Cdlac[[#This Row],[Federal]],30%,IF(AND(OR(NOT($G$38),$G$38=""),$G$43),40%,Cdlac[[#This Row],[iAMI]])),"")</f>
        <v>0.3</v>
      </c>
      <c r="P21" s="1065" cm="1">
        <f t="array" ref="P21">IF(Cdlac[[#This Row],[Quantity]]&gt;0,INDEX(TcacRents,$P$18,Cdlac[[#This Row],[Bedrooms]]+1)*Cdlac[[#This Row],[AMI]],"")</f>
        <v>528.6</v>
      </c>
      <c r="Q21" s="1164"/>
      <c r="R21" s="1065" cm="1">
        <f t="array" ref="R21">IF(Cdlac[[#This Row],[Quantity]]&gt;0,INDEX(HudFmrs,$P$18,Cdlac[[#This Row],[Bedrooms]]+1),"")</f>
        <v>1227</v>
      </c>
      <c r="S21" s="1065">
        <f>IF(Cdlac[[#This Row],[Quantity]]&gt;0,MAX(0,Cdlac[[#This Row],[Fair Market Rent]]-IF(AND($G$37,$G$38,$G$38&lt;&gt;"",NOT(Cdlac[[#This Row],[Federal]]),Cdlac[[#This Row],[Preservation Rent]]&lt;&gt;""),Cdlac[[#This Row],[Preservation Rent]],Cdlac[[#This Row],[Restricted Rent]])),"")</f>
        <v>698.4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74" t="s">
        <v>1987</v>
      </c>
      <c r="D22" s="2674" t="s">
        <v>1988</v>
      </c>
      <c r="E22" s="2674" t="s">
        <v>1989</v>
      </c>
      <c r="F22" s="2674" t="s">
        <v>2610</v>
      </c>
      <c r="G22" s="2674"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75"/>
      <c r="D23" s="2675"/>
      <c r="E23" s="2675"/>
      <c r="F23" s="2675"/>
      <c r="G23" s="2675"/>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53</v>
      </c>
      <c r="F25" s="1072">
        <f>E25</f>
        <v>53</v>
      </c>
      <c r="G25" s="1072">
        <f>D25*F25</f>
        <v>53</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8" t="s">
        <v>1586</v>
      </c>
      <c r="D29" s="2689"/>
      <c r="E29" s="1089">
        <f>SUM(E24:E28)</f>
        <v>53</v>
      </c>
      <c r="F29" s="1089">
        <f>SUM(F24:F28)</f>
        <v>53</v>
      </c>
      <c r="G29" s="1090">
        <f>SUMPRODUCT(D24:D28,F24:F28)</f>
        <v>53</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53</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2650000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1" t="str">
        <f>IF(AND(G37,G38,G38&lt;&gt;""),"Enter the average rent charged for each unit type over the last three years, as documented with rent rolls or property audits, in cells Q20:Q44","")</f>
        <v/>
      </c>
      <c r="D39" s="2691"/>
      <c r="E39" s="2691"/>
      <c r="F39" s="2691"/>
      <c r="G39" s="2691"/>
      <c r="H39" s="269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1"/>
      <c r="D40" s="2691"/>
      <c r="E40" s="2691"/>
      <c r="F40" s="2691"/>
      <c r="G40" s="2691"/>
      <c r="H40" s="269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1"/>
      <c r="D41" s="2691"/>
      <c r="E41" s="2691"/>
      <c r="F41" s="2691"/>
      <c r="G41" s="2691"/>
      <c r="H41" s="269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37015.199999999997</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6662735.9999999991</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27</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26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26</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260000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53</v>
      </c>
    </row>
    <row r="61" spans="2:21" ht="15" customHeight="1">
      <c r="E61" s="1117" t="s">
        <v>1995</v>
      </c>
      <c r="G61" s="1079">
        <f>ROUNDDOWN(E29*50%,0)</f>
        <v>26</v>
      </c>
    </row>
    <row r="62" spans="2:21" ht="15" customHeight="1">
      <c r="E62" s="1117"/>
      <c r="G62" s="1079"/>
    </row>
    <row r="63" spans="2:21" ht="15" customHeight="1">
      <c r="E63" s="1117" t="s">
        <v>1955</v>
      </c>
      <c r="G63" s="1114">
        <f>MIN(G60:G61)</f>
        <v>26</v>
      </c>
    </row>
    <row r="64" spans="2:21" ht="15" customHeight="1">
      <c r="E64" s="1117" t="s">
        <v>1945</v>
      </c>
      <c r="F64" s="1113" t="s">
        <v>1993</v>
      </c>
      <c r="G64" s="1124">
        <v>20000</v>
      </c>
    </row>
    <row r="65" spans="2:14" ht="15" customHeight="1">
      <c r="E65" s="1118" t="s">
        <v>1977</v>
      </c>
      <c r="F65" s="1046"/>
      <c r="G65" s="1123">
        <f>G63*G64</f>
        <v>520000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Low Resource</v>
      </c>
      <c r="L72" s="2661" t="s">
        <v>1970</v>
      </c>
      <c r="M72" s="2662"/>
      <c r="N72" s="1131">
        <v>30000</v>
      </c>
    </row>
    <row r="73" spans="2:14" ht="15" customHeight="1">
      <c r="C73" s="2663" t="s">
        <v>2263</v>
      </c>
      <c r="D73" s="2663"/>
      <c r="E73" s="2663"/>
      <c r="F73" s="2663"/>
      <c r="G73" s="1043" t="s">
        <v>669</v>
      </c>
      <c r="L73" s="2678" t="s">
        <v>1938</v>
      </c>
      <c r="M73" s="2679"/>
      <c r="N73" s="1132">
        <v>20000</v>
      </c>
    </row>
    <row r="74" spans="2:14" ht="15" customHeight="1" thickBot="1">
      <c r="C74" s="2663"/>
      <c r="D74" s="2663"/>
      <c r="E74" s="2663"/>
      <c r="F74" s="2663"/>
      <c r="L74" s="2653" t="s">
        <v>1971</v>
      </c>
      <c r="M74" s="2654"/>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53</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53</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53</v>
      </c>
    </row>
    <row r="97" spans="2:14" ht="15" customHeight="1">
      <c r="E97" s="1118" t="s">
        <v>1962</v>
      </c>
      <c r="F97" s="1046"/>
      <c r="G97" s="1123">
        <f>G94*G95*G96</f>
        <v>1484000</v>
      </c>
      <c r="L97" s="1127" t="str">
        <f>'Points System'!H638</f>
        <v>(ii)</v>
      </c>
      <c r="M97" s="2659" t="s">
        <v>1405</v>
      </c>
      <c r="N97" s="2660"/>
    </row>
    <row r="98" spans="2:14" ht="15" customHeight="1">
      <c r="C98" s="1077"/>
      <c r="G98" s="1114"/>
      <c r="L98" s="1128" t="str">
        <f>'Points System'!H650</f>
        <v>(ii)</v>
      </c>
      <c r="M98" s="2655" t="s">
        <v>1957</v>
      </c>
      <c r="N98" s="2656"/>
    </row>
    <row r="99" spans="2:14" ht="15" customHeight="1">
      <c r="E99" s="1084" t="s">
        <v>1998</v>
      </c>
      <c r="G99" s="1126">
        <f>COUNTIFS(L97:L104,"(i)")</f>
        <v>2</v>
      </c>
      <c r="L99" s="1128" t="str">
        <f>'Points System'!H685</f>
        <v>N/A</v>
      </c>
      <c r="M99" s="2655" t="s">
        <v>1958</v>
      </c>
      <c r="N99" s="2656"/>
    </row>
    <row r="100" spans="2:14" ht="15" customHeight="1">
      <c r="E100" s="1084" t="s">
        <v>1945</v>
      </c>
      <c r="F100" s="1113" t="s">
        <v>1993</v>
      </c>
      <c r="G100" s="1124">
        <v>4000</v>
      </c>
      <c r="L100" s="1128" t="str">
        <f>IF(OR('Points System'!H709="(ii)",'Points System'!H709="(i)"),"(i)","N/A")</f>
        <v>(i)</v>
      </c>
      <c r="M100" s="2655" t="s">
        <v>1959</v>
      </c>
      <c r="N100" s="2656"/>
    </row>
    <row r="101" spans="2:14" ht="15" customHeight="1">
      <c r="E101" s="1118" t="s">
        <v>1963</v>
      </c>
      <c r="F101" s="1046"/>
      <c r="G101" s="1123">
        <f>G96*G99*G100</f>
        <v>424000</v>
      </c>
      <c r="L101" s="1129" t="str">
        <f>'Points System'!H723</f>
        <v>N/A</v>
      </c>
      <c r="M101" s="2655" t="s">
        <v>1431</v>
      </c>
      <c r="N101" s="2656"/>
    </row>
    <row r="102" spans="2:14" ht="15" customHeight="1">
      <c r="L102" s="1128" t="str">
        <f>'Points System'!H735</f>
        <v>N/A</v>
      </c>
      <c r="M102" s="2655" t="s">
        <v>1960</v>
      </c>
      <c r="N102" s="2656"/>
    </row>
    <row r="103" spans="2:14" ht="15" customHeight="1">
      <c r="C103" s="1080" t="s">
        <v>1965</v>
      </c>
      <c r="L103" s="1128" t="str">
        <f>'Points System'!H751</f>
        <v>(ii)</v>
      </c>
      <c r="M103" s="2655" t="s">
        <v>1961</v>
      </c>
      <c r="N103" s="2656"/>
    </row>
    <row r="104" spans="2:14" ht="15" customHeight="1" thickBot="1">
      <c r="C104" s="1077" t="s">
        <v>1966</v>
      </c>
      <c r="G104" s="1043"/>
      <c r="L104" s="1130" t="str">
        <f>'Points System'!H763</f>
        <v>(i)</v>
      </c>
      <c r="M104" s="2657" t="s">
        <v>1434</v>
      </c>
      <c r="N104" s="2658"/>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53</v>
      </c>
    </row>
    <row r="112" spans="2:14" ht="15" customHeight="1">
      <c r="E112" s="1084" t="s">
        <v>1945</v>
      </c>
      <c r="F112" s="1113" t="s">
        <v>1993</v>
      </c>
      <c r="G112" s="1124">
        <v>25000</v>
      </c>
    </row>
    <row r="113" spans="2:9" ht="15" customHeight="1">
      <c r="E113" s="1118" t="s">
        <v>1964</v>
      </c>
      <c r="F113" s="1046"/>
      <c r="G113" s="1123">
        <f>G109*G112*G96</f>
        <v>1325000</v>
      </c>
    </row>
    <row r="114" spans="2:9" ht="15" customHeight="1">
      <c r="C114" s="1077"/>
      <c r="E114" s="1077"/>
    </row>
    <row r="115" spans="2:9" ht="15" customHeight="1">
      <c r="E115" s="1118" t="s">
        <v>2273</v>
      </c>
      <c r="G115" s="1123">
        <f>G113+G101+G97</f>
        <v>3233000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90" t="s">
        <v>2228</v>
      </c>
      <c r="D119" s="2690"/>
      <c r="E119" s="2690"/>
      <c r="F119" s="2690"/>
    </row>
    <row r="120" spans="2:9" ht="15" customHeight="1">
      <c r="C120" s="2690"/>
      <c r="D120" s="2690"/>
      <c r="E120" s="2690"/>
      <c r="F120" s="2690"/>
      <c r="G120" s="1043" t="s">
        <v>545</v>
      </c>
    </row>
    <row r="121" spans="2:9" ht="15" customHeight="1"/>
    <row r="122" spans="2:9" ht="15" customHeight="1">
      <c r="C122" s="1044" t="s">
        <v>2230</v>
      </c>
      <c r="G122" s="2692" t="str">
        <f>Application!D1000</f>
        <v>Project-based Section 8 from the Housing Authority of the County of Merced</v>
      </c>
      <c r="H122" s="2692"/>
    </row>
    <row r="123" spans="2:9" ht="15" customHeight="1">
      <c r="G123" s="2692"/>
      <c r="H123" s="2692"/>
    </row>
    <row r="124" spans="2:9" ht="15" customHeight="1">
      <c r="G124" s="2693"/>
      <c r="H124" s="2693"/>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Merced</v>
      </c>
    </row>
    <row r="129" spans="2:9">
      <c r="E129" s="1084"/>
      <c r="G129" s="1078"/>
    </row>
    <row r="130" spans="2:9">
      <c r="E130" s="1084" t="str">
        <f>"2-Bedroom "&amp;G128&amp;" County Basis Limit"</f>
        <v>2-Bedroom Merced County Basis Limit</v>
      </c>
      <c r="G130" s="1078">
        <f>Application!R988</f>
        <v>428000</v>
      </c>
    </row>
    <row r="131" spans="2:9">
      <c r="E131" s="1084" t="s">
        <v>2001</v>
      </c>
      <c r="G131" s="1078">
        <f>MEDIAN((Application!CU160:CU217))</f>
        <v>489600</v>
      </c>
    </row>
    <row r="132" spans="2:9" ht="15">
      <c r="D132" s="1046"/>
      <c r="E132" s="1118" t="s">
        <v>2003</v>
      </c>
      <c r="F132" s="1134"/>
      <c r="G132" s="1135">
        <f>((G130-G131)/G131)*0.25</f>
        <v>-3.1454248366013071E-2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7" t="s">
        <v>2276</v>
      </c>
      <c r="D138" s="2687"/>
      <c r="E138" s="2687"/>
      <c r="F138" s="2687"/>
    </row>
    <row r="139" spans="2:9">
      <c r="B139" s="1045"/>
      <c r="C139" s="2687"/>
      <c r="D139" s="2687"/>
      <c r="E139" s="2687"/>
      <c r="F139" s="2687"/>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2819687.25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4"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4" t="s">
        <v>909</v>
      </c>
      <c r="B1" s="2694"/>
      <c r="C1" s="2694"/>
      <c r="D1" s="2694"/>
      <c r="E1" s="2694"/>
      <c r="F1" s="2694"/>
      <c r="G1" s="2694"/>
      <c r="H1" s="2694"/>
      <c r="I1" s="2694"/>
      <c r="J1" s="2694"/>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27</v>
      </c>
      <c r="C4" s="1162" t="s">
        <v>384</v>
      </c>
      <c r="D4" s="428">
        <f>Application!O718</f>
        <v>416</v>
      </c>
      <c r="E4" s="429"/>
      <c r="F4" s="1083">
        <v>1140</v>
      </c>
      <c r="G4" s="428">
        <f>F4*B4</f>
        <v>30780</v>
      </c>
      <c r="H4" s="429"/>
      <c r="I4" s="428">
        <f t="shared" ref="I4:I27" si="0">IF(F4=0,"",(F4-D4))</f>
        <v>724</v>
      </c>
      <c r="J4" s="428">
        <f t="shared" ref="J4:J27" si="1">IF(F4=0,"",(I4*B4))</f>
        <v>19548</v>
      </c>
      <c r="K4" s="204"/>
      <c r="L4" s="305"/>
    </row>
    <row r="5" spans="1:12">
      <c r="A5" s="428" t="str">
        <f>Application!B719</f>
        <v>1 Bedroom</v>
      </c>
      <c r="B5" s="1082">
        <f>Application!G719</f>
        <v>26</v>
      </c>
      <c r="C5" s="1162" t="s">
        <v>384</v>
      </c>
      <c r="D5" s="428">
        <f>Application!O719</f>
        <v>416</v>
      </c>
      <c r="E5" s="429"/>
      <c r="F5" s="1083">
        <v>1140</v>
      </c>
      <c r="G5" s="428">
        <f t="shared" ref="G5:G38" si="2">F5*B5</f>
        <v>29640</v>
      </c>
      <c r="H5" s="429"/>
      <c r="I5" s="428">
        <f t="shared" si="0"/>
        <v>724</v>
      </c>
      <c r="J5" s="428">
        <f t="shared" si="1"/>
        <v>18824</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22048</v>
      </c>
      <c r="E40" s="429"/>
      <c r="F40" s="429"/>
      <c r="G40" s="432">
        <f>SUM(G4:G38)*12</f>
        <v>725040</v>
      </c>
      <c r="H40" s="433"/>
      <c r="I40" s="431"/>
      <c r="J40" s="432">
        <f>SUM(J4:J38)*12</f>
        <v>460464</v>
      </c>
      <c r="K40" s="204"/>
      <c r="L40" s="306"/>
    </row>
    <row r="41" spans="1:12" ht="15">
      <c r="A41" s="430"/>
      <c r="B41" s="431"/>
      <c r="C41" s="431"/>
      <c r="D41" s="433"/>
      <c r="E41" s="429"/>
      <c r="F41" s="429"/>
      <c r="G41" s="433"/>
      <c r="H41" s="433"/>
      <c r="I41" s="431"/>
      <c r="J41" s="433"/>
      <c r="K41" s="204"/>
      <c r="L41" s="306"/>
    </row>
    <row r="42" spans="1:12">
      <c r="A42" s="304" t="s">
        <v>2258</v>
      </c>
    </row>
    <row r="43" spans="1:12">
      <c r="A43" s="2695" t="s">
        <v>2497</v>
      </c>
      <c r="B43" s="2695"/>
      <c r="C43" s="2695"/>
      <c r="D43" s="2695"/>
      <c r="E43" s="2695"/>
      <c r="F43" s="2695"/>
      <c r="G43" s="2695"/>
      <c r="H43" s="2695"/>
      <c r="I43" s="2695"/>
      <c r="J43" s="2695"/>
    </row>
    <row r="44" spans="1:12">
      <c r="A44" s="2695"/>
      <c r="B44" s="2695"/>
      <c r="C44" s="2695"/>
      <c r="D44" s="2695"/>
      <c r="E44" s="2695"/>
      <c r="F44" s="2695"/>
      <c r="G44" s="2695"/>
      <c r="H44" s="2695"/>
      <c r="I44" s="2695"/>
      <c r="J44" s="2695"/>
    </row>
    <row r="45" spans="1:12">
      <c r="A45" s="2695" t="s">
        <v>2259</v>
      </c>
      <c r="B45" s="2695"/>
      <c r="C45" s="2695"/>
      <c r="D45" s="2695"/>
      <c r="E45" s="2695"/>
      <c r="F45" s="2695"/>
      <c r="G45" s="2695"/>
      <c r="H45" s="2695"/>
      <c r="I45" s="2695"/>
      <c r="J45" s="2695"/>
    </row>
    <row r="46" spans="1:12">
      <c r="A46" s="2695"/>
      <c r="B46" s="2695"/>
      <c r="C46" s="2695"/>
      <c r="D46" s="2695"/>
      <c r="E46" s="2695"/>
      <c r="F46" s="2695"/>
      <c r="G46" s="2695"/>
      <c r="H46" s="2695"/>
      <c r="I46" s="2695"/>
      <c r="J46" s="269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5" sqref="C5"/>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264576</v>
      </c>
      <c r="G4" s="219">
        <f>E4*$C$4</f>
        <v>271190.39999999997</v>
      </c>
      <c r="I4" s="219">
        <f>G4*$C$4</f>
        <v>277970.15999999992</v>
      </c>
      <c r="K4" s="219">
        <f>I4*$C$4</f>
        <v>284919.41399999987</v>
      </c>
      <c r="M4" s="219">
        <f>K4*$C$4</f>
        <v>292042.39934999985</v>
      </c>
      <c r="O4" s="219">
        <f>M4*$C$4</f>
        <v>299343.45933374984</v>
      </c>
      <c r="Q4" s="219">
        <f>O4*$C$4</f>
        <v>306827.04581709357</v>
      </c>
      <c r="S4" s="219">
        <f>Q4*$C$4</f>
        <v>314497.72196252091</v>
      </c>
      <c r="U4" s="219">
        <f>S4*$C$4</f>
        <v>322360.16501158389</v>
      </c>
      <c r="W4" s="219">
        <f>U4*$C$4</f>
        <v>330419.16913687345</v>
      </c>
      <c r="Y4" s="219">
        <f>W4*$C$4</f>
        <v>338679.64836529526</v>
      </c>
      <c r="AA4" s="219">
        <f>Y4*$C$4</f>
        <v>347146.63957442762</v>
      </c>
      <c r="AC4" s="219">
        <f>AA4*$C$4</f>
        <v>355825.30556378828</v>
      </c>
      <c r="AE4" s="219">
        <f>AC4*$C$4</f>
        <v>364720.93820288294</v>
      </c>
      <c r="AG4" s="219">
        <f>AE4*$C$4</f>
        <v>373838.96165795496</v>
      </c>
    </row>
    <row r="5" spans="1:34" s="210" customFormat="1" ht="14.25">
      <c r="B5" s="210" t="s">
        <v>838</v>
      </c>
      <c r="C5" s="238">
        <f>IF(Application!$D$211="Special Needs",(((0.1*Application!$T$212)+(0.05*(1-Application!$T$212)))),0.05)</f>
        <v>0.05</v>
      </c>
      <c r="E5" s="221">
        <f>-E4*$C$5</f>
        <v>-13228.800000000001</v>
      </c>
      <c r="F5" s="221"/>
      <c r="G5" s="221">
        <f>-G4*$C$5</f>
        <v>-13559.519999999999</v>
      </c>
      <c r="H5" s="221"/>
      <c r="I5" s="221">
        <f>-I4*$C$5</f>
        <v>-13898.507999999996</v>
      </c>
      <c r="J5" s="221"/>
      <c r="K5" s="221">
        <f>-K4*$C$5</f>
        <v>-14245.970699999994</v>
      </c>
      <c r="L5" s="221"/>
      <c r="M5" s="221">
        <f>-M4*$C$5</f>
        <v>-14602.119967499993</v>
      </c>
      <c r="N5" s="221"/>
      <c r="O5" s="221">
        <f>-O4*$C$5</f>
        <v>-14967.172966687493</v>
      </c>
      <c r="P5" s="221"/>
      <c r="Q5" s="221">
        <f>-Q4*$C$5</f>
        <v>-15341.35229085468</v>
      </c>
      <c r="R5" s="221"/>
      <c r="S5" s="221">
        <f>-S4*$C$5</f>
        <v>-15724.886098126046</v>
      </c>
      <c r="T5" s="221"/>
      <c r="U5" s="221">
        <f>-U4*$C$5</f>
        <v>-16118.008250579194</v>
      </c>
      <c r="V5" s="221"/>
      <c r="W5" s="221">
        <f>-W4*$C$5</f>
        <v>-16520.958456843673</v>
      </c>
      <c r="X5" s="221"/>
      <c r="Y5" s="221">
        <f>-Y4*$C$5</f>
        <v>-16933.982418264764</v>
      </c>
      <c r="Z5" s="221"/>
      <c r="AA5" s="221">
        <f>-AA4*$C$5</f>
        <v>-17357.33197872138</v>
      </c>
      <c r="AB5" s="221"/>
      <c r="AC5" s="221">
        <f>-AC4*$C$5</f>
        <v>-17791.265278189414</v>
      </c>
      <c r="AD5" s="221"/>
      <c r="AE5" s="221">
        <f>-AE4*$C$5</f>
        <v>-18236.046910144149</v>
      </c>
      <c r="AF5" s="221"/>
      <c r="AG5" s="221">
        <f>-AG4*$C$5</f>
        <v>-18691.94808289775</v>
      </c>
    </row>
    <row r="6" spans="1:34" s="210" customFormat="1" ht="14.25">
      <c r="A6" s="210" t="s">
        <v>836</v>
      </c>
      <c r="C6" s="237">
        <v>1.0249999999999999</v>
      </c>
      <c r="E6" s="222">
        <f>Application!Z809</f>
        <v>460464</v>
      </c>
      <c r="F6" s="222"/>
      <c r="G6" s="222">
        <f>E6*$C$6</f>
        <v>471975.6</v>
      </c>
      <c r="H6" s="222"/>
      <c r="I6" s="222">
        <f>G6*$C$6</f>
        <v>483774.98999999993</v>
      </c>
      <c r="J6" s="222"/>
      <c r="K6" s="222">
        <f>I6*$C$6</f>
        <v>495869.36474999989</v>
      </c>
      <c r="L6" s="222"/>
      <c r="M6" s="222">
        <f>K6*$C$6</f>
        <v>508266.09886874986</v>
      </c>
      <c r="N6" s="222"/>
      <c r="O6" s="222">
        <f>M6*$C$6</f>
        <v>520972.75134046859</v>
      </c>
      <c r="P6" s="222"/>
      <c r="Q6" s="222">
        <f>O6*$C$6</f>
        <v>533997.07012398029</v>
      </c>
      <c r="R6" s="222"/>
      <c r="S6" s="222">
        <f>Q6*$C$6</f>
        <v>547346.99687707971</v>
      </c>
      <c r="T6" s="222"/>
      <c r="U6" s="222">
        <f>S6*$C$6</f>
        <v>561030.67179900664</v>
      </c>
      <c r="V6" s="222"/>
      <c r="W6" s="222">
        <f>U6*$C$6</f>
        <v>575056.43859398179</v>
      </c>
      <c r="X6" s="222"/>
      <c r="Y6" s="222">
        <f>W6*$C$6</f>
        <v>589432.84955883131</v>
      </c>
      <c r="Z6" s="222"/>
      <c r="AA6" s="222">
        <f>Y6*$C$6</f>
        <v>604168.67079780204</v>
      </c>
      <c r="AB6" s="222"/>
      <c r="AC6" s="222">
        <f>AA6*$C$6</f>
        <v>619272.88756774704</v>
      </c>
      <c r="AD6" s="222"/>
      <c r="AE6" s="222">
        <f>AC6*$C$6</f>
        <v>634754.7097569406</v>
      </c>
      <c r="AF6" s="222"/>
      <c r="AG6" s="222">
        <f>AE6*$C$6</f>
        <v>650623.57750086405</v>
      </c>
    </row>
    <row r="7" spans="1:34" s="210" customFormat="1" ht="14.25">
      <c r="B7" s="210" t="s">
        <v>838</v>
      </c>
      <c r="C7" s="238">
        <f>IF(Application!$D$211="Special Needs",(((0.1*Application!$T$212)+(0.05*(1-Application!$T$212)))),0.05)</f>
        <v>0.05</v>
      </c>
      <c r="E7" s="221">
        <f>-E6*$C$7</f>
        <v>-23023.200000000001</v>
      </c>
      <c r="F7" s="221"/>
      <c r="G7" s="221">
        <f>-G6*$C$7</f>
        <v>-23598.78</v>
      </c>
      <c r="H7" s="221"/>
      <c r="I7" s="221">
        <f>-I6*$C$7</f>
        <v>-24188.749499999998</v>
      </c>
      <c r="J7" s="221"/>
      <c r="K7" s="221">
        <f>-K6*$C$7</f>
        <v>-24793.468237499997</v>
      </c>
      <c r="L7" s="221"/>
      <c r="M7" s="221">
        <f>-M6*$C$7</f>
        <v>-25413.304943437495</v>
      </c>
      <c r="N7" s="221"/>
      <c r="O7" s="221">
        <f>-O6*$C$7</f>
        <v>-26048.63756702343</v>
      </c>
      <c r="P7" s="221"/>
      <c r="Q7" s="221">
        <f>-Q6*$C$7</f>
        <v>-26699.853506199015</v>
      </c>
      <c r="R7" s="221"/>
      <c r="S7" s="221">
        <f>-S6*$C$7</f>
        <v>-27367.349843853986</v>
      </c>
      <c r="T7" s="221"/>
      <c r="U7" s="221">
        <f>-U6*$C$7</f>
        <v>-28051.533589950333</v>
      </c>
      <c r="V7" s="221"/>
      <c r="W7" s="221">
        <f>-W6*$C$7</f>
        <v>-28752.82192969909</v>
      </c>
      <c r="X7" s="221"/>
      <c r="Y7" s="221">
        <f>-Y6*$C$7</f>
        <v>-29471.642477941568</v>
      </c>
      <c r="Z7" s="221"/>
      <c r="AA7" s="221">
        <f>-AA6*$C$7</f>
        <v>-30208.433539890102</v>
      </c>
      <c r="AB7" s="221"/>
      <c r="AC7" s="221">
        <f>-AC6*$C$7</f>
        <v>-30963.644378387355</v>
      </c>
      <c r="AD7" s="221"/>
      <c r="AE7" s="221">
        <f>-AE6*$C$7</f>
        <v>-31737.735487847032</v>
      </c>
      <c r="AF7" s="221"/>
      <c r="AG7" s="221">
        <f>-AG6*$C$7</f>
        <v>-32531.178875043202</v>
      </c>
    </row>
    <row r="8" spans="1:34" s="210" customFormat="1" ht="14.25">
      <c r="A8" s="210" t="s">
        <v>287</v>
      </c>
      <c r="C8" s="237">
        <v>1.0249999999999999</v>
      </c>
      <c r="E8" s="222">
        <f>Application!Z817</f>
        <v>3240</v>
      </c>
      <c r="F8" s="222"/>
      <c r="G8" s="222">
        <f>E8*$C$8</f>
        <v>3320.9999999999995</v>
      </c>
      <c r="H8" s="222"/>
      <c r="I8" s="222">
        <f>G8*$C$8</f>
        <v>3404.0249999999992</v>
      </c>
      <c r="J8" s="222"/>
      <c r="K8" s="222">
        <f>I8*$C$8</f>
        <v>3489.1256249999988</v>
      </c>
      <c r="L8" s="222"/>
      <c r="M8" s="222">
        <f>K8*$C$8</f>
        <v>3576.3537656249982</v>
      </c>
      <c r="N8" s="222"/>
      <c r="O8" s="222">
        <f>M8*$C$8</f>
        <v>3665.762609765623</v>
      </c>
      <c r="P8" s="222"/>
      <c r="Q8" s="222">
        <f>O8*$C$8</f>
        <v>3757.4066750097631</v>
      </c>
      <c r="R8" s="222"/>
      <c r="S8" s="222">
        <f>Q8*$C$8</f>
        <v>3851.3418418850069</v>
      </c>
      <c r="T8" s="222"/>
      <c r="U8" s="222">
        <f>S8*$C$8</f>
        <v>3947.6253879321316</v>
      </c>
      <c r="V8" s="222"/>
      <c r="W8" s="222">
        <f>U8*$C$8</f>
        <v>4046.3160226304344</v>
      </c>
      <c r="X8" s="222"/>
      <c r="Y8" s="222">
        <f>W8*$C$8</f>
        <v>4147.4739231961948</v>
      </c>
      <c r="Z8" s="222"/>
      <c r="AA8" s="222">
        <f>Y8*$C$8</f>
        <v>4251.1607712760997</v>
      </c>
      <c r="AB8" s="222"/>
      <c r="AC8" s="222">
        <f>AA8*$C$8</f>
        <v>4357.4397905580017</v>
      </c>
      <c r="AD8" s="222"/>
      <c r="AE8" s="222">
        <f>AC8*$C$8</f>
        <v>4466.3757853219513</v>
      </c>
      <c r="AF8" s="222"/>
      <c r="AG8" s="222">
        <f>AE8*$C$8</f>
        <v>4578.0351799549999</v>
      </c>
    </row>
    <row r="9" spans="1:34" s="210" customFormat="1" ht="14.25">
      <c r="B9" s="210" t="s">
        <v>838</v>
      </c>
      <c r="C9" s="238">
        <f>IF(Application!$D$211="Special Needs",(((0.1*Application!$T$212)+(0.05*(1-Application!$T$212)))),0.05)</f>
        <v>0.05</v>
      </c>
      <c r="E9" s="221">
        <f>-E8*$C$9</f>
        <v>-162</v>
      </c>
      <c r="F9" s="221"/>
      <c r="G9" s="221">
        <f>-G8*$C$9</f>
        <v>-166.04999999999998</v>
      </c>
      <c r="H9" s="221"/>
      <c r="I9" s="221">
        <f>-I8*$C$9</f>
        <v>-170.20124999999996</v>
      </c>
      <c r="J9" s="221"/>
      <c r="K9" s="221">
        <f>-K8*$C$9</f>
        <v>-174.45628124999996</v>
      </c>
      <c r="L9" s="221"/>
      <c r="M9" s="221">
        <f>-M8*$C$9</f>
        <v>-178.81768828124993</v>
      </c>
      <c r="N9" s="221"/>
      <c r="O9" s="221">
        <f>-O8*$C$9</f>
        <v>-183.28813048828115</v>
      </c>
      <c r="P9" s="221"/>
      <c r="Q9" s="221">
        <f>-Q8*$C$9</f>
        <v>-187.87033375048816</v>
      </c>
      <c r="R9" s="221"/>
      <c r="S9" s="221">
        <f>-S8*$C$9</f>
        <v>-192.56709209425037</v>
      </c>
      <c r="T9" s="221"/>
      <c r="U9" s="221">
        <f>-U8*$C$9</f>
        <v>-197.3812693966066</v>
      </c>
      <c r="V9" s="221"/>
      <c r="W9" s="221">
        <f>-W8*$C$9</f>
        <v>-202.31580113152174</v>
      </c>
      <c r="X9" s="221"/>
      <c r="Y9" s="221">
        <f>-Y8*$C$9</f>
        <v>-207.37369615980975</v>
      </c>
      <c r="Z9" s="221"/>
      <c r="AA9" s="221">
        <f>-AA8*$C$9</f>
        <v>-212.55803856380498</v>
      </c>
      <c r="AB9" s="221"/>
      <c r="AC9" s="221">
        <f>-AC8*$C$9</f>
        <v>-217.8719895279001</v>
      </c>
      <c r="AD9" s="221"/>
      <c r="AE9" s="221">
        <f>-AE8*$C$9</f>
        <v>-223.31878926609758</v>
      </c>
      <c r="AF9" s="221"/>
      <c r="AG9" s="221">
        <f>-AG8*$C$9</f>
        <v>-228.90175899774999</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691866</v>
      </c>
      <c r="G11" s="223">
        <f>SUM(G4:G10)</f>
        <v>709162.64999999991</v>
      </c>
      <c r="I11" s="223">
        <f>SUM(I4:I10)</f>
        <v>726891.71624999982</v>
      </c>
      <c r="K11" s="223">
        <f>SUM(K4:K10)</f>
        <v>745064.0091562497</v>
      </c>
      <c r="M11" s="223">
        <f>SUM(M4:M10)</f>
        <v>763690.60938515596</v>
      </c>
      <c r="O11" s="223">
        <f>SUM(O4:O10)</f>
        <v>782782.87461978488</v>
      </c>
      <c r="Q11" s="223">
        <f>SUM(Q4:Q10)</f>
        <v>802352.44648527948</v>
      </c>
      <c r="S11" s="223">
        <f>SUM(S4:S10)</f>
        <v>822411.25764741132</v>
      </c>
      <c r="U11" s="223">
        <f>SUM(U4:U10)</f>
        <v>842971.53908859659</v>
      </c>
      <c r="W11" s="223">
        <f>SUM(W4:W10)</f>
        <v>864045.82756581146</v>
      </c>
      <c r="Y11" s="223">
        <f>SUM(Y4:Y10)</f>
        <v>885646.97325495654</v>
      </c>
      <c r="AA11" s="223">
        <f>SUM(AA4:AA10)</f>
        <v>907788.14758633054</v>
      </c>
      <c r="AC11" s="223">
        <f>SUM(AC4:AC10)</f>
        <v>930482.85127598851</v>
      </c>
      <c r="AE11" s="223">
        <f>SUM(AE4:AE10)</f>
        <v>953744.9225578882</v>
      </c>
      <c r="AG11" s="223">
        <f>SUM(AG4:AG10)</f>
        <v>977588.54562183528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46970</v>
      </c>
      <c r="G15" s="219">
        <f>E15*$C$14</f>
        <v>48613.95</v>
      </c>
      <c r="I15" s="219">
        <f>G15*$C$14</f>
        <v>50315.438249999992</v>
      </c>
      <c r="K15" s="219">
        <f>I15*$C$14</f>
        <v>52076.478588749989</v>
      </c>
      <c r="M15" s="219">
        <f>K15*$C$14</f>
        <v>53899.155339356235</v>
      </c>
      <c r="O15" s="219">
        <f>M15*$C$14</f>
        <v>55785.625776233697</v>
      </c>
      <c r="Q15" s="219">
        <f>O15*$C$14</f>
        <v>57738.122678401873</v>
      </c>
      <c r="S15" s="219">
        <f>Q15*$C$14</f>
        <v>59758.956972145934</v>
      </c>
      <c r="U15" s="219">
        <f>S15*$C$14</f>
        <v>61850.520466171038</v>
      </c>
      <c r="W15" s="219">
        <f>U15*$C$14</f>
        <v>64015.288682487022</v>
      </c>
      <c r="Y15" s="219">
        <f>W15*$C$14</f>
        <v>66255.823786374065</v>
      </c>
      <c r="AA15" s="219">
        <f>Y15*$C$14</f>
        <v>68574.777618897147</v>
      </c>
      <c r="AC15" s="219">
        <f>AA15*$C$14</f>
        <v>70974.894835558545</v>
      </c>
      <c r="AE15" s="219">
        <f>AC15*$C$14</f>
        <v>73459.016154803088</v>
      </c>
      <c r="AG15" s="219">
        <f>AE15*$C$14</f>
        <v>76030.081720221191</v>
      </c>
    </row>
    <row r="16" spans="1:34" s="210" customFormat="1" ht="14.25">
      <c r="A16" s="210" t="s">
        <v>343</v>
      </c>
      <c r="C16" s="233"/>
      <c r="E16" s="222">
        <f>Application!W849</f>
        <v>42768</v>
      </c>
      <c r="F16" s="222"/>
      <c r="G16" s="222">
        <f t="shared" ref="G16:AG21" si="0">E16*$C$14</f>
        <v>44264.88</v>
      </c>
      <c r="H16" s="222"/>
      <c r="I16" s="222">
        <f t="shared" si="0"/>
        <v>45814.150799999996</v>
      </c>
      <c r="J16" s="222"/>
      <c r="K16" s="222">
        <f t="shared" si="0"/>
        <v>47417.646077999991</v>
      </c>
      <c r="L16" s="222"/>
      <c r="M16" s="222">
        <f t="shared" si="0"/>
        <v>49077.263690729989</v>
      </c>
      <c r="N16" s="222"/>
      <c r="O16" s="222">
        <f t="shared" si="0"/>
        <v>50794.967919905532</v>
      </c>
      <c r="P16" s="222"/>
      <c r="Q16" s="222">
        <f t="shared" si="0"/>
        <v>52572.791797102218</v>
      </c>
      <c r="R16" s="222"/>
      <c r="S16" s="222">
        <f t="shared" si="0"/>
        <v>54412.839510000791</v>
      </c>
      <c r="T16" s="222"/>
      <c r="U16" s="222">
        <f t="shared" si="0"/>
        <v>56317.288892850811</v>
      </c>
      <c r="V16" s="222"/>
      <c r="W16" s="222">
        <f t="shared" si="0"/>
        <v>58288.394004100584</v>
      </c>
      <c r="X16" s="222"/>
      <c r="Y16" s="222">
        <f t="shared" si="0"/>
        <v>60328.487794244102</v>
      </c>
      <c r="Z16" s="222"/>
      <c r="AA16" s="222">
        <f t="shared" si="0"/>
        <v>62439.984867042644</v>
      </c>
      <c r="AB16" s="222"/>
      <c r="AC16" s="222">
        <f t="shared" si="0"/>
        <v>64625.384337389129</v>
      </c>
      <c r="AD16" s="222"/>
      <c r="AE16" s="222">
        <f t="shared" si="0"/>
        <v>66887.272789197741</v>
      </c>
      <c r="AF16" s="222"/>
      <c r="AG16" s="222">
        <f t="shared" si="0"/>
        <v>69228.327336819653</v>
      </c>
    </row>
    <row r="17" spans="1:33" s="210" customFormat="1" ht="14.25">
      <c r="A17" s="210" t="s">
        <v>561</v>
      </c>
      <c r="C17" s="233"/>
      <c r="E17" s="222">
        <f>Application!W855</f>
        <v>66273</v>
      </c>
      <c r="F17" s="222"/>
      <c r="G17" s="222">
        <f t="shared" si="0"/>
        <v>68592.554999999993</v>
      </c>
      <c r="H17" s="222"/>
      <c r="I17" s="222">
        <f t="shared" si="0"/>
        <v>70993.294424999985</v>
      </c>
      <c r="J17" s="222"/>
      <c r="K17" s="222">
        <f t="shared" si="0"/>
        <v>73478.059729874978</v>
      </c>
      <c r="L17" s="222"/>
      <c r="M17" s="222">
        <f t="shared" si="0"/>
        <v>76049.791820420593</v>
      </c>
      <c r="N17" s="222"/>
      <c r="O17" s="222">
        <f t="shared" si="0"/>
        <v>78711.53453413531</v>
      </c>
      <c r="P17" s="222"/>
      <c r="Q17" s="222">
        <f t="shared" si="0"/>
        <v>81466.438242830045</v>
      </c>
      <c r="R17" s="222"/>
      <c r="S17" s="222">
        <f t="shared" si="0"/>
        <v>84317.763581329084</v>
      </c>
      <c r="T17" s="222"/>
      <c r="U17" s="222">
        <f t="shared" si="0"/>
        <v>87268.885306675598</v>
      </c>
      <c r="V17" s="222"/>
      <c r="W17" s="222">
        <f t="shared" si="0"/>
        <v>90323.296292409243</v>
      </c>
      <c r="X17" s="222"/>
      <c r="Y17" s="222">
        <f t="shared" si="0"/>
        <v>93484.611662643554</v>
      </c>
      <c r="Z17" s="222"/>
      <c r="AA17" s="222">
        <f t="shared" si="0"/>
        <v>96756.573070836064</v>
      </c>
      <c r="AB17" s="222"/>
      <c r="AC17" s="222">
        <f t="shared" si="0"/>
        <v>100143.05312831533</v>
      </c>
      <c r="AD17" s="222"/>
      <c r="AE17" s="222">
        <f t="shared" si="0"/>
        <v>103648.05998780635</v>
      </c>
      <c r="AF17" s="222"/>
      <c r="AG17" s="222">
        <f t="shared" si="0"/>
        <v>107275.74208737956</v>
      </c>
    </row>
    <row r="18" spans="1:33" s="210" customFormat="1" ht="14.25">
      <c r="A18" s="210" t="s">
        <v>842</v>
      </c>
      <c r="C18" s="233"/>
      <c r="E18" s="222">
        <f>Application!W862</f>
        <v>138813</v>
      </c>
      <c r="F18" s="222"/>
      <c r="G18" s="222">
        <f t="shared" si="0"/>
        <v>143671.45499999999</v>
      </c>
      <c r="H18" s="222"/>
      <c r="I18" s="222">
        <f t="shared" si="0"/>
        <v>148699.95592499999</v>
      </c>
      <c r="J18" s="222"/>
      <c r="K18" s="222">
        <f t="shared" si="0"/>
        <v>153904.45438237497</v>
      </c>
      <c r="L18" s="222"/>
      <c r="M18" s="222">
        <f t="shared" si="0"/>
        <v>159291.11028575807</v>
      </c>
      <c r="N18" s="222"/>
      <c r="O18" s="222">
        <f t="shared" si="0"/>
        <v>164866.29914575958</v>
      </c>
      <c r="P18" s="222"/>
      <c r="Q18" s="222">
        <f t="shared" si="0"/>
        <v>170636.61961586116</v>
      </c>
      <c r="R18" s="222"/>
      <c r="S18" s="222">
        <f t="shared" si="0"/>
        <v>176608.90130241629</v>
      </c>
      <c r="T18" s="222"/>
      <c r="U18" s="222">
        <f t="shared" si="0"/>
        <v>182790.21284800084</v>
      </c>
      <c r="V18" s="222"/>
      <c r="W18" s="222">
        <f t="shared" si="0"/>
        <v>189187.87029768084</v>
      </c>
      <c r="X18" s="222"/>
      <c r="Y18" s="222">
        <f t="shared" si="0"/>
        <v>195809.44575809967</v>
      </c>
      <c r="Z18" s="222"/>
      <c r="AA18" s="222">
        <f t="shared" si="0"/>
        <v>202662.77635963314</v>
      </c>
      <c r="AB18" s="222"/>
      <c r="AC18" s="222">
        <f t="shared" si="0"/>
        <v>209755.97353222029</v>
      </c>
      <c r="AD18" s="222"/>
      <c r="AE18" s="222">
        <f t="shared" si="0"/>
        <v>217097.43260584798</v>
      </c>
      <c r="AF18" s="222"/>
      <c r="AG18" s="222">
        <f t="shared" si="0"/>
        <v>224695.84274705264</v>
      </c>
    </row>
    <row r="19" spans="1:33" s="210" customFormat="1" ht="14.25">
      <c r="A19" s="210" t="s">
        <v>155</v>
      </c>
      <c r="C19" s="233"/>
      <c r="E19" s="222">
        <f>Application!W863</f>
        <v>25848</v>
      </c>
      <c r="F19" s="222"/>
      <c r="G19" s="222">
        <f t="shared" si="0"/>
        <v>26752.679999999997</v>
      </c>
      <c r="H19" s="222"/>
      <c r="I19" s="222">
        <f t="shared" si="0"/>
        <v>27689.023799999995</v>
      </c>
      <c r="J19" s="222"/>
      <c r="K19" s="222">
        <f t="shared" si="0"/>
        <v>28658.139632999992</v>
      </c>
      <c r="L19" s="222"/>
      <c r="M19" s="222">
        <f t="shared" si="0"/>
        <v>29661.174520154989</v>
      </c>
      <c r="N19" s="222"/>
      <c r="O19" s="222">
        <f t="shared" si="0"/>
        <v>30699.315628360411</v>
      </c>
      <c r="P19" s="222"/>
      <c r="Q19" s="222">
        <f t="shared" si="0"/>
        <v>31773.791675353023</v>
      </c>
      <c r="R19" s="222"/>
      <c r="S19" s="222">
        <f t="shared" si="0"/>
        <v>32885.874383990376</v>
      </c>
      <c r="T19" s="222"/>
      <c r="U19" s="222">
        <f t="shared" si="0"/>
        <v>34036.879987430038</v>
      </c>
      <c r="V19" s="222"/>
      <c r="W19" s="222">
        <f t="shared" si="0"/>
        <v>35228.170786990086</v>
      </c>
      <c r="X19" s="222"/>
      <c r="Y19" s="222">
        <f t="shared" si="0"/>
        <v>36461.156764534739</v>
      </c>
      <c r="Z19" s="222"/>
      <c r="AA19" s="222">
        <f t="shared" si="0"/>
        <v>37737.29725129345</v>
      </c>
      <c r="AB19" s="222"/>
      <c r="AC19" s="222">
        <f t="shared" si="0"/>
        <v>39058.102655088718</v>
      </c>
      <c r="AD19" s="222"/>
      <c r="AE19" s="222">
        <f t="shared" si="0"/>
        <v>40425.136248016817</v>
      </c>
      <c r="AF19" s="222"/>
      <c r="AG19" s="222">
        <f t="shared" si="0"/>
        <v>41840.016016697402</v>
      </c>
    </row>
    <row r="20" spans="1:33" s="210" customFormat="1" ht="14.25">
      <c r="A20" s="210" t="s">
        <v>389</v>
      </c>
      <c r="C20" s="233"/>
      <c r="E20" s="222">
        <f>Application!W872</f>
        <v>75386</v>
      </c>
      <c r="F20" s="222"/>
      <c r="G20" s="222">
        <f t="shared" si="0"/>
        <v>78024.509999999995</v>
      </c>
      <c r="H20" s="222"/>
      <c r="I20" s="222">
        <f t="shared" si="0"/>
        <v>80755.367849999995</v>
      </c>
      <c r="J20" s="222"/>
      <c r="K20" s="222">
        <f t="shared" si="0"/>
        <v>83581.805724749982</v>
      </c>
      <c r="L20" s="222"/>
      <c r="M20" s="222">
        <f t="shared" si="0"/>
        <v>86507.168925116232</v>
      </c>
      <c r="N20" s="222"/>
      <c r="O20" s="222">
        <f t="shared" si="0"/>
        <v>89534.919837495298</v>
      </c>
      <c r="P20" s="222"/>
      <c r="Q20" s="222">
        <f t="shared" si="0"/>
        <v>92668.642031807627</v>
      </c>
      <c r="R20" s="222"/>
      <c r="S20" s="222">
        <f t="shared" si="0"/>
        <v>95912.044502920893</v>
      </c>
      <c r="T20" s="222"/>
      <c r="U20" s="222">
        <f t="shared" si="0"/>
        <v>99268.966060523118</v>
      </c>
      <c r="V20" s="222"/>
      <c r="W20" s="222">
        <f t="shared" si="0"/>
        <v>102743.37987264142</v>
      </c>
      <c r="X20" s="222"/>
      <c r="Y20" s="222">
        <f t="shared" si="0"/>
        <v>106339.39816818386</v>
      </c>
      <c r="Z20" s="222"/>
      <c r="AA20" s="222">
        <f t="shared" si="0"/>
        <v>110061.27710407029</v>
      </c>
      <c r="AB20" s="222"/>
      <c r="AC20" s="222">
        <f t="shared" si="0"/>
        <v>113913.42180271275</v>
      </c>
      <c r="AD20" s="222"/>
      <c r="AE20" s="222">
        <f t="shared" si="0"/>
        <v>117900.39156580769</v>
      </c>
      <c r="AF20" s="222"/>
      <c r="AG20" s="222">
        <f t="shared" si="0"/>
        <v>122026.90527061095</v>
      </c>
    </row>
    <row r="21" spans="1:33" s="210" customFormat="1" ht="14.25">
      <c r="A21" s="226" t="s">
        <v>962</v>
      </c>
      <c r="B21" s="226"/>
      <c r="C21" s="233"/>
      <c r="E21" s="232">
        <f>Application!W879</f>
        <v>800</v>
      </c>
      <c r="F21" s="222"/>
      <c r="G21" s="232">
        <f t="shared" si="0"/>
        <v>827.99999999999989</v>
      </c>
      <c r="H21" s="222"/>
      <c r="I21" s="232">
        <f t="shared" si="0"/>
        <v>856.97999999999979</v>
      </c>
      <c r="J21" s="222"/>
      <c r="K21" s="232">
        <f t="shared" si="0"/>
        <v>886.97429999999974</v>
      </c>
      <c r="L21" s="222"/>
      <c r="M21" s="232">
        <f t="shared" si="0"/>
        <v>918.01840049999964</v>
      </c>
      <c r="N21" s="222"/>
      <c r="O21" s="232">
        <f t="shared" si="0"/>
        <v>950.14904451749953</v>
      </c>
      <c r="P21" s="222"/>
      <c r="Q21" s="232">
        <f t="shared" si="0"/>
        <v>983.40426107561188</v>
      </c>
      <c r="R21" s="222"/>
      <c r="S21" s="232">
        <f t="shared" si="0"/>
        <v>1017.8234102132582</v>
      </c>
      <c r="T21" s="222"/>
      <c r="U21" s="232">
        <f t="shared" si="0"/>
        <v>1053.4472295707221</v>
      </c>
      <c r="V21" s="222"/>
      <c r="W21" s="232">
        <f t="shared" si="0"/>
        <v>1090.3178826056974</v>
      </c>
      <c r="X21" s="222"/>
      <c r="Y21" s="232">
        <f t="shared" si="0"/>
        <v>1128.4790084968968</v>
      </c>
      <c r="Z21" s="222"/>
      <c r="AA21" s="232">
        <f t="shared" si="0"/>
        <v>1167.975773794288</v>
      </c>
      <c r="AB21" s="222"/>
      <c r="AC21" s="232">
        <f t="shared" si="0"/>
        <v>1208.8549258770879</v>
      </c>
      <c r="AD21" s="222"/>
      <c r="AE21" s="232">
        <f t="shared" si="0"/>
        <v>1251.1648482827859</v>
      </c>
      <c r="AF21" s="222"/>
      <c r="AG21" s="232">
        <f t="shared" si="0"/>
        <v>1294.9556179726833</v>
      </c>
    </row>
    <row r="22" spans="1:33" s="223" customFormat="1" ht="15">
      <c r="A22" s="223" t="s">
        <v>843</v>
      </c>
      <c r="C22" s="233"/>
      <c r="E22" s="223">
        <f>SUM(E15:E21)</f>
        <v>396858</v>
      </c>
      <c r="G22" s="223">
        <f>SUM(G15:G21)</f>
        <v>410748.02999999997</v>
      </c>
      <c r="I22" s="223">
        <f>SUM(I15:I21)</f>
        <v>425124.21104999987</v>
      </c>
      <c r="K22" s="223">
        <f>SUM(K15:K21)</f>
        <v>440003.55843674991</v>
      </c>
      <c r="M22" s="223">
        <f>SUM(M15:M21)</f>
        <v>455403.68298203615</v>
      </c>
      <c r="O22" s="223">
        <f>SUM(O15:O21)</f>
        <v>471342.81188640732</v>
      </c>
      <c r="Q22" s="223">
        <f>SUM(Q15:Q21)</f>
        <v>487839.81030243152</v>
      </c>
      <c r="S22" s="223">
        <f>SUM(S15:S21)</f>
        <v>504914.20366301661</v>
      </c>
      <c r="U22" s="223">
        <f>SUM(U15:U21)</f>
        <v>522586.20079122222</v>
      </c>
      <c r="W22" s="223">
        <f>SUM(W15:W21)</f>
        <v>540876.71781891491</v>
      </c>
      <c r="Y22" s="223">
        <f>SUM(Y15:Y21)</f>
        <v>559807.40294257691</v>
      </c>
      <c r="AA22" s="223">
        <f>SUM(AA15:AA21)</f>
        <v>579400.66204556706</v>
      </c>
      <c r="AC22" s="223">
        <f>SUM(AC15:AC21)</f>
        <v>599679.68521716178</v>
      </c>
      <c r="AE22" s="223">
        <f>SUM(AE15:AE21)</f>
        <v>620668.47419976245</v>
      </c>
      <c r="AG22" s="223">
        <f>SUM(AG15:AG21)</f>
        <v>642391.87079675402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45000</v>
      </c>
      <c r="F27" s="222"/>
      <c r="G27" s="222">
        <f>E27*$C$27</f>
        <v>46575</v>
      </c>
      <c r="H27" s="222"/>
      <c r="I27" s="222">
        <f>G27*$C$27</f>
        <v>48205.124999999993</v>
      </c>
      <c r="J27" s="222"/>
      <c r="K27" s="222">
        <f>I27*$C$27</f>
        <v>49892.304374999985</v>
      </c>
      <c r="L27" s="222"/>
      <c r="M27" s="222">
        <f>K27*$C$27</f>
        <v>51638.535028124978</v>
      </c>
      <c r="N27" s="222"/>
      <c r="O27" s="222">
        <f>M27*$C$27</f>
        <v>53445.883754109345</v>
      </c>
      <c r="P27" s="222"/>
      <c r="Q27" s="222">
        <f>O27*$C$27</f>
        <v>55316.489685503169</v>
      </c>
      <c r="R27" s="222"/>
      <c r="S27" s="222">
        <f>Q27*$C$27</f>
        <v>57252.566824495778</v>
      </c>
      <c r="T27" s="222"/>
      <c r="U27" s="222">
        <f>S27*$C$27</f>
        <v>59256.406663353126</v>
      </c>
      <c r="V27" s="222"/>
      <c r="W27" s="222">
        <f>U27*$C$27</f>
        <v>61330.380896570481</v>
      </c>
      <c r="X27" s="222"/>
      <c r="Y27" s="222">
        <f>W27*$C$27</f>
        <v>63476.944227950444</v>
      </c>
      <c r="Z27" s="222"/>
      <c r="AA27" s="222">
        <f>Y27*$C$27</f>
        <v>65698.637275928704</v>
      </c>
      <c r="AB27" s="222"/>
      <c r="AC27" s="222">
        <f>AA27*$C$27</f>
        <v>67998.089580586209</v>
      </c>
      <c r="AD27" s="222"/>
      <c r="AE27" s="222">
        <f>AC27*$C$27</f>
        <v>70378.022715906714</v>
      </c>
      <c r="AF27" s="222"/>
      <c r="AG27" s="222">
        <f>AE27*$C$27</f>
        <v>72841.253510963448</v>
      </c>
    </row>
    <row r="28" spans="1:33" s="210" customFormat="1" ht="14.25">
      <c r="A28" s="210" t="s">
        <v>846</v>
      </c>
      <c r="C28" s="237"/>
      <c r="E28" s="222">
        <f>Application!AC889</f>
        <v>27000</v>
      </c>
      <c r="F28" s="222"/>
      <c r="G28" s="222">
        <f>$E$28</f>
        <v>27000</v>
      </c>
      <c r="H28" s="222"/>
      <c r="I28" s="222">
        <f>$E$28</f>
        <v>27000</v>
      </c>
      <c r="J28" s="222"/>
      <c r="K28" s="222">
        <f>$E$28</f>
        <v>27000</v>
      </c>
      <c r="L28" s="222"/>
      <c r="M28" s="222">
        <f>$E$28</f>
        <v>27000</v>
      </c>
      <c r="N28" s="222"/>
      <c r="O28" s="222">
        <f>$E$28</f>
        <v>27000</v>
      </c>
      <c r="P28" s="222"/>
      <c r="Q28" s="222">
        <f>$E$28</f>
        <v>27000</v>
      </c>
      <c r="R28" s="222"/>
      <c r="S28" s="222">
        <f>$E$28</f>
        <v>27000</v>
      </c>
      <c r="T28" s="222"/>
      <c r="U28" s="222">
        <f>$E$28</f>
        <v>27000</v>
      </c>
      <c r="V28" s="222"/>
      <c r="W28" s="222">
        <f>$E$28</f>
        <v>27000</v>
      </c>
      <c r="X28" s="222"/>
      <c r="Y28" s="222">
        <f>$E$28</f>
        <v>27000</v>
      </c>
      <c r="Z28" s="222"/>
      <c r="AA28" s="222">
        <f>$E$28</f>
        <v>27000</v>
      </c>
      <c r="AB28" s="222"/>
      <c r="AC28" s="222">
        <f>$E$28</f>
        <v>27000</v>
      </c>
      <c r="AD28" s="222"/>
      <c r="AE28" s="222">
        <f>$E$28</f>
        <v>27000</v>
      </c>
      <c r="AF28" s="222"/>
      <c r="AG28" s="222">
        <f>$E$28</f>
        <v>27000</v>
      </c>
    </row>
    <row r="29" spans="1:33" s="210" customFormat="1" ht="14.25">
      <c r="A29" s="210" t="s">
        <v>1680</v>
      </c>
      <c r="C29" s="237"/>
      <c r="E29" s="222">
        <f>Application!AC890</f>
        <v>9000</v>
      </c>
      <c r="F29" s="222"/>
      <c r="G29" s="222">
        <f>$E$29</f>
        <v>9000</v>
      </c>
      <c r="H29" s="222"/>
      <c r="I29" s="222">
        <f>$E$29</f>
        <v>9000</v>
      </c>
      <c r="J29" s="222"/>
      <c r="K29" s="222">
        <f>$E$29</f>
        <v>9000</v>
      </c>
      <c r="L29" s="222"/>
      <c r="M29" s="222">
        <f>$E$29</f>
        <v>9000</v>
      </c>
      <c r="N29" s="222"/>
      <c r="O29" s="222">
        <f>$E$29</f>
        <v>9000</v>
      </c>
      <c r="P29" s="222"/>
      <c r="Q29" s="222">
        <f>$E$29</f>
        <v>9000</v>
      </c>
      <c r="R29" s="222"/>
      <c r="S29" s="222">
        <f>$E$29</f>
        <v>9000</v>
      </c>
      <c r="T29" s="222"/>
      <c r="U29" s="222">
        <f>$E$29</f>
        <v>9000</v>
      </c>
      <c r="V29" s="222"/>
      <c r="W29" s="222">
        <f>$E$29</f>
        <v>9000</v>
      </c>
      <c r="X29" s="222"/>
      <c r="Y29" s="222">
        <f>$E$29</f>
        <v>9000</v>
      </c>
      <c r="Z29" s="222"/>
      <c r="AA29" s="222">
        <f>$E$29</f>
        <v>9000</v>
      </c>
      <c r="AB29" s="222"/>
      <c r="AC29" s="222">
        <f>$E$29</f>
        <v>9000</v>
      </c>
      <c r="AD29" s="222"/>
      <c r="AE29" s="222">
        <f>$E$29</f>
        <v>9000</v>
      </c>
      <c r="AF29" s="222"/>
      <c r="AG29" s="222">
        <f>$E$29</f>
        <v>9000</v>
      </c>
    </row>
    <row r="30" spans="1:33" s="210" customFormat="1" ht="14.25">
      <c r="A30" s="210" t="s">
        <v>844</v>
      </c>
      <c r="C30" s="237">
        <v>1.02</v>
      </c>
      <c r="E30" s="222">
        <f>Application!AC891</f>
        <v>19791</v>
      </c>
      <c r="F30" s="222"/>
      <c r="G30" s="222">
        <f>E30*$C$30</f>
        <v>20186.82</v>
      </c>
      <c r="H30" s="222"/>
      <c r="I30" s="222">
        <f>G30*$C$30</f>
        <v>20590.556400000001</v>
      </c>
      <c r="J30" s="222"/>
      <c r="K30" s="222">
        <f>I30*$C$30</f>
        <v>21002.367528000002</v>
      </c>
      <c r="L30" s="222"/>
      <c r="M30" s="222">
        <f>K30*$C$30</f>
        <v>21422.414878560005</v>
      </c>
      <c r="N30" s="222"/>
      <c r="O30" s="222">
        <f>M30*$C$30</f>
        <v>21850.863176131206</v>
      </c>
      <c r="P30" s="222"/>
      <c r="Q30" s="222">
        <f>O30*$C$30</f>
        <v>22287.880439653833</v>
      </c>
      <c r="R30" s="222"/>
      <c r="S30" s="222">
        <f>Q30*$C$30</f>
        <v>22733.638048446908</v>
      </c>
      <c r="T30" s="222"/>
      <c r="U30" s="222">
        <f>S30*$C$30</f>
        <v>23188.310809415845</v>
      </c>
      <c r="V30" s="222"/>
      <c r="W30" s="222">
        <f>U30*$C$30</f>
        <v>23652.077025604161</v>
      </c>
      <c r="X30" s="222"/>
      <c r="Y30" s="222">
        <f>W30*$C$30</f>
        <v>24125.118566116245</v>
      </c>
      <c r="Z30" s="222"/>
      <c r="AA30" s="222">
        <f>Y30*$C$30</f>
        <v>24607.620937438569</v>
      </c>
      <c r="AB30" s="222"/>
      <c r="AC30" s="222">
        <f>AA30*$C$30</f>
        <v>25099.773356187339</v>
      </c>
      <c r="AD30" s="222"/>
      <c r="AE30" s="222">
        <f>AC30*$C$30</f>
        <v>25601.768823311086</v>
      </c>
      <c r="AF30" s="222"/>
      <c r="AG30" s="222">
        <f>AE30*$C$30</f>
        <v>26113.804199777307</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497649</v>
      </c>
      <c r="G35" s="223">
        <f>SUM(G22:G33)</f>
        <v>513509.85</v>
      </c>
      <c r="I35" s="223">
        <f>SUM(I22:I33)</f>
        <v>529919.89244999993</v>
      </c>
      <c r="K35" s="223">
        <f>SUM(K22:K33)</f>
        <v>546898.23033974995</v>
      </c>
      <c r="M35" s="223">
        <f>SUM(M22:M33)</f>
        <v>564464.63288872107</v>
      </c>
      <c r="O35" s="223">
        <f>SUM(O22:O33)</f>
        <v>582639.55881664786</v>
      </c>
      <c r="Q35" s="223">
        <f>SUM(Q22:Q33)</f>
        <v>601444.18042758852</v>
      </c>
      <c r="S35" s="223">
        <f>SUM(S22:S33)</f>
        <v>620900.4085359592</v>
      </c>
      <c r="U35" s="223">
        <f>SUM(U22:U33)</f>
        <v>641030.91826399125</v>
      </c>
      <c r="W35" s="223">
        <f>SUM(W22:W33)</f>
        <v>661859.17574108962</v>
      </c>
      <c r="Y35" s="223">
        <f>SUM(Y22:Y33)</f>
        <v>683409.46573664353</v>
      </c>
      <c r="AA35" s="223">
        <f>SUM(AA22:AA33)</f>
        <v>705706.92025893438</v>
      </c>
      <c r="AC35" s="223">
        <f>SUM(AC22:AC33)</f>
        <v>728777.54815393535</v>
      </c>
      <c r="AE35" s="223">
        <f>SUM(AE22:AE33)</f>
        <v>752648.26573898026</v>
      </c>
      <c r="AG35" s="223">
        <f>SUM(AG22:AG33)</f>
        <v>777346.92850749474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194217</v>
      </c>
      <c r="G37" s="223">
        <f>G11-G35</f>
        <v>195652.79999999993</v>
      </c>
      <c r="I37" s="223">
        <f>I11-I35</f>
        <v>196971.8237999999</v>
      </c>
      <c r="K37" s="223">
        <f>K11-K35</f>
        <v>198165.77881649975</v>
      </c>
      <c r="M37" s="223">
        <f>M11-M35</f>
        <v>199225.97649643489</v>
      </c>
      <c r="O37" s="223">
        <f>O11-O35</f>
        <v>200143.31580313703</v>
      </c>
      <c r="Q37" s="223">
        <f>Q11-Q35</f>
        <v>200908.26605769095</v>
      </c>
      <c r="S37" s="223">
        <f>S11-S35</f>
        <v>201510.84911145212</v>
      </c>
      <c r="U37" s="223">
        <f>U11-U35</f>
        <v>201940.62082460534</v>
      </c>
      <c r="W37" s="223">
        <f>W11-W35</f>
        <v>202186.65182472183</v>
      </c>
      <c r="Y37" s="223">
        <f>Y11-Y35</f>
        <v>202237.50751831301</v>
      </c>
      <c r="AA37" s="223">
        <f>AA11-AA35</f>
        <v>202081.22732739616</v>
      </c>
      <c r="AC37" s="223">
        <f>AC11-AC35</f>
        <v>201705.30312205316</v>
      </c>
      <c r="AE37" s="223">
        <f>AE11-AE35</f>
        <v>201096.65681890794</v>
      </c>
      <c r="AG37" s="223">
        <f>AG11-AG35</f>
        <v>200241.61711434054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Permanent Loan</v>
      </c>
      <c r="B40" s="226"/>
      <c r="C40" s="220"/>
      <c r="E40" s="222">
        <f>Application!AF627</f>
        <v>167670</v>
      </c>
      <c r="F40" s="222"/>
      <c r="G40" s="222">
        <f>$E$40</f>
        <v>167670</v>
      </c>
      <c r="H40" s="222"/>
      <c r="I40" s="222">
        <f>$E$40</f>
        <v>167670</v>
      </c>
      <c r="J40" s="222"/>
      <c r="K40" s="222">
        <f>$E$40</f>
        <v>167670</v>
      </c>
      <c r="L40" s="222"/>
      <c r="M40" s="222">
        <f>$E$40</f>
        <v>167670</v>
      </c>
      <c r="N40" s="222"/>
      <c r="O40" s="222">
        <f>$E$40</f>
        <v>167670</v>
      </c>
      <c r="P40" s="222"/>
      <c r="Q40" s="222">
        <f>$E$40</f>
        <v>167670</v>
      </c>
      <c r="R40" s="222"/>
      <c r="S40" s="222">
        <f>$E$40</f>
        <v>167670</v>
      </c>
      <c r="T40" s="222"/>
      <c r="U40" s="222">
        <f>$E$40</f>
        <v>167670</v>
      </c>
      <c r="V40" s="222"/>
      <c r="W40" s="222">
        <f>$E$40</f>
        <v>167670</v>
      </c>
      <c r="X40" s="222"/>
      <c r="Y40" s="222">
        <f>$E$40</f>
        <v>167670</v>
      </c>
      <c r="Z40" s="222"/>
      <c r="AA40" s="222">
        <f>$E$40</f>
        <v>167670</v>
      </c>
      <c r="AB40" s="222"/>
      <c r="AC40" s="222">
        <f>$E$40</f>
        <v>167670</v>
      </c>
      <c r="AD40" s="222"/>
      <c r="AE40" s="222">
        <f>$E$40</f>
        <v>167670</v>
      </c>
      <c r="AF40" s="222"/>
      <c r="AG40" s="222">
        <f>$E$40</f>
        <v>167670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167670</v>
      </c>
      <c r="G43" s="223">
        <f>SUM(G40:G42)</f>
        <v>167670</v>
      </c>
      <c r="I43" s="223">
        <f>SUM(I40:I42)</f>
        <v>167670</v>
      </c>
      <c r="K43" s="223">
        <f>SUM(K40:K42)</f>
        <v>167670</v>
      </c>
      <c r="M43" s="223">
        <f>SUM(M40:M42)</f>
        <v>167670</v>
      </c>
      <c r="O43" s="223">
        <f>SUM(O40:O42)</f>
        <v>167670</v>
      </c>
      <c r="Q43" s="223">
        <f>SUM(Q40:Q42)</f>
        <v>167670</v>
      </c>
      <c r="S43" s="223">
        <f>SUM(S40:S42)</f>
        <v>167670</v>
      </c>
      <c r="U43" s="223">
        <f>SUM(U40:U42)</f>
        <v>167670</v>
      </c>
      <c r="W43" s="223">
        <f>SUM(W40:W42)</f>
        <v>167670</v>
      </c>
      <c r="Y43" s="223">
        <f>SUM(Y40:Y42)</f>
        <v>167670</v>
      </c>
      <c r="AA43" s="223">
        <f>SUM(AA40:AA42)</f>
        <v>167670</v>
      </c>
      <c r="AC43" s="223">
        <f>SUM(AC40:AC42)</f>
        <v>167670</v>
      </c>
      <c r="AE43" s="223">
        <f>SUM(AE40:AE42)</f>
        <v>167670</v>
      </c>
      <c r="AG43" s="223">
        <f>SUM(AG40:AG42)</f>
        <v>167670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26547</v>
      </c>
      <c r="G45" s="223">
        <f>G37-G43</f>
        <v>27982.79999999993</v>
      </c>
      <c r="I45" s="223">
        <f>I37-I43</f>
        <v>29301.823799999896</v>
      </c>
      <c r="K45" s="223">
        <f>K37-K43</f>
        <v>30495.778816499747</v>
      </c>
      <c r="M45" s="223">
        <f>M37-M43</f>
        <v>31555.976496434887</v>
      </c>
      <c r="O45" s="223">
        <f>O37-O43</f>
        <v>32473.315803137026</v>
      </c>
      <c r="Q45" s="223">
        <f>Q37-Q43</f>
        <v>33238.266057690955</v>
      </c>
      <c r="S45" s="223">
        <f>S37-S43</f>
        <v>33840.849111452117</v>
      </c>
      <c r="U45" s="223">
        <f>U37-U43</f>
        <v>34270.620824605343</v>
      </c>
      <c r="W45" s="223">
        <f>W37-W43</f>
        <v>34516.651824721834</v>
      </c>
      <c r="Y45" s="223">
        <f>Y37-Y43</f>
        <v>34567.50751831301</v>
      </c>
      <c r="AA45" s="223">
        <f>AA37-AA43</f>
        <v>34411.227327396162</v>
      </c>
      <c r="AC45" s="223">
        <f>AC37-AC43</f>
        <v>34035.303122053156</v>
      </c>
      <c r="AE45" s="223">
        <f>AE37-AE43</f>
        <v>33426.656818907941</v>
      </c>
      <c r="AG45" s="223">
        <f>AG37-AG43</f>
        <v>32571.617114340537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3.6451639479321139E-2</v>
      </c>
      <c r="G47" s="227">
        <f>G45/(G4+G6+G8)</f>
        <v>3.7485984350698581E-2</v>
      </c>
      <c r="I47" s="227">
        <f>I45/(I4+I6+I8)</f>
        <v>3.8295570010906568E-2</v>
      </c>
      <c r="K47" s="227">
        <f>K45/(K4+K6+K8)</f>
        <v>3.8883893893201273E-2</v>
      </c>
      <c r="M47" s="227">
        <f>M45/(M4+M6+M8)</f>
        <v>3.9254348951270258E-2</v>
      </c>
      <c r="O47" s="227">
        <f>O45/(O4+O6+O8)</f>
        <v>3.9410226019526221E-2</v>
      </c>
      <c r="Q47" s="227">
        <f>Q45/(Q4+Q6+Q8)</f>
        <v>3.9354716114006053E-2</v>
      </c>
      <c r="S47" s="227">
        <f>S45/(S4+S6+S8)</f>
        <v>3.9090912675301098E-2</v>
      </c>
      <c r="U47" s="227">
        <f>U45/(U4+U6+U8)</f>
        <v>3.8621813754916481E-2</v>
      </c>
      <c r="W47" s="227">
        <f>W45/(W4+W6+W8)</f>
        <v>3.7950324146421709E-2</v>
      </c>
      <c r="Y47" s="227">
        <f>Y45/(Y4+Y6+Y8)</f>
        <v>3.7079257462717889E-2</v>
      </c>
      <c r="AA47" s="227">
        <f>AA45/(AA4+AA6+AA8)</f>
        <v>3.6011338160721558E-2</v>
      </c>
      <c r="AC47" s="227">
        <f>AC45/(AC4+AC6+AC8)</f>
        <v>3.474920351472454E-2</v>
      </c>
      <c r="AE47" s="227">
        <f>AE45/(AE4+AE6+AE8)</f>
        <v>3.3295405539666333E-2</v>
      </c>
      <c r="AG47" s="227">
        <f>AG45/(AG4+AG6+AG8)</f>
        <v>3.1652412865517898E-2</v>
      </c>
    </row>
    <row r="48" spans="1:33" s="227" customFormat="1" ht="14.25">
      <c r="A48" s="227" t="s">
        <v>852</v>
      </c>
      <c r="C48" s="220"/>
      <c r="E48" s="227">
        <f>E45/E43</f>
        <v>0.15832886026122742</v>
      </c>
      <c r="G48" s="227">
        <f>G45/G43</f>
        <v>0.16689210950080474</v>
      </c>
      <c r="I48" s="227">
        <f>I45/I43</f>
        <v>0.17475889425657479</v>
      </c>
      <c r="K48" s="227">
        <f>K45/K43</f>
        <v>0.18187975676328352</v>
      </c>
      <c r="M48" s="227">
        <f>M45/M43</f>
        <v>0.18820287765512547</v>
      </c>
      <c r="O48" s="227">
        <f>O45/O43</f>
        <v>0.19367397747442611</v>
      </c>
      <c r="Q48" s="227">
        <f>Q45/Q43</f>
        <v>0.19823621433584396</v>
      </c>
      <c r="S48" s="227">
        <f>S45/S43</f>
        <v>0.20183007760155136</v>
      </c>
      <c r="U48" s="227">
        <f>U45/U43</f>
        <v>0.20439327741757823</v>
      </c>
      <c r="W48" s="227">
        <f>W45/W43</f>
        <v>0.20586062995599591</v>
      </c>
      <c r="Y48" s="227">
        <f>Y45/Y43</f>
        <v>0.2061639382019026</v>
      </c>
      <c r="AA48" s="227">
        <f>AA45/AA43</f>
        <v>0.20523186811830477</v>
      </c>
      <c r="AC48" s="227">
        <f>AC45/AC43</f>
        <v>0.20298982001582366</v>
      </c>
      <c r="AE48" s="227">
        <f>AE45/AE43</f>
        <v>0.19935979494786152</v>
      </c>
      <c r="AG48" s="227">
        <f>AG45/AG43</f>
        <v>0.19426025594525281</v>
      </c>
    </row>
    <row r="49" spans="1:34" s="228" customFormat="1" ht="14.25">
      <c r="A49" s="228" t="s">
        <v>850</v>
      </c>
      <c r="C49" s="229"/>
      <c r="E49" s="228">
        <f>E37/E43</f>
        <v>1.1583288602612274</v>
      </c>
      <c r="G49" s="228">
        <f>G37/G43</f>
        <v>1.1668921095008047</v>
      </c>
      <c r="I49" s="228">
        <f>I37/I43</f>
        <v>1.1747588942565748</v>
      </c>
      <c r="K49" s="228">
        <f>K37/K43</f>
        <v>1.1818797567632835</v>
      </c>
      <c r="M49" s="228">
        <f>M37/M43</f>
        <v>1.1882028776551254</v>
      </c>
      <c r="O49" s="228">
        <f>O37/O43</f>
        <v>1.1936739774744261</v>
      </c>
      <c r="Q49" s="228">
        <f>Q37/Q43</f>
        <v>1.198236214335844</v>
      </c>
      <c r="S49" s="228">
        <f>S37/S43</f>
        <v>1.2018300776015514</v>
      </c>
      <c r="U49" s="228">
        <f>U37/U43</f>
        <v>1.2043932774175783</v>
      </c>
      <c r="W49" s="228">
        <f>W37/W43</f>
        <v>1.205860629955996</v>
      </c>
      <c r="Y49" s="228">
        <f>Y37/Y43</f>
        <v>1.2061639382019027</v>
      </c>
      <c r="AA49" s="228">
        <f>AA37/AA43</f>
        <v>1.2052318681183047</v>
      </c>
      <c r="AC49" s="228">
        <f>AC37/AC43</f>
        <v>1.2029898200158238</v>
      </c>
      <c r="AE49" s="228">
        <f>AE37/AE43</f>
        <v>1.1993597949478616</v>
      </c>
      <c r="AG49" s="228">
        <f>AG37/AG43</f>
        <v>1.1942602559452529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8" t="s">
        <v>1184</v>
      </c>
      <c r="B52" s="2698"/>
      <c r="C52" s="269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26547</v>
      </c>
      <c r="G60" s="962">
        <f>G45-G58</f>
        <v>27982.79999999993</v>
      </c>
      <c r="I60" s="962">
        <f>I45-I58</f>
        <v>29301.823799999896</v>
      </c>
      <c r="K60" s="962">
        <f>K45-K58</f>
        <v>30495.778816499747</v>
      </c>
      <c r="M60" s="962">
        <f>M45-M58</f>
        <v>31555.976496434887</v>
      </c>
      <c r="O60" s="962">
        <f>O45-O58</f>
        <v>32473.315803137026</v>
      </c>
      <c r="Q60" s="962">
        <f>Q45-Q58</f>
        <v>33238.266057690955</v>
      </c>
      <c r="S60" s="962">
        <f>S45-S58</f>
        <v>33840.849111452117</v>
      </c>
      <c r="U60" s="962">
        <f>U45-U58</f>
        <v>34270.620824605343</v>
      </c>
      <c r="W60" s="962">
        <f>W45-W58</f>
        <v>34516.651824721834</v>
      </c>
      <c r="Y60" s="962">
        <f>Y45-Y58</f>
        <v>34567.50751831301</v>
      </c>
      <c r="AA60" s="962">
        <f>AA45-AA58</f>
        <v>34411.227327396162</v>
      </c>
      <c r="AC60" s="962">
        <f>AC45-AC58</f>
        <v>34035.303122053156</v>
      </c>
      <c r="AE60" s="962">
        <f>AE45-AE58</f>
        <v>33426.656818907941</v>
      </c>
      <c r="AG60" s="962">
        <f>AG45-AG58</f>
        <v>32571.617114340537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13273.5</v>
      </c>
      <c r="G62" s="962">
        <f>G60*$C$62</f>
        <v>13991.399999999965</v>
      </c>
      <c r="I62" s="962">
        <f>I60*$C$62</f>
        <v>14650.911899999948</v>
      </c>
      <c r="K62" s="962">
        <f>K60*$C$62</f>
        <v>15247.889408249874</v>
      </c>
      <c r="M62" s="962">
        <f>M60*$C$62</f>
        <v>15777.988248217443</v>
      </c>
      <c r="O62" s="962">
        <f>O60*$C$62</f>
        <v>16236.657901568513</v>
      </c>
      <c r="Q62" s="962">
        <f>Q60*$C$62</f>
        <v>16619.133028845477</v>
      </c>
      <c r="S62" s="962">
        <f>S60*$C$62</f>
        <v>16920.424555726058</v>
      </c>
      <c r="U62" s="962">
        <f>U60*$C$62</f>
        <v>17135.310412302671</v>
      </c>
      <c r="W62" s="962">
        <f>W60*$C$62</f>
        <v>17258.325912360917</v>
      </c>
      <c r="Y62" s="962">
        <f>Y60*$C$62</f>
        <v>17283.753759156505</v>
      </c>
      <c r="AA62" s="962">
        <f>AA60*$C$62</f>
        <v>17205.613663698081</v>
      </c>
      <c r="AC62" s="962">
        <f>AC60*$C$62</f>
        <v>17017.651561026578</v>
      </c>
      <c r="AE62" s="962">
        <f>AE60*$C$62</f>
        <v>16713.32840945397</v>
      </c>
      <c r="AG62" s="962">
        <f>AG60*$C$62</f>
        <v>16285.808557170269</v>
      </c>
    </row>
    <row r="63" spans="1:34" s="962" customFormat="1">
      <c r="A63" s="2698" t="s">
        <v>1184</v>
      </c>
      <c r="B63" s="2698"/>
      <c r="C63" s="269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6636.75</v>
      </c>
      <c r="G66" s="960">
        <f>G60*$C$65</f>
        <v>6995.6999999999825</v>
      </c>
      <c r="I66" s="960">
        <f>I60*$C$65</f>
        <v>7325.4559499999741</v>
      </c>
      <c r="K66" s="960">
        <f>K60*$C$65</f>
        <v>7623.9447041249368</v>
      </c>
      <c r="M66" s="960">
        <f>M60*$C$65</f>
        <v>7888.9941241087217</v>
      </c>
      <c r="O66" s="960">
        <f>O60*$C$65</f>
        <v>8118.3289507842564</v>
      </c>
      <c r="Q66" s="960">
        <f>Q60*$C$65</f>
        <v>8309.5665144227387</v>
      </c>
      <c r="S66" s="960">
        <f>S60*$C$65</f>
        <v>8460.2122778630292</v>
      </c>
      <c r="U66" s="960">
        <f>U60*$C$65</f>
        <v>8567.6552061513357</v>
      </c>
      <c r="W66" s="960">
        <f>W60*$C$65</f>
        <v>8629.1629561804584</v>
      </c>
      <c r="Y66" s="960">
        <f>Y60*$C$65</f>
        <v>8641.8768795782526</v>
      </c>
      <c r="AA66" s="960">
        <f>AA60*$C$65</f>
        <v>8602.8068318490405</v>
      </c>
      <c r="AC66" s="960">
        <f>AC60*$C$65</f>
        <v>8508.8257805132889</v>
      </c>
      <c r="AE66" s="960">
        <f>AE60*$C$65</f>
        <v>8356.6642047269852</v>
      </c>
      <c r="AG66" s="960">
        <f>AG60*$C$65</f>
        <v>8142.9042785851343</v>
      </c>
    </row>
    <row r="67" spans="1:34" s="960" customFormat="1">
      <c r="A67" s="965"/>
      <c r="B67" s="965"/>
      <c r="C67" s="970"/>
      <c r="E67" s="964">
        <f>$E60*$C$65</f>
        <v>6636.75</v>
      </c>
      <c r="G67" s="960">
        <f>G60*$C$65</f>
        <v>6995.6999999999825</v>
      </c>
      <c r="I67" s="960">
        <f>I60*$C$65</f>
        <v>7325.4559499999741</v>
      </c>
      <c r="K67" s="960">
        <f>K60*$C$65</f>
        <v>7623.9447041249368</v>
      </c>
      <c r="M67" s="960">
        <f>M60*$C$65</f>
        <v>7888.9941241087217</v>
      </c>
      <c r="O67" s="960">
        <f>O60*$C$65</f>
        <v>8118.3289507842564</v>
      </c>
      <c r="Q67" s="960">
        <f>Q60*$C$65</f>
        <v>8309.5665144227387</v>
      </c>
      <c r="S67" s="960">
        <f>S60*$C$65</f>
        <v>8460.2122778630292</v>
      </c>
      <c r="U67" s="960">
        <f>U60*$C$65</f>
        <v>8567.6552061513357</v>
      </c>
      <c r="W67" s="960">
        <f>W60*$C$65</f>
        <v>8629.1629561804584</v>
      </c>
      <c r="Y67" s="960">
        <f>Y60*$C$65</f>
        <v>8641.8768795782526</v>
      </c>
      <c r="AA67" s="960">
        <f>AA60*$C$65</f>
        <v>8602.8068318490405</v>
      </c>
      <c r="AC67" s="960">
        <f>AC60*$C$65</f>
        <v>8508.8257805132889</v>
      </c>
      <c r="AE67" s="960">
        <f>AE60*$C$65</f>
        <v>8356.6642047269852</v>
      </c>
      <c r="AG67" s="960">
        <f>AG60*$C$65</f>
        <v>8142.9042785851343</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13273.5</v>
      </c>
      <c r="G70" s="960">
        <f>SUM(G66:G69)</f>
        <v>13991.399999999965</v>
      </c>
      <c r="I70" s="960">
        <f>SUM(I66:I69)</f>
        <v>14650.911899999948</v>
      </c>
      <c r="K70" s="960">
        <f>SUM(K66:K69)</f>
        <v>15247.889408249874</v>
      </c>
      <c r="M70" s="960">
        <f>SUM(M66:M69)</f>
        <v>15777.988248217443</v>
      </c>
      <c r="O70" s="960">
        <f>SUM(O66:O69)</f>
        <v>16236.657901568513</v>
      </c>
      <c r="Q70" s="960">
        <f>SUM(Q66:Q69)</f>
        <v>16619.133028845477</v>
      </c>
      <c r="S70" s="960">
        <f>SUM(S66:S69)</f>
        <v>16920.424555726058</v>
      </c>
      <c r="U70" s="960">
        <f>SUM(U66:U69)</f>
        <v>17135.310412302671</v>
      </c>
      <c r="W70" s="960">
        <f>SUM(W66:W69)</f>
        <v>17258.325912360917</v>
      </c>
      <c r="Y70" s="960">
        <f>SUM(Y66:Y69)</f>
        <v>17283.753759156505</v>
      </c>
      <c r="AA70" s="960">
        <f>SUM(AA66:AA69)</f>
        <v>17205.613663698081</v>
      </c>
      <c r="AC70" s="960">
        <f>SUM(AC66:AC69)</f>
        <v>17017.651561026578</v>
      </c>
      <c r="AE70" s="960">
        <f>SUM(AE66:AE69)</f>
        <v>16713.32840945397</v>
      </c>
      <c r="AG70" s="960">
        <f>SUM(AG66:AG69)</f>
        <v>16285.808557170269</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6" t="s">
        <v>1721</v>
      </c>
      <c r="B77" s="2697"/>
      <c r="C77" s="2697"/>
      <c r="D77" s="2697"/>
      <c r="E77" s="2697"/>
      <c r="F77" s="2697"/>
      <c r="G77" s="2697"/>
      <c r="H77" s="2697"/>
      <c r="I77" s="2697"/>
      <c r="J77" s="2697"/>
      <c r="K77" s="2697"/>
      <c r="L77" s="2697"/>
      <c r="M77" s="2697"/>
      <c r="N77" s="2697"/>
      <c r="O77" s="2697"/>
      <c r="P77" s="2697"/>
      <c r="Q77" s="2697"/>
      <c r="R77" s="2697"/>
      <c r="S77" s="2697"/>
      <c r="T77" s="2697"/>
      <c r="U77" s="2697"/>
      <c r="V77" s="2697"/>
      <c r="W77" s="2697"/>
      <c r="X77" s="2697"/>
      <c r="Y77" s="2697"/>
      <c r="Z77" s="2697"/>
      <c r="AA77" s="2697"/>
      <c r="AB77" s="2697"/>
      <c r="AC77" s="2697"/>
      <c r="AD77" s="2697"/>
      <c r="AE77" s="2697"/>
      <c r="AF77" s="2697"/>
      <c r="AG77" s="269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400000</v>
      </c>
      <c r="C5" s="266">
        <f>'Sources and Uses Budget'!$C4</f>
        <v>400000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15000</v>
      </c>
      <c r="C7" s="266">
        <f>'Sources and Uses Budget'!$C6</f>
        <v>15000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415000</v>
      </c>
      <c r="C9" s="270">
        <f>SUM(C5:C8)</f>
        <v>415000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415000</v>
      </c>
      <c r="C13" s="270">
        <f>SUM(C9+C12)</f>
        <v>415000</v>
      </c>
      <c r="D13" s="270">
        <f t="shared" si="0"/>
        <v>0</v>
      </c>
      <c r="E13" s="268"/>
      <c r="F13" s="267"/>
    </row>
    <row r="14" spans="1:6" s="352" customFormat="1">
      <c r="A14" s="366" t="s">
        <v>902</v>
      </c>
      <c r="B14" s="266">
        <f>'Sources and Uses Budget'!$C13</f>
        <v>35000</v>
      </c>
      <c r="C14" s="266">
        <f>'Sources and Uses Budget'!$C13</f>
        <v>35000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1187124</v>
      </c>
      <c r="C30" s="266">
        <f>'Sources and Uses Budget'!$C29</f>
        <v>1187124</v>
      </c>
      <c r="D30" s="270">
        <f t="shared" si="0"/>
        <v>0</v>
      </c>
      <c r="E30" s="268"/>
      <c r="F30" s="267"/>
    </row>
    <row r="31" spans="1:6" s="352" customFormat="1">
      <c r="A31" s="145" t="s">
        <v>599</v>
      </c>
      <c r="B31" s="266">
        <f>'Sources and Uses Budget'!$C30</f>
        <v>19174485</v>
      </c>
      <c r="C31" s="266">
        <f>'Sources and Uses Budget'!$C30</f>
        <v>19174485</v>
      </c>
      <c r="D31" s="270">
        <f t="shared" si="0"/>
        <v>0</v>
      </c>
      <c r="E31" s="268"/>
      <c r="F31" s="267"/>
    </row>
    <row r="32" spans="1:6" s="352" customFormat="1">
      <c r="A32" s="145" t="s">
        <v>600</v>
      </c>
      <c r="B32" s="266">
        <f>'Sources and Uses Budget'!$C31</f>
        <v>1425313</v>
      </c>
      <c r="C32" s="266">
        <f>'Sources and Uses Budget'!$C31</f>
        <v>1425313</v>
      </c>
      <c r="D32" s="270">
        <f t="shared" si="0"/>
        <v>0</v>
      </c>
      <c r="E32" s="268"/>
      <c r="F32" s="267"/>
    </row>
    <row r="33" spans="1:6" s="352" customFormat="1">
      <c r="A33" s="145" t="s">
        <v>137</v>
      </c>
      <c r="B33" s="266">
        <f>'Sources and Uses Budget'!$C32</f>
        <v>610849</v>
      </c>
      <c r="C33" s="266">
        <f>'Sources and Uses Budget'!$C32</f>
        <v>610849</v>
      </c>
      <c r="D33" s="270">
        <f t="shared" si="0"/>
        <v>0</v>
      </c>
      <c r="E33" s="268"/>
      <c r="F33" s="267"/>
    </row>
    <row r="34" spans="1:6" s="352" customFormat="1">
      <c r="A34" s="145" t="s">
        <v>138</v>
      </c>
      <c r="B34" s="266">
        <f>'Sources and Uses Budget'!$C33</f>
        <v>814465</v>
      </c>
      <c r="C34" s="266">
        <f>'Sources and Uses Budget'!$C33</f>
        <v>814465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281890</v>
      </c>
      <c r="C36" s="266">
        <f>'Sources and Uses Budget'!$C35</f>
        <v>281890</v>
      </c>
      <c r="D36" s="270">
        <f t="shared" si="0"/>
        <v>0</v>
      </c>
      <c r="E36" s="268"/>
      <c r="F36" s="267"/>
    </row>
    <row r="37" spans="1:6" s="352" customFormat="1">
      <c r="A37" s="283" t="s">
        <v>1640</v>
      </c>
      <c r="B37" s="266">
        <f>'Sources and Uses Budget'!$C36</f>
        <v>108000</v>
      </c>
      <c r="C37" s="266">
        <f>'Sources and Uses Budget'!$C36</f>
        <v>108000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23602126</v>
      </c>
      <c r="C39" s="270">
        <f>SUM(C30:C38)</f>
        <v>23602126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600000</v>
      </c>
      <c r="C41" s="266">
        <f>'Sources and Uses Budget'!$C40</f>
        <v>600000</v>
      </c>
      <c r="D41" s="270">
        <f t="shared" si="0"/>
        <v>0</v>
      </c>
      <c r="E41" s="268"/>
      <c r="F41" s="267"/>
    </row>
    <row r="42" spans="1:6" s="352" customFormat="1">
      <c r="A42" s="269" t="s">
        <v>146</v>
      </c>
      <c r="B42" s="266">
        <f>'Sources and Uses Budget'!$C41</f>
        <v>200000</v>
      </c>
      <c r="C42" s="266">
        <f>'Sources and Uses Budget'!$C41</f>
        <v>200000</v>
      </c>
      <c r="D42" s="270">
        <f t="shared" si="0"/>
        <v>0</v>
      </c>
      <c r="E42" s="268"/>
      <c r="F42" s="267"/>
    </row>
    <row r="43" spans="1:6" s="352" customFormat="1">
      <c r="A43" s="271" t="s">
        <v>147</v>
      </c>
      <c r="B43" s="270">
        <f>SUM(B41:B42)</f>
        <v>800000</v>
      </c>
      <c r="C43" s="270">
        <f>SUM(C41:C42)</f>
        <v>800000</v>
      </c>
      <c r="D43" s="270">
        <f t="shared" si="0"/>
        <v>0</v>
      </c>
      <c r="E43" s="268"/>
      <c r="F43" s="267"/>
    </row>
    <row r="44" spans="1:6" s="352" customFormat="1">
      <c r="A44" s="271" t="s">
        <v>148</v>
      </c>
      <c r="B44" s="266">
        <f>'Sources and Uses Budget'!$C43</f>
        <v>200000</v>
      </c>
      <c r="C44" s="266">
        <f>'Sources and Uses Budget'!$C43</f>
        <v>200000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1802168</v>
      </c>
      <c r="C46" s="266">
        <f>'Sources and Uses Budget'!$C45</f>
        <v>1802168</v>
      </c>
      <c r="D46" s="270">
        <f t="shared" si="0"/>
        <v>0</v>
      </c>
      <c r="E46" s="268"/>
      <c r="F46" s="267"/>
    </row>
    <row r="47" spans="1:6" s="352" customFormat="1">
      <c r="A47" s="145" t="s">
        <v>151</v>
      </c>
      <c r="B47" s="266">
        <f>'Sources and Uses Budget'!$C46</f>
        <v>199839</v>
      </c>
      <c r="C47" s="266">
        <f>'Sources and Uses Budget'!$C46</f>
        <v>199839</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278547</v>
      </c>
      <c r="C49" s="266">
        <f>'Sources and Uses Budget'!$C48</f>
        <v>278547</v>
      </c>
      <c r="D49" s="270">
        <f t="shared" si="0"/>
        <v>0</v>
      </c>
      <c r="E49" s="268"/>
      <c r="F49" s="267"/>
    </row>
    <row r="50" spans="1:6" s="352" customFormat="1">
      <c r="A50" s="145" t="s">
        <v>57</v>
      </c>
      <c r="B50" s="266">
        <f>'Sources and Uses Budget'!$C49</f>
        <v>142549</v>
      </c>
      <c r="C50" s="266">
        <f>'Sources and Uses Budget'!$C49</f>
        <v>142549</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8000</v>
      </c>
      <c r="C52" s="266">
        <f>'Sources and Uses Budget'!$C51</f>
        <v>8000</v>
      </c>
      <c r="D52" s="270">
        <f t="shared" si="0"/>
        <v>0</v>
      </c>
      <c r="E52" s="268"/>
      <c r="F52" s="267"/>
    </row>
    <row r="53" spans="1:6" s="352" customFormat="1">
      <c r="A53" s="145" t="s">
        <v>155</v>
      </c>
      <c r="B53" s="266">
        <f>'Sources and Uses Budget'!$C52</f>
        <v>297000</v>
      </c>
      <c r="C53" s="266">
        <f>'Sources and Uses Budget'!$C52</f>
        <v>297000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2828103</v>
      </c>
      <c r="C55" s="273">
        <f>SUM(C46:C54)</f>
        <v>2828103</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22510</v>
      </c>
      <c r="C57" s="266">
        <f>'Sources and Uses Budget'!$C56</f>
        <v>22510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37510</v>
      </c>
      <c r="C63" s="270">
        <f>SUM(C57:C62)</f>
        <v>37510</v>
      </c>
      <c r="D63" s="270">
        <f t="shared" si="0"/>
        <v>0</v>
      </c>
      <c r="E63" s="268"/>
      <c r="F63" s="267"/>
    </row>
    <row r="64" spans="1:6" s="352" customFormat="1">
      <c r="A64" s="274" t="s">
        <v>301</v>
      </c>
      <c r="B64" s="270">
        <f>SUM(B9+B12+B14+B15+B17+B26+B28+B39+B43+B44+B55+B63)</f>
        <v>27917739</v>
      </c>
      <c r="C64" s="270">
        <f>SUM(C9+C12+C14+C15+C17+C26+C28+C39+C43+C44+C55+C63)</f>
        <v>27917739</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320000</v>
      </c>
      <c r="C66" s="266">
        <f>'Sources and Uses Budget'!$C65</f>
        <v>320000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320000</v>
      </c>
      <c r="C71" s="270">
        <f>SUM(C66:C70)</f>
        <v>320000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166330</v>
      </c>
      <c r="C76" s="266">
        <f>'Sources and Uses Budget'!$C75</f>
        <v>166330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166330</v>
      </c>
      <c r="C78" s="270">
        <f>SUM(C73:C77)</f>
        <v>166330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1782951</v>
      </c>
      <c r="C80" s="266">
        <f>'Sources and Uses Budget'!$C79</f>
        <v>1782951</v>
      </c>
      <c r="D80" s="270">
        <f t="shared" si="1"/>
        <v>0</v>
      </c>
      <c r="E80" s="268"/>
      <c r="F80" s="267"/>
    </row>
    <row r="81" spans="1:6" s="352" customFormat="1">
      <c r="A81" s="510" t="s">
        <v>58</v>
      </c>
      <c r="B81" s="266">
        <f>'Sources and Uses Budget'!$C80</f>
        <v>316818</v>
      </c>
      <c r="C81" s="266">
        <f>'Sources and Uses Budget'!$C80</f>
        <v>316818</v>
      </c>
      <c r="D81" s="270">
        <f>C81-B81</f>
        <v>0</v>
      </c>
      <c r="E81" s="268"/>
      <c r="F81" s="267"/>
    </row>
    <row r="82" spans="1:6" s="352" customFormat="1">
      <c r="A82" s="271" t="s">
        <v>1209</v>
      </c>
      <c r="B82" s="270">
        <f>SUM(B80:B81)</f>
        <v>2099769</v>
      </c>
      <c r="C82" s="270">
        <f>SUM(C80:C81)</f>
        <v>2099769</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57919</v>
      </c>
      <c r="C84" s="266">
        <f>'Sources and Uses Budget'!$C83</f>
        <v>57919</v>
      </c>
      <c r="D84" s="270">
        <f t="shared" si="1"/>
        <v>0</v>
      </c>
      <c r="E84" s="268"/>
      <c r="F84" s="267"/>
    </row>
    <row r="85" spans="1:6" s="352" customFormat="1">
      <c r="A85" s="269" t="s">
        <v>767</v>
      </c>
      <c r="B85" s="266">
        <f>'Sources and Uses Budget'!$C84</f>
        <v>150000</v>
      </c>
      <c r="C85" s="266">
        <f>'Sources and Uses Budget'!$C84</f>
        <v>150000</v>
      </c>
      <c r="D85" s="270">
        <f t="shared" si="1"/>
        <v>0</v>
      </c>
      <c r="E85" s="268"/>
      <c r="F85" s="267"/>
    </row>
    <row r="86" spans="1:6" s="352" customFormat="1">
      <c r="A86" s="269" t="s">
        <v>768</v>
      </c>
      <c r="B86" s="266">
        <f>'Sources and Uses Budget'!$C85</f>
        <v>1619383</v>
      </c>
      <c r="C86" s="266">
        <f>'Sources and Uses Budget'!$C85</f>
        <v>1619383</v>
      </c>
      <c r="D86" s="270">
        <f t="shared" si="1"/>
        <v>0</v>
      </c>
      <c r="E86" s="268"/>
      <c r="F86" s="267"/>
    </row>
    <row r="87" spans="1:6" s="352" customFormat="1">
      <c r="A87" s="269" t="s">
        <v>769</v>
      </c>
      <c r="B87" s="266">
        <f>'Sources and Uses Budget'!$C86</f>
        <v>540000</v>
      </c>
      <c r="C87" s="266">
        <f>'Sources and Uses Budget'!$C86</f>
        <v>540000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63250</v>
      </c>
      <c r="C89" s="266">
        <f>'Sources and Uses Budget'!$C88</f>
        <v>63250</v>
      </c>
      <c r="D89" s="270">
        <f t="shared" si="1"/>
        <v>0</v>
      </c>
      <c r="E89" s="268"/>
      <c r="F89" s="267"/>
    </row>
    <row r="90" spans="1:6" s="352" customFormat="1">
      <c r="A90" s="269" t="s">
        <v>772</v>
      </c>
      <c r="B90" s="266">
        <f>'Sources and Uses Budget'!$C89</f>
        <v>135000</v>
      </c>
      <c r="C90" s="266">
        <f>'Sources and Uses Budget'!$C89</f>
        <v>135000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100000</v>
      </c>
      <c r="C94" s="266">
        <f>'Sources and Uses Budget'!$C93</f>
        <v>100000</v>
      </c>
      <c r="D94" s="270">
        <f t="shared" si="1"/>
        <v>0</v>
      </c>
      <c r="E94" s="268"/>
      <c r="F94" s="267"/>
    </row>
    <row r="95" spans="1:6" s="352" customFormat="1">
      <c r="A95" s="272" t="s">
        <v>34</v>
      </c>
      <c r="B95" s="266">
        <f>'Sources and Uses Budget'!$C94</f>
        <v>135000</v>
      </c>
      <c r="C95" s="266">
        <f>'Sources and Uses Budget'!$C94</f>
        <v>135000</v>
      </c>
      <c r="D95" s="270">
        <f t="shared" si="1"/>
        <v>0</v>
      </c>
      <c r="E95" s="268"/>
      <c r="F95" s="267"/>
    </row>
    <row r="96" spans="1:6" s="352" customFormat="1">
      <c r="A96" s="272" t="s">
        <v>34</v>
      </c>
      <c r="B96" s="266">
        <f>'Sources and Uses Budget'!$C95</f>
        <v>58500</v>
      </c>
      <c r="C96" s="266">
        <f>'Sources and Uses Budget'!$C95</f>
        <v>58500</v>
      </c>
      <c r="D96" s="270">
        <f t="shared" si="1"/>
        <v>0</v>
      </c>
      <c r="E96" s="268"/>
      <c r="F96" s="267"/>
    </row>
    <row r="97" spans="1:6" s="352" customFormat="1">
      <c r="A97" s="271" t="s">
        <v>774</v>
      </c>
      <c r="B97" s="270">
        <f>SUM(B84:B96)</f>
        <v>2889052</v>
      </c>
      <c r="C97" s="270">
        <f>SUM(C84:C96)</f>
        <v>2889052</v>
      </c>
      <c r="D97" s="270">
        <f t="shared" si="1"/>
        <v>0</v>
      </c>
      <c r="E97" s="268"/>
      <c r="F97" s="267"/>
    </row>
    <row r="98" spans="1:6" s="352" customFormat="1">
      <c r="A98" s="271" t="s">
        <v>775</v>
      </c>
      <c r="B98" s="270">
        <f>SUM(B64+B71+B78+B82+B97)</f>
        <v>33392890</v>
      </c>
      <c r="C98" s="270">
        <f>SUM(C64+C71+C78+C82+C97)</f>
        <v>33392890</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4670289</v>
      </c>
      <c r="C100" s="266">
        <f>'Sources and Uses Budget'!$C99</f>
        <v>4670289</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4670289</v>
      </c>
      <c r="C105" s="270">
        <f>SUM(C100:C104)</f>
        <v>4670289</v>
      </c>
      <c r="D105" s="270">
        <f t="shared" si="1"/>
        <v>0</v>
      </c>
      <c r="E105" s="268"/>
      <c r="F105" s="267"/>
    </row>
    <row r="106" spans="1:6" s="352" customFormat="1">
      <c r="A106" s="271" t="s">
        <v>780</v>
      </c>
      <c r="B106" s="273">
        <f>SUM(B98+B105)</f>
        <v>38063179</v>
      </c>
      <c r="C106" s="273">
        <f>SUM(C98+C105)</f>
        <v>38063179</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89" workbookViewId="0">
      <selection activeCell="F1128" sqref="F1128"/>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2755</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2755</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2658</v>
      </c>
      <c r="D24" s="1301" t="s">
        <v>1091</v>
      </c>
      <c r="E24" s="1301"/>
      <c r="F24" s="1301"/>
      <c r="I24" s="490"/>
    </row>
    <row r="25" spans="1:9" ht="14.25">
      <c r="A25" s="484"/>
      <c r="B25" s="484"/>
      <c r="D25" s="1301"/>
      <c r="E25" s="1301"/>
      <c r="F25" s="1301"/>
      <c r="I25" s="490"/>
    </row>
    <row r="26" spans="1:9">
      <c r="I26" s="490"/>
    </row>
    <row r="27" spans="1:9" ht="14.25">
      <c r="A27" s="484"/>
      <c r="B27" s="485" t="s">
        <v>2755</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2658</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2755</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2658</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2755</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2658</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306</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2755</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2755</v>
      </c>
      <c r="D65" s="1301" t="s">
        <v>1097</v>
      </c>
      <c r="E65" s="1301"/>
      <c r="F65" s="1301"/>
      <c r="I65" s="490"/>
    </row>
    <row r="66" spans="1:9">
      <c r="D66" s="1301"/>
      <c r="E66" s="1301"/>
      <c r="F66" s="1301"/>
      <c r="I66" s="490"/>
    </row>
    <row r="67" spans="1:9">
      <c r="I67" s="490"/>
    </row>
    <row r="68" spans="1:9" ht="14.25">
      <c r="A68" s="484"/>
      <c r="B68" s="485" t="s">
        <v>2658</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2658</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2755</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2755</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2658</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2658</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2658</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2658</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2658</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2755</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2755</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2755</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2658</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2755</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2755</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2658</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2658</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2755</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2658</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2658</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2658</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2658</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2755</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2755</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2658</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2658</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2755</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2755</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2658</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2658</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2658</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2658</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2658</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2658</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2658</v>
      </c>
      <c r="D305" s="1299" t="s">
        <v>1129</v>
      </c>
      <c r="E305" s="1299"/>
      <c r="F305" s="1299"/>
      <c r="I305" s="490"/>
    </row>
    <row r="306" spans="1:9" ht="14.25">
      <c r="A306" s="484"/>
      <c r="B306" s="484"/>
      <c r="D306" s="494"/>
      <c r="E306" s="495"/>
      <c r="F306" s="495"/>
      <c r="I306" s="490"/>
    </row>
    <row r="307" spans="1:9" ht="13.7" customHeight="1">
      <c r="B307" s="485" t="s">
        <v>2658</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2658</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2658</v>
      </c>
      <c r="D316" s="1299" t="s">
        <v>1131</v>
      </c>
      <c r="E316" s="1299"/>
      <c r="F316" s="1299"/>
      <c r="I316" s="490"/>
    </row>
    <row r="317" spans="1:9">
      <c r="E317" s="446"/>
      <c r="F317" s="446"/>
      <c r="I317" s="490"/>
    </row>
    <row r="318" spans="1:9" ht="14.25">
      <c r="A318" s="484"/>
      <c r="B318" s="485" t="s">
        <v>2658</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2658</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2658</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2658</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2658</v>
      </c>
      <c r="C360" s="476"/>
      <c r="D360" s="1318" t="s">
        <v>2057</v>
      </c>
      <c r="E360" s="1318"/>
      <c r="F360" s="1318"/>
      <c r="I360" s="480"/>
    </row>
    <row r="361" spans="1:9">
      <c r="A361" s="476"/>
      <c r="B361" s="476"/>
      <c r="C361" s="476"/>
      <c r="D361" s="447"/>
      <c r="E361" s="447"/>
      <c r="F361" s="446"/>
      <c r="I361" s="490"/>
    </row>
    <row r="362" spans="1:9">
      <c r="A362" s="476"/>
      <c r="B362" s="485" t="s">
        <v>2658</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2658</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2658</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2658</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2658</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2658</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2658</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2658</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2658</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2658</v>
      </c>
      <c r="C471" s="484"/>
      <c r="D471" s="1301" t="s">
        <v>1197</v>
      </c>
      <c r="E471" s="1301"/>
      <c r="F471" s="1301"/>
      <c r="I471" s="490"/>
    </row>
    <row r="472" spans="1:9">
      <c r="D472" s="1301"/>
      <c r="E472" s="1301"/>
      <c r="F472" s="1301"/>
      <c r="I472" s="490"/>
    </row>
    <row r="473" spans="1:9">
      <c r="D473" s="446"/>
      <c r="E473" s="446"/>
      <c r="F473" s="446"/>
      <c r="I473" s="490"/>
    </row>
    <row r="474" spans="1:9" ht="14.25">
      <c r="B474" s="485" t="s">
        <v>2658</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2658</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2658</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2658</v>
      </c>
      <c r="C486" s="402"/>
      <c r="D486" s="1301"/>
      <c r="E486" s="1301"/>
      <c r="F486" s="1301"/>
      <c r="I486" s="490"/>
    </row>
    <row r="487" spans="1:9">
      <c r="A487" s="402"/>
      <c r="C487" s="402"/>
      <c r="D487" s="1301"/>
      <c r="E487" s="1301"/>
      <c r="F487" s="1301"/>
      <c r="I487" s="490"/>
    </row>
    <row r="488" spans="1:9">
      <c r="A488" s="402"/>
      <c r="B488" s="485" t="s">
        <v>2658</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2658</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2658</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2658</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2658</v>
      </c>
      <c r="D509" s="1299" t="s">
        <v>1143</v>
      </c>
      <c r="E509" s="1299"/>
      <c r="F509" s="1299"/>
      <c r="I509" s="490"/>
    </row>
    <row r="510" spans="1:9" ht="14.25">
      <c r="A510" s="484"/>
      <c r="B510" s="484"/>
      <c r="D510" s="446"/>
      <c r="I510" s="490"/>
    </row>
    <row r="511" spans="1:9" ht="14.25">
      <c r="A511" s="484"/>
      <c r="B511" s="485" t="s">
        <v>2658</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2658</v>
      </c>
      <c r="D514" s="1299" t="s">
        <v>1145</v>
      </c>
      <c r="E514" s="1299"/>
      <c r="F514" s="1299"/>
      <c r="I514" s="490"/>
    </row>
    <row r="515" spans="1:9">
      <c r="D515" s="446"/>
      <c r="E515" s="446"/>
      <c r="F515" s="446"/>
      <c r="I515" s="490"/>
    </row>
    <row r="516" spans="1:9">
      <c r="B516" s="485" t="s">
        <v>2658</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2755</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2755</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2755</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2755</v>
      </c>
      <c r="C548" s="487"/>
      <c r="D548" s="1299" t="s">
        <v>884</v>
      </c>
      <c r="E548" s="1299"/>
      <c r="F548" s="1299"/>
      <c r="I548" s="490"/>
    </row>
    <row r="549" spans="1:9" ht="13.7" customHeight="1">
      <c r="A549" s="487"/>
      <c r="B549" s="487"/>
      <c r="C549" s="487"/>
      <c r="D549" s="446"/>
      <c r="I549" s="490"/>
    </row>
    <row r="550" spans="1:9" ht="14.25">
      <c r="A550" s="484"/>
      <c r="B550" s="485" t="s">
        <v>2755</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2755</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2755</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2755</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2658</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2755</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2755</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2755</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2755</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2755</v>
      </c>
      <c r="D588" s="1313" t="s">
        <v>888</v>
      </c>
      <c r="E588" s="1313"/>
      <c r="F588" s="1313"/>
      <c r="I588" s="490"/>
    </row>
    <row r="589" spans="1:9">
      <c r="A589" s="490"/>
      <c r="B589" s="490"/>
      <c r="D589" s="476"/>
      <c r="I589" s="490"/>
    </row>
    <row r="590" spans="1:9">
      <c r="A590" s="490"/>
      <c r="B590" s="485" t="s">
        <v>2755</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2658</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2755</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2658</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2755</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2755</v>
      </c>
      <c r="D620" s="1307" t="s">
        <v>1111</v>
      </c>
      <c r="E620" s="1307"/>
      <c r="F620" s="1307"/>
      <c r="I620" s="490"/>
    </row>
    <row r="621" spans="1:9">
      <c r="D621" s="1307"/>
      <c r="E621" s="1307"/>
      <c r="F621" s="1307"/>
      <c r="I621" s="490"/>
    </row>
    <row r="622" spans="1:9">
      <c r="I622" s="490"/>
    </row>
    <row r="623" spans="1:9">
      <c r="B623" s="485" t="s">
        <v>2755</v>
      </c>
      <c r="D623" s="1307" t="s">
        <v>1112</v>
      </c>
      <c r="E623" s="1307"/>
      <c r="F623" s="1307"/>
      <c r="I623" s="490"/>
    </row>
    <row r="624" spans="1:9">
      <c r="C624" s="500"/>
      <c r="D624" s="1307"/>
      <c r="E624" s="1307"/>
      <c r="F624" s="1307"/>
      <c r="I624" s="490"/>
    </row>
    <row r="625" spans="1:9">
      <c r="C625" s="500"/>
      <c r="I625" s="490"/>
    </row>
    <row r="626" spans="1:9">
      <c r="B626" s="485" t="s">
        <v>2658</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2755</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2658</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2658</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2658</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2755</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2755</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2658</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2658</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2755</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2658</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2755</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2658</v>
      </c>
      <c r="C698" s="483"/>
      <c r="D698" s="1299" t="s">
        <v>2470</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2755</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2755</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2658</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2658</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2658</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2658</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2658</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2658</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2755</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2755</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2755</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2658</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2658</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2755</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2755</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2658</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2658</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2658</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2755</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2658</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2755</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2755</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2658</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2658</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2658</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2755</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2755</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2658</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2658</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2658</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2755</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2755</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2755</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2658</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2658</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2658</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2658</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2658</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2658</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2755</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2658</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2658</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2658</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2658</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2755</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2755</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2658</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2755</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2658</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2755</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2658</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2658</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2658</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2658</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2658</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2755</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2658</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2658</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2658</v>
      </c>
      <c r="C1062" s="402"/>
      <c r="D1062" s="402" t="s">
        <v>1812</v>
      </c>
      <c r="I1062" s="490"/>
    </row>
    <row r="1063" spans="1:9">
      <c r="A1063" s="402"/>
      <c r="B1063" s="402"/>
      <c r="C1063" s="402"/>
      <c r="I1063" s="490"/>
    </row>
    <row r="1064" spans="1:9">
      <c r="A1064" s="402"/>
      <c r="B1064" s="485" t="s">
        <v>2658</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2755</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2755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2658</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2658</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2658</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2658</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2658</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2658</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2658</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2755</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2658</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546" zoomScale="110" zoomScaleNormal="110" workbookViewId="0">
      <selection activeCell="AF575" sqref="AF57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Inland (Fresno, Imperial, Kern, Kings, Madera, Merced, Riverside, San Bernardino, Stanislaus, and Tulare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53</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2511</v>
      </c>
      <c r="BE8" s="1249">
        <f>SUMIF($AC$718:$AC$752,"&lt;=35%",$G$718:G$752)-SUM($BE$5:BE7)</f>
        <v>0</v>
      </c>
    </row>
    <row r="9" spans="1:58" ht="12.95" customHeight="1">
      <c r="A9" s="1372" t="s">
        <v>2077</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2503</v>
      </c>
      <c r="BE9" s="1249">
        <f>SUMIF($AC$718:$AC$752,"&lt;=40%",$G$718:G$752)-SUM($BE$5:BE8)</f>
        <v>0</v>
      </c>
    </row>
    <row r="10" spans="1:58" ht="12.95" customHeight="1">
      <c r="A10" s="1372" t="s">
        <v>2460</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2512</v>
      </c>
      <c r="BE10" s="1249">
        <f>SUMIF($AC$718:$AC$752,"&lt;=45%",$G$718:G$752)-SUM($BE$5:BE9)</f>
        <v>0</v>
      </c>
    </row>
    <row r="11" spans="1:58" ht="12.95" customHeight="1">
      <c r="A11" s="1372" t="s">
        <v>2606</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2504</v>
      </c>
      <c r="BE11" s="1249">
        <f>SUMIF($AC$718:$AC$752,"&lt;=50%",$G$718:G$752)-SUM($BE$5:BE10)</f>
        <v>0</v>
      </c>
    </row>
    <row r="12" spans="1:58" ht="12.95" customHeight="1">
      <c r="A12" s="1411" t="s">
        <v>2611</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19" t="s">
        <v>2642</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656</v>
      </c>
      <c r="BE16" s="1249" t="str">
        <f>Application!H18</f>
        <v>I Street, Merced</v>
      </c>
    </row>
    <row r="17" spans="1:58" ht="12.95" customHeight="1">
      <c r="BD17" s="1247" t="s">
        <v>2520</v>
      </c>
      <c r="BE17" s="1249">
        <f>Application!AA934</f>
        <v>0</v>
      </c>
    </row>
    <row r="18" spans="1:58" ht="12.95" customHeight="1">
      <c r="A18" s="57" t="s">
        <v>101</v>
      </c>
      <c r="C18" s="4"/>
      <c r="D18" s="4"/>
      <c r="E18" s="4"/>
      <c r="F18" s="4"/>
      <c r="G18" s="4"/>
      <c r="H18" s="1416" t="s">
        <v>2643</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2521</v>
      </c>
      <c r="BE18" s="1249">
        <f>'CalHFA Addendum'!N11</f>
        <v>0</v>
      </c>
    </row>
    <row r="19" spans="1:58" ht="12.95" customHeight="1">
      <c r="BD19" s="1247" t="s">
        <v>2522</v>
      </c>
      <c r="BE19" s="1249">
        <f>Application!M26</f>
        <v>1861889</v>
      </c>
    </row>
    <row r="20" spans="1:58" ht="12.95" customHeight="1">
      <c r="A20" s="1412" t="s">
        <v>873</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2523</v>
      </c>
      <c r="BE20" s="1249">
        <f>Application!M27</f>
        <v>10661078</v>
      </c>
    </row>
    <row r="21" spans="1:58" ht="12.95" customHeight="1">
      <c r="A21" s="1421" t="s">
        <v>1009</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2524</v>
      </c>
      <c r="BE21" s="1249">
        <f>Application!AM554</f>
        <v>18797915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38063179</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400000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37935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8">
        <f>'Basis &amp; Credits'!AB56</f>
        <v>1861889</v>
      </c>
      <c r="N26" s="1418"/>
      <c r="O26" s="1418"/>
      <c r="P26" s="1418"/>
      <c r="Q26" s="1418"/>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10661078</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3" t="s">
        <v>2148</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2529</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545</v>
      </c>
      <c r="P33" s="1332"/>
      <c r="Q33" s="1414" t="s">
        <v>2149</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2598</v>
      </c>
      <c r="BE33" s="1249" t="str">
        <f>Application!D220</f>
        <v>Central Valley Region: Fresno, Kern, Kings, Madera, Merced, San Joaquin, Stanislaus, and Tulare Counties</v>
      </c>
    </row>
    <row r="34" spans="1:57" ht="12.95" customHeight="1">
      <c r="A34" s="1413" t="s">
        <v>2150</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2532</v>
      </c>
      <c r="BE34" s="1249" t="str">
        <f>Application!I185</f>
        <v>1823 &amp; 1815 I Street, 205 &amp; 211 W. 18th St., 202 W. 19th St.</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2533</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2534</v>
      </c>
      <c r="BE36" s="1249" t="str">
        <f>Application!I189</f>
        <v>Merced</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2535</v>
      </c>
      <c r="BE37" s="1249" t="str">
        <f>Application!T189</f>
        <v>Merced</v>
      </c>
    </row>
    <row r="38" spans="1:57" ht="12.95" customHeight="1">
      <c r="A38" s="3"/>
      <c r="AZ38" s="20"/>
      <c r="BD38" s="1248" t="s">
        <v>2536</v>
      </c>
      <c r="BE38" s="1249">
        <f>Application!I190</f>
        <v>95340</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54</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53</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0.3</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0.29965947786606129</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704873.68518518517</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2</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 xml:space="preserve">Linc I Street Apts LLC </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Anders Plett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Linc Housing Corporation</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Not Applicable</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t="str">
        <f>Application!M259</f>
        <v>Not Applicable</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Linc Housing Corporation</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3590 Elm Avenue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Long Beach, CA 90807</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Anders Plett</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aplett@linchousing.org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0.82980875873910853</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0.88000004502358531</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5" t="s">
        <v>2157</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2595</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2560</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2561</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5" t="s">
        <v>2158</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2563</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2564</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3" t="s">
        <v>2159</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2566</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5" t="s">
        <v>2161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2573</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2574</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0.51318450225864942</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Merced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Scott McBride</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678 West 18th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Merced</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95340</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Linc Housing Corporation (as Sole Member and Manager of Linc I Street Apts LLC, the Managing General Partner of Linc I Street Apts,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3590 Elm Avenue</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Long Beach</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 xml:space="preserve">CA </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90807</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Anders Plett</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aplett@linchousing.org</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aplett@linchousing.org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jshields@linchousing.org</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38063179</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t="s">
        <v>2644</v>
      </c>
      <c r="H113" s="1790"/>
      <c r="I113" s="3" t="s">
        <v>181</v>
      </c>
      <c r="L113" s="1790" t="s">
        <v>2645</v>
      </c>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2613</v>
      </c>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2618</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1" t="s">
        <v>469</v>
      </c>
      <c r="CV122" s="1662"/>
      <c r="CW122" s="14"/>
      <c r="CX122" s="14" t="s">
        <v>634</v>
      </c>
      <c r="CY122" s="14"/>
      <c r="CZ122" s="14"/>
      <c r="DA122" s="14"/>
      <c r="DB122" s="14"/>
      <c r="DC122" s="14"/>
      <c r="DD122" s="14"/>
      <c r="DE122" s="14"/>
      <c r="DF122" s="14"/>
      <c r="DG122" s="1658" t="str">
        <f>T189</f>
        <v>Merced</v>
      </c>
      <c r="DH122" s="1659"/>
      <c r="DI122" s="1659"/>
      <c r="DJ122" s="1659"/>
      <c r="DK122" s="1659"/>
      <c r="DL122" s="1659"/>
      <c r="DM122" s="1660"/>
    </row>
    <row r="123" spans="1:117" ht="12.95" customHeight="1">
      <c r="A123" s="3"/>
      <c r="B123" s="3"/>
      <c r="T123" s="3"/>
      <c r="U123" s="3"/>
      <c r="V123" s="3"/>
      <c r="W123" s="3"/>
      <c r="X123" s="3"/>
      <c r="Y123" s="1790" t="s">
        <v>2754</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7" t="s">
        <v>2646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6" t="s">
        <v>2647</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1" t="s">
        <v>2648</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7" t="s">
        <v>55</v>
      </c>
      <c r="P157" s="1417"/>
      <c r="Q157" s="1417"/>
      <c r="R157" s="1417"/>
      <c r="S157" s="1417"/>
      <c r="T157" s="1417"/>
      <c r="U157" s="1417"/>
      <c r="V157" s="1417"/>
      <c r="W157" s="1417"/>
      <c r="X157" s="141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3">
        <v>95340</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1" t="s">
        <v>2649</v>
      </c>
      <c r="P159" s="1781"/>
      <c r="Q159" s="1781"/>
      <c r="R159" s="1781"/>
      <c r="S159" s="1781"/>
      <c r="T159" s="1781"/>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805" t="s">
        <v>591</v>
      </c>
      <c r="P160" s="1781"/>
      <c r="Q160" s="1781"/>
      <c r="R160" s="1781"/>
      <c r="S160" s="1781"/>
      <c r="T160" s="178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5" t="s">
        <v>2650</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2" t="s">
        <v>539</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1" t="s">
        <v>2102</v>
      </c>
      <c r="K174" s="1371"/>
      <c r="L174" s="1371"/>
      <c r="M174" s="1371"/>
      <c r="N174" s="1371"/>
      <c r="O174" s="1371"/>
      <c r="P174" s="1371"/>
      <c r="Q174" s="1371"/>
      <c r="R174" s="1371"/>
      <c r="S174" s="1371"/>
      <c r="T174" s="1371"/>
      <c r="U174" s="1371"/>
      <c r="V174" s="1371"/>
      <c r="W174" s="1371"/>
      <c r="X174" s="1371"/>
      <c r="Y174" s="1371"/>
      <c r="Z174" s="1371"/>
      <c r="AA174" s="1371"/>
      <c r="AB174" s="1371"/>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2" t="s">
        <v>545</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5">
        <v>25</v>
      </c>
      <c r="V176" s="1425"/>
      <c r="W176" s="1" t="s">
        <v>305</v>
      </c>
      <c r="X176" s="1784">
        <v>30</v>
      </c>
      <c r="Y176" s="1784"/>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3"/>
      <c r="AG178" s="1783"/>
      <c r="AH178" s="1" t="s">
        <v>305</v>
      </c>
      <c r="AI178" s="1806"/>
      <c r="AJ178" s="1806"/>
      <c r="AK178" s="1806"/>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2" t="s">
        <v>669</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8" t="str">
        <f>H18</f>
        <v>I Street, Merced</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443" t="s">
        <v>2651</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16" t="s">
        <v>55</v>
      </c>
      <c r="J189" s="1371"/>
      <c r="K189" s="1371"/>
      <c r="L189" s="1371"/>
      <c r="M189" s="1371"/>
      <c r="N189" s="1371"/>
      <c r="O189" s="1371"/>
      <c r="P189" s="1371"/>
      <c r="Q189" t="s">
        <v>582</v>
      </c>
      <c r="T189" s="1371" t="s">
        <v>55</v>
      </c>
      <c r="U189" s="1371"/>
      <c r="V189" s="1371"/>
      <c r="W189" s="1371"/>
      <c r="X189" s="1371"/>
      <c r="Y189" s="1371"/>
      <c r="Z189" s="1371"/>
      <c r="AA189" s="1371"/>
      <c r="AB189" s="1371"/>
      <c r="AC189" s="1371"/>
      <c r="AD189" s="1371"/>
      <c r="AE189" s="1371"/>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8">
        <v>95340</v>
      </c>
      <c r="J190" s="1348"/>
      <c r="K190" s="1348"/>
      <c r="L190" s="1348"/>
      <c r="M190" s="1348"/>
      <c r="N190" s="1348"/>
      <c r="O190" t="s">
        <v>585</v>
      </c>
      <c r="T190" s="1791">
        <v>13.02</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4" t="s">
        <v>2652</v>
      </c>
      <c r="O191" s="1804"/>
      <c r="P191" s="1804"/>
      <c r="Q191" s="1804"/>
      <c r="R191" s="1804"/>
      <c r="S191" s="1804"/>
      <c r="T191" s="1804"/>
      <c r="U191" s="1804"/>
      <c r="V191" s="1804"/>
      <c r="W191" s="1804"/>
      <c r="X191" s="1804"/>
      <c r="Y191" s="1804"/>
      <c r="Z191" s="1804"/>
      <c r="AA191" s="1804"/>
      <c r="AB191" s="1804"/>
      <c r="AC191" s="1804"/>
      <c r="AD191" s="1804"/>
      <c r="AE191" s="180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2214</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2" t="s">
        <v>669</v>
      </c>
      <c r="U195" s="1332"/>
      <c r="W195" t="s">
        <v>684</v>
      </c>
      <c r="AH195" s="1332">
        <v>13</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2" t="s">
        <v>545</v>
      </c>
      <c r="U196" s="1402"/>
      <c r="W196" t="s">
        <v>685</v>
      </c>
      <c r="AH196" s="1332">
        <v>27</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2" t="s">
        <v>669</v>
      </c>
      <c r="U197" s="1402"/>
      <c r="W197" t="s">
        <v>686</v>
      </c>
      <c r="AH197" s="1332">
        <v>14</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2">
        <v>1</v>
      </c>
      <c r="U198" s="1402"/>
      <c r="V198"/>
      <c r="X198" s="1413" t="s">
        <v>2515</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669</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803">
        <f>M26</f>
        <v>1861889</v>
      </c>
      <c r="Q204" s="1782"/>
      <c r="R204" s="1782"/>
      <c r="S204" s="1782"/>
      <c r="T204" s="1782"/>
      <c r="U204" s="1782"/>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2" t="s">
        <v>1247</v>
      </c>
      <c r="E205" s="1358"/>
      <c r="F205" s="1358"/>
      <c r="G205" s="1358"/>
      <c r="H205" s="1358"/>
      <c r="I205" s="1358"/>
      <c r="J205" s="1358"/>
      <c r="K205" s="1358"/>
      <c r="L205" s="1358"/>
      <c r="M205" s="1358"/>
      <c r="P205" s="1782">
        <f>M27</f>
        <v>10661078</v>
      </c>
      <c r="Q205" s="1782"/>
      <c r="R205" s="1782"/>
      <c r="S205" s="1782"/>
      <c r="T205" s="1782"/>
      <c r="U205" s="1782"/>
      <c r="V205" s="28"/>
      <c r="W205" s="3" t="s">
        <v>1720</v>
      </c>
      <c r="Z205" s="1810" t="s">
        <v>2220</v>
      </c>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7" t="s">
        <v>2653</v>
      </c>
      <c r="E208" s="1417"/>
      <c r="F208" s="1417"/>
      <c r="G208" s="1417"/>
      <c r="H208" s="1417"/>
      <c r="I208" s="1417"/>
      <c r="J208" s="1417"/>
      <c r="K208" s="1417"/>
      <c r="L208" s="1417"/>
      <c r="M208" s="1417"/>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1040</v>
      </c>
      <c r="E211" s="1417"/>
      <c r="F211" s="1417"/>
      <c r="G211" s="1417"/>
      <c r="H211" s="1417"/>
      <c r="I211" s="1417"/>
      <c r="J211" s="1417"/>
      <c r="K211" s="1417"/>
      <c r="L211" s="1417"/>
      <c r="M211" s="1417"/>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27</v>
      </c>
      <c r="R212" s="1332"/>
      <c r="T212" s="1797">
        <f>IFERROR(Q212/AG440,0)</f>
        <v>0.50943396226415094</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9" t="s">
        <v>2729</v>
      </c>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7" t="s">
        <v>1061</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1" t="s">
        <v>2468</v>
      </c>
      <c r="AD220" s="1811"/>
      <c r="AE220" s="1811"/>
      <c r="AF220" s="1811"/>
      <c r="AG220" s="1811"/>
      <c r="AH220" s="1811"/>
      <c r="AI220" s="1811"/>
      <c r="AJ220" s="1811"/>
      <c r="AK220" s="1811"/>
      <c r="AL220" s="1811"/>
      <c r="AM220" s="1811"/>
      <c r="AN220" s="1811"/>
      <c r="AO220" s="1811"/>
      <c r="AP220" s="1811"/>
      <c r="AQ220" s="1811"/>
      <c r="BA220" s="3"/>
      <c r="BC220" t="s">
        <v>299</v>
      </c>
    </row>
    <row r="221" spans="1:108" ht="12.95" customHeight="1">
      <c r="A221" s="2"/>
      <c r="B221" s="14"/>
      <c r="C221" s="2"/>
      <c r="BA221" s="3"/>
    </row>
    <row r="222" spans="1:108" ht="12.95" customHeight="1">
      <c r="A222" s="1422" t="s">
        <v>540</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Linc Housing Corporation (as Sole Member and Manager of Linc I Street Apts LLC, the Managing General Partner of Linc I Street Apts,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416" t="s">
        <v>2612</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538</v>
      </c>
      <c r="BG233" s="241">
        <f>IF(AND(AND($M$249="nonprofit",$M$257="for profit",$M$265="nonprofit")),2,0)</f>
        <v>0</v>
      </c>
    </row>
    <row r="234" spans="1:59" ht="12.95" customHeight="1">
      <c r="D234" s="4" t="s">
        <v>580</v>
      </c>
      <c r="E234" s="4"/>
      <c r="M234" s="1416" t="s">
        <v>2613</v>
      </c>
      <c r="N234" s="1417"/>
      <c r="O234" s="1417"/>
      <c r="P234" s="1417"/>
      <c r="Q234" s="1417"/>
      <c r="R234" s="1417"/>
      <c r="S234" s="1417"/>
      <c r="T234" s="1417"/>
      <c r="V234" s="33" t="s">
        <v>86</v>
      </c>
      <c r="W234" s="1443" t="s">
        <v>2614</v>
      </c>
      <c r="X234" s="1436"/>
      <c r="Y234" s="4" t="s">
        <v>583</v>
      </c>
      <c r="AC234" s="1417">
        <v>90807</v>
      </c>
      <c r="AD234" s="1417"/>
      <c r="AE234" s="1417"/>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6" t="s">
        <v>2618</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665" t="s">
        <v>2655</v>
      </c>
      <c r="N236" s="1346"/>
      <c r="O236" s="1346"/>
      <c r="P236" s="1346"/>
      <c r="Q236" s="1346"/>
      <c r="R236" s="1346"/>
      <c r="S236" s="4" t="s">
        <v>205</v>
      </c>
      <c r="T236" s="4"/>
      <c r="U236" s="1443" t="s">
        <v>591</v>
      </c>
      <c r="V236" s="1436"/>
      <c r="W236" s="1436"/>
      <c r="X236" s="4" t="s">
        <v>89</v>
      </c>
      <c r="Z236" s="1665" t="s">
        <v>591</v>
      </c>
      <c r="AA236" s="1346"/>
      <c r="AB236" s="1346"/>
      <c r="AC236" s="1346"/>
      <c r="AD236" s="1346"/>
      <c r="AE236" s="1346"/>
      <c r="AU236" s="4"/>
      <c r="AV236" s="4"/>
      <c r="AW236" s="4"/>
      <c r="AX236" s="4"/>
      <c r="AY236" s="4"/>
      <c r="AZ236" s="4"/>
      <c r="BB236" s="204" t="s">
        <v>537</v>
      </c>
      <c r="BG236" s="241">
        <f>IF(AND(AND($M$249="nonprofit",$M$257="nonprofit",$M$265="(select one)")),1,0)</f>
        <v>0</v>
      </c>
    </row>
    <row r="237" spans="1:59" ht="12.95" customHeight="1">
      <c r="D237" s="4" t="s">
        <v>90</v>
      </c>
      <c r="E237" s="4"/>
      <c r="F237" s="4"/>
      <c r="M237" s="1785" t="s">
        <v>2620</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376</v>
      </c>
      <c r="N238" s="1348"/>
      <c r="O238" s="1348"/>
      <c r="P238" s="1348"/>
      <c r="Q238" s="1348"/>
      <c r="R238" s="1348"/>
      <c r="S238" s="1348"/>
      <c r="T238" s="1348"/>
      <c r="U238" s="204" t="s">
        <v>906</v>
      </c>
      <c r="V238" s="204"/>
      <c r="W238" s="204"/>
      <c r="X238" s="204"/>
      <c r="Y238" s="204"/>
      <c r="Z238" s="204"/>
      <c r="AA238" s="1786" t="s">
        <v>2616</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2656</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2657</v>
      </c>
      <c r="AG243" s="1420"/>
      <c r="AH243" s="1420"/>
      <c r="AI243" s="1420"/>
      <c r="AJ243" s="1420"/>
      <c r="AK243" s="1420"/>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6" t="s">
        <v>2612</v>
      </c>
      <c r="N244" s="1417"/>
      <c r="O244" s="1417"/>
      <c r="P244" s="1417"/>
      <c r="Q244" s="1417"/>
      <c r="R244" s="1417"/>
      <c r="S244" s="1417"/>
      <c r="T244" s="1417"/>
      <c r="U244" s="1417"/>
      <c r="V244" s="1417"/>
      <c r="W244" s="1417"/>
      <c r="X244" s="1417"/>
      <c r="Y244" s="1417"/>
      <c r="Z244" s="1417"/>
      <c r="AA244" s="1417"/>
      <c r="AB244" s="1417"/>
      <c r="AC244" s="1417"/>
      <c r="AD244" s="1417"/>
      <c r="AE244" s="1417"/>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6" t="s">
        <v>2613</v>
      </c>
      <c r="N245" s="1417"/>
      <c r="O245" s="1417"/>
      <c r="P245" s="1417"/>
      <c r="Q245" s="1417"/>
      <c r="R245" s="1417"/>
      <c r="S245" s="1417"/>
      <c r="T245" s="1417"/>
      <c r="V245" s="33" t="s">
        <v>86</v>
      </c>
      <c r="W245" s="1443" t="s">
        <v>2615</v>
      </c>
      <c r="X245" s="1436"/>
      <c r="Y245" s="4" t="s">
        <v>583</v>
      </c>
      <c r="AC245" s="1417">
        <v>90807</v>
      </c>
      <c r="AD245" s="1417"/>
      <c r="AE245" s="1417"/>
      <c r="AF245" s="3" t="s">
        <v>1180</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417" t="str">
        <f>M235</f>
        <v>Anders Plett</v>
      </c>
      <c r="N246" s="1417"/>
      <c r="O246" s="1417"/>
      <c r="P246" s="1417"/>
      <c r="Q246" s="1417"/>
      <c r="R246" s="1417"/>
      <c r="S246" s="1417"/>
      <c r="T246" s="1417"/>
      <c r="U246" s="1417"/>
      <c r="V246" s="1417"/>
      <c r="W246" s="1417"/>
      <c r="X246" s="1417"/>
      <c r="Y246" s="1417"/>
      <c r="Z246" s="1417"/>
      <c r="AA246" s="1417"/>
      <c r="AB246" s="1417"/>
      <c r="AC246" s="1417"/>
      <c r="AD246" s="1417"/>
      <c r="AE246" s="1417"/>
      <c r="AH246" s="1779">
        <v>0.01</v>
      </c>
      <c r="AI246" s="1779"/>
      <c r="AJ246" s="1779"/>
      <c r="AK246" s="1779"/>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t="str">
        <f>M236</f>
        <v>562-684-1100</v>
      </c>
      <c r="N247" s="1346"/>
      <c r="O247" s="1346"/>
      <c r="P247" s="1346"/>
      <c r="Q247" s="1346"/>
      <c r="R247" s="1346"/>
      <c r="S247" s="4" t="s">
        <v>205</v>
      </c>
      <c r="T247" s="4"/>
      <c r="U247" s="1436" t="str">
        <f>U236</f>
        <v>N/A</v>
      </c>
      <c r="V247" s="1436"/>
      <c r="W247" s="1436"/>
      <c r="X247" s="4" t="s">
        <v>89</v>
      </c>
      <c r="Z247" s="1346" t="str">
        <f>Z236</f>
        <v>N/A</v>
      </c>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5" t="str">
        <f>M237</f>
        <v>aplett@linchousing.org</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534</v>
      </c>
      <c r="N249" s="1348"/>
      <c r="O249" s="1348"/>
      <c r="P249" s="1348"/>
      <c r="Q249" s="1348"/>
      <c r="R249" s="1348"/>
      <c r="S249" s="1348"/>
      <c r="T249" s="1348"/>
      <c r="U249" s="204" t="s">
        <v>906</v>
      </c>
      <c r="V249" s="204"/>
      <c r="W249" s="204"/>
      <c r="X249" s="204"/>
      <c r="Y249" s="204"/>
      <c r="Z249" s="204"/>
      <c r="AA249" s="1777" t="str">
        <f>AA238</f>
        <v>Linc Housing Corporation</v>
      </c>
      <c r="AB249" s="1777"/>
      <c r="AC249" s="1777"/>
      <c r="AD249" s="1777"/>
      <c r="AE249" s="1777"/>
      <c r="AF249" s="1777"/>
      <c r="AG249" s="1777"/>
      <c r="AH249" s="1777"/>
      <c r="AI249" s="1777"/>
      <c r="AJ249" s="1777"/>
      <c r="AK249" s="177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19" t="s">
        <v>2658</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306</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c r="N252" s="1417"/>
      <c r="O252" s="1417"/>
      <c r="P252" s="1417"/>
      <c r="Q252" s="1417"/>
      <c r="R252" s="1417"/>
      <c r="S252" s="1417"/>
      <c r="T252" s="1417"/>
      <c r="U252" s="1417"/>
      <c r="V252" s="1417"/>
      <c r="W252" s="1417"/>
      <c r="X252" s="1417"/>
      <c r="Y252" s="1417"/>
      <c r="Z252" s="1417"/>
      <c r="AA252" s="1417"/>
      <c r="AB252" s="1417"/>
      <c r="AC252" s="1417"/>
      <c r="AD252" s="1417"/>
      <c r="AE252" s="1417"/>
      <c r="AF252" s="3" t="s">
        <v>1179</v>
      </c>
      <c r="AL252" s="4"/>
      <c r="AM252" s="4"/>
      <c r="AN252" s="4"/>
      <c r="AO252" s="4"/>
      <c r="AP252" s="4"/>
      <c r="AQ252" s="4"/>
      <c r="AR252" s="4"/>
      <c r="AS252" s="4"/>
      <c r="AT252" s="4"/>
      <c r="BN252" s="34"/>
    </row>
    <row r="253" spans="1:67" ht="12.95" customHeight="1">
      <c r="A253" s="19"/>
      <c r="B253" s="4"/>
      <c r="C253" s="4"/>
      <c r="D253" s="4" t="s">
        <v>580</v>
      </c>
      <c r="E253" s="4"/>
      <c r="M253" s="1417"/>
      <c r="N253" s="1417"/>
      <c r="O253" s="1417"/>
      <c r="P253" s="1417"/>
      <c r="Q253" s="1417"/>
      <c r="R253" s="1417"/>
      <c r="S253" s="1417"/>
      <c r="T253" s="1417"/>
      <c r="V253" s="33" t="s">
        <v>86</v>
      </c>
      <c r="W253" s="1436"/>
      <c r="X253" s="1436"/>
      <c r="Y253" s="4" t="s">
        <v>583</v>
      </c>
      <c r="AC253" s="1417"/>
      <c r="AD253" s="1417"/>
      <c r="AE253" s="1417"/>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7"/>
      <c r="N254" s="1417"/>
      <c r="O254" s="1417"/>
      <c r="P254" s="1417"/>
      <c r="Q254" s="1417"/>
      <c r="R254" s="1417"/>
      <c r="S254" s="1417"/>
      <c r="T254" s="1417"/>
      <c r="U254" s="1417"/>
      <c r="V254" s="1417"/>
      <c r="W254" s="1417"/>
      <c r="X254" s="1417"/>
      <c r="Y254" s="1417"/>
      <c r="Z254" s="1417"/>
      <c r="AA254" s="1417"/>
      <c r="AB254" s="1417"/>
      <c r="AC254" s="1417"/>
      <c r="AD254" s="1417"/>
      <c r="AE254" s="1417"/>
      <c r="AH254" s="1779"/>
      <c r="AI254" s="1779"/>
      <c r="AJ254" s="1779"/>
      <c r="AK254" s="1779"/>
      <c r="AL254" s="4"/>
      <c r="AM254" s="4"/>
      <c r="AN254" s="4"/>
      <c r="AO254" s="4"/>
      <c r="AP254" s="4"/>
      <c r="AQ254" s="4"/>
      <c r="AR254" s="4"/>
      <c r="AS254" s="4"/>
      <c r="AT254" s="4"/>
    </row>
    <row r="255" spans="1:67" ht="12.95" customHeight="1">
      <c r="A255" s="19"/>
      <c r="B255" s="4"/>
      <c r="C255" s="4"/>
      <c r="D255" s="4" t="s">
        <v>88</v>
      </c>
      <c r="E255" s="4"/>
      <c r="F255" s="4"/>
      <c r="M255" s="1346"/>
      <c r="N255" s="1346"/>
      <c r="O255" s="1346"/>
      <c r="P255" s="1346"/>
      <c r="Q255" s="1346"/>
      <c r="R255" s="1346"/>
      <c r="S255" s="4" t="s">
        <v>205</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5"/>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8" t="s">
        <v>306</v>
      </c>
      <c r="N257" s="1348"/>
      <c r="O257" s="1348"/>
      <c r="P257" s="1348"/>
      <c r="Q257" s="1348"/>
      <c r="R257" s="1348"/>
      <c r="S257" s="1348"/>
      <c r="T257" s="1348"/>
      <c r="U257" s="204" t="s">
        <v>906</v>
      </c>
      <c r="V257" s="204"/>
      <c r="W257" s="204"/>
      <c r="X257" s="204"/>
      <c r="Y257" s="204"/>
      <c r="Z257" s="204"/>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0" t="s">
        <v>2658</v>
      </c>
      <c r="N259" s="1420"/>
      <c r="O259" s="1420"/>
      <c r="P259" s="1420"/>
      <c r="Q259" s="1420"/>
      <c r="R259" s="1420"/>
      <c r="S259" s="1420"/>
      <c r="T259" s="1420"/>
      <c r="U259" s="1420"/>
      <c r="V259" s="1420"/>
      <c r="W259" s="1420"/>
      <c r="X259" s="1420"/>
      <c r="Y259" s="1420"/>
      <c r="Z259" s="1420"/>
      <c r="AA259" s="1420"/>
      <c r="AB259" s="1420"/>
      <c r="AC259" s="1420"/>
      <c r="AD259" s="1420"/>
      <c r="AE259" s="1420"/>
      <c r="AF259" s="1420" t="s">
        <v>306</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7"/>
      <c r="N261" s="1417"/>
      <c r="O261" s="1417"/>
      <c r="P261" s="1417"/>
      <c r="Q261" s="1417"/>
      <c r="R261" s="1417"/>
      <c r="S261" s="1417"/>
      <c r="T261" s="1417"/>
      <c r="V261" s="33" t="s">
        <v>86</v>
      </c>
      <c r="W261" s="1436"/>
      <c r="X261" s="1436"/>
      <c r="Y261" s="4" t="s">
        <v>583</v>
      </c>
      <c r="AC261" s="1417"/>
      <c r="AD261" s="1417"/>
      <c r="AE261" s="1417"/>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9"/>
      <c r="AI262" s="1779"/>
      <c r="AJ262" s="1779"/>
      <c r="AK262" s="177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205</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0" t="str">
        <f>IFERROR(BO245,"")</f>
        <v>Nonprofit</v>
      </c>
      <c r="U267" s="1780"/>
      <c r="V267" s="1780"/>
      <c r="W267" s="1780"/>
      <c r="X267" s="1780"/>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7" t="s">
        <v>279</v>
      </c>
      <c r="E270" s="1417"/>
      <c r="F270" s="1417"/>
      <c r="G270" s="1417"/>
      <c r="H270" s="1417"/>
      <c r="J270" t="s">
        <v>278</v>
      </c>
      <c r="X270" s="1672"/>
      <c r="Y270" s="1672"/>
      <c r="Z270" s="1672"/>
      <c r="AA270" s="1672"/>
      <c r="AB270" s="1672"/>
      <c r="AC270" s="1672"/>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19" t="s">
        <v>2616</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2612</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580</v>
      </c>
      <c r="E276" s="4"/>
      <c r="L276" s="1416" t="s">
        <v>2613</v>
      </c>
      <c r="M276" s="1417"/>
      <c r="N276" s="1417"/>
      <c r="O276" s="1417"/>
      <c r="P276" s="1417"/>
      <c r="Q276" s="1417"/>
      <c r="R276" s="1417"/>
      <c r="S276" s="1417"/>
      <c r="U276" s="33" t="s">
        <v>86</v>
      </c>
      <c r="V276" s="1443" t="s">
        <v>2615</v>
      </c>
      <c r="W276" s="1436"/>
      <c r="X276" s="4" t="s">
        <v>583</v>
      </c>
      <c r="AB276" s="1417">
        <v>90807</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2654</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665" t="s">
        <v>2655</v>
      </c>
      <c r="M278" s="1346"/>
      <c r="N278" s="1346"/>
      <c r="O278" s="1346"/>
      <c r="P278" s="1346"/>
      <c r="Q278" s="1346"/>
      <c r="R278" s="4" t="s">
        <v>205</v>
      </c>
      <c r="S278" s="4"/>
      <c r="T278" s="1436"/>
      <c r="U278" s="1436"/>
      <c r="V278" s="1436"/>
      <c r="W278" s="4" t="s">
        <v>89</v>
      </c>
      <c r="Y278" s="1346"/>
      <c r="Z278" s="1346"/>
      <c r="AA278" s="1346"/>
      <c r="AB278" s="1346"/>
      <c r="AC278" s="1346"/>
      <c r="AD278" s="1346"/>
    </row>
    <row r="279" spans="1:51" ht="12.95" customHeight="1">
      <c r="D279" s="4" t="s">
        <v>90</v>
      </c>
      <c r="E279" s="4"/>
      <c r="F279" s="4"/>
      <c r="L279" s="1785" t="s">
        <v>2659</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5" customHeight="1">
      <c r="D280" s="3" t="s">
        <v>623</v>
      </c>
      <c r="E280" s="3"/>
      <c r="F280" s="3"/>
      <c r="G280" s="3"/>
      <c r="H280" s="3"/>
      <c r="I280" s="3"/>
      <c r="L280" s="1443" t="s">
        <v>2660</v>
      </c>
      <c r="M280" s="1443"/>
      <c r="N280" s="1443"/>
      <c r="O280" s="1443"/>
      <c r="P280" s="1443"/>
      <c r="Q280" s="1443"/>
      <c r="R280" s="1443"/>
      <c r="S280" s="1443"/>
      <c r="T280" s="1443"/>
      <c r="U280" s="1443"/>
      <c r="V280" s="1443"/>
      <c r="W280" s="1443"/>
      <c r="X280" s="1443"/>
      <c r="Y280" s="1443"/>
      <c r="Z280" s="1443"/>
      <c r="AA280" s="1443"/>
      <c r="AB280" s="1443"/>
      <c r="AC280" s="1443"/>
      <c r="AD280" s="1443"/>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2" t="s">
        <v>541</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1" t="s">
        <v>2616</v>
      </c>
      <c r="I287" s="1371"/>
      <c r="J287" s="1371"/>
      <c r="K287" s="1371"/>
      <c r="L287" s="1371"/>
      <c r="M287" s="1371"/>
      <c r="N287" s="1371"/>
      <c r="O287" s="1371"/>
      <c r="P287" s="1371"/>
      <c r="Q287" s="1371"/>
      <c r="R287" s="1371"/>
      <c r="T287" s="3" t="s">
        <v>567</v>
      </c>
      <c r="V287" s="3"/>
      <c r="W287" s="3"/>
      <c r="X287" s="3"/>
      <c r="Y287" s="3"/>
      <c r="AA287" s="1371" t="s">
        <v>2661</v>
      </c>
      <c r="AB287" s="1371"/>
      <c r="AC287" s="1371"/>
      <c r="AD287" s="1371"/>
      <c r="AE287" s="1371"/>
      <c r="AF287" s="1371"/>
      <c r="AG287" s="1371"/>
      <c r="AH287" s="1371"/>
      <c r="AI287" s="1371"/>
      <c r="AJ287" s="1371"/>
      <c r="AK287" s="1371"/>
    </row>
    <row r="288" spans="1:51" ht="12.95" customHeight="1">
      <c r="B288" s="3" t="s">
        <v>471</v>
      </c>
      <c r="C288" s="3"/>
      <c r="D288" s="3"/>
      <c r="E288" s="3"/>
      <c r="F288" s="3"/>
      <c r="H288" s="1348" t="s">
        <v>2612</v>
      </c>
      <c r="I288" s="1348"/>
      <c r="J288" s="1348"/>
      <c r="K288" s="1348"/>
      <c r="L288" s="1348"/>
      <c r="M288" s="1348"/>
      <c r="N288" s="1348"/>
      <c r="O288" s="1348"/>
      <c r="P288" s="1348"/>
      <c r="Q288" s="1348"/>
      <c r="R288" s="1348"/>
      <c r="T288" s="3" t="s">
        <v>471</v>
      </c>
      <c r="V288" s="3"/>
      <c r="W288" s="3"/>
      <c r="X288" s="3"/>
      <c r="Y288" s="3"/>
      <c r="AA288" s="1348" t="s">
        <v>2662</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2617</v>
      </c>
      <c r="I289" s="1348"/>
      <c r="J289" s="1348"/>
      <c r="K289" s="1348"/>
      <c r="L289" s="1348"/>
      <c r="M289" s="1348"/>
      <c r="N289" s="1348"/>
      <c r="O289" s="1348"/>
      <c r="P289" s="1348"/>
      <c r="Q289" s="1348"/>
      <c r="R289" s="1348"/>
      <c r="T289" s="3" t="s">
        <v>75</v>
      </c>
      <c r="V289" s="3"/>
      <c r="W289" s="3"/>
      <c r="X289" s="3"/>
      <c r="Y289" s="3"/>
      <c r="AA289" s="1348" t="s">
        <v>2663</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2618</v>
      </c>
      <c r="I290" s="1348"/>
      <c r="J290" s="1348"/>
      <c r="K290" s="1348"/>
      <c r="L290" s="1348"/>
      <c r="M290" s="1348"/>
      <c r="N290" s="1348"/>
      <c r="O290" s="1348"/>
      <c r="P290" s="1348"/>
      <c r="Q290" s="1348"/>
      <c r="R290" s="1348"/>
      <c r="T290" s="3" t="s">
        <v>87</v>
      </c>
      <c r="V290" s="3"/>
      <c r="W290" s="3"/>
      <c r="X290" s="3"/>
      <c r="Y290" s="3"/>
      <c r="AA290" s="1348" t="s">
        <v>2664</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2619</v>
      </c>
      <c r="I291" s="1423"/>
      <c r="J291" s="1423"/>
      <c r="K291" s="1423"/>
      <c r="L291" s="1423"/>
      <c r="M291" s="1423"/>
      <c r="N291" s="4" t="s">
        <v>205</v>
      </c>
      <c r="O291" s="4"/>
      <c r="P291" s="1417"/>
      <c r="Q291" s="1417"/>
      <c r="R291" s="1417"/>
      <c r="S291" s="3"/>
      <c r="T291" s="3" t="s">
        <v>88</v>
      </c>
      <c r="V291" s="3"/>
      <c r="W291" s="3"/>
      <c r="X291" s="3"/>
      <c r="Y291" s="3"/>
      <c r="AA291" s="1423" t="s">
        <v>2665</v>
      </c>
      <c r="AB291" s="1423"/>
      <c r="AC291" s="1423"/>
      <c r="AD291" s="1423"/>
      <c r="AE291" s="1423"/>
      <c r="AF291" s="1423"/>
      <c r="AG291" s="4" t="s">
        <v>205</v>
      </c>
      <c r="AH291" s="4"/>
      <c r="AI291" s="1417"/>
      <c r="AJ291" s="1417"/>
      <c r="AK291" s="1417"/>
    </row>
    <row r="292" spans="2:37" ht="12.95" customHeight="1">
      <c r="B292" s="3" t="s">
        <v>89</v>
      </c>
      <c r="C292" s="3"/>
      <c r="D292" s="3"/>
      <c r="E292" s="3"/>
      <c r="F292" s="3"/>
      <c r="G292" s="3"/>
      <c r="H292" s="1346" t="s">
        <v>591</v>
      </c>
      <c r="I292" s="1346"/>
      <c r="J292" s="1346"/>
      <c r="K292" s="1346"/>
      <c r="L292" s="1346"/>
      <c r="M292" s="1346"/>
      <c r="N292" s="4"/>
      <c r="O292" s="4"/>
      <c r="P292" s="35"/>
      <c r="Q292" s="35"/>
      <c r="R292" s="35"/>
      <c r="S292" s="3"/>
      <c r="T292" s="3" t="s">
        <v>89</v>
      </c>
      <c r="V292" s="3"/>
      <c r="W292" s="3"/>
      <c r="X292" s="3"/>
      <c r="Y292" s="3"/>
      <c r="AA292" s="1346" t="s">
        <v>591</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2620</v>
      </c>
      <c r="I293" s="1348"/>
      <c r="J293" s="1348"/>
      <c r="K293" s="1348"/>
      <c r="L293" s="1348"/>
      <c r="M293" s="1348"/>
      <c r="N293" s="1371"/>
      <c r="O293" s="1371"/>
      <c r="P293" s="1371"/>
      <c r="Q293" s="1371"/>
      <c r="R293" s="1371"/>
      <c r="S293" s="3"/>
      <c r="T293" s="3" t="s">
        <v>76</v>
      </c>
      <c r="V293" s="3"/>
      <c r="W293" s="3"/>
      <c r="X293" s="3"/>
      <c r="Y293" s="3"/>
      <c r="AA293" s="1348" t="s">
        <v>2666</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1" t="s">
        <v>2621</v>
      </c>
      <c r="I295" s="1371"/>
      <c r="J295" s="1371"/>
      <c r="K295" s="1371"/>
      <c r="L295" s="1371"/>
      <c r="M295" s="1371"/>
      <c r="N295" s="1371"/>
      <c r="O295" s="1371"/>
      <c r="P295" s="1371"/>
      <c r="Q295" s="1371"/>
      <c r="R295" s="1371"/>
      <c r="T295" s="3" t="s">
        <v>363</v>
      </c>
      <c r="V295" s="3"/>
      <c r="W295" s="3"/>
      <c r="X295" s="3"/>
      <c r="Y295" s="3"/>
      <c r="AA295" s="1416" t="s">
        <v>2667</v>
      </c>
      <c r="AB295" s="1371"/>
      <c r="AC295" s="1371"/>
      <c r="AD295" s="1371"/>
      <c r="AE295" s="1371"/>
      <c r="AF295" s="1371"/>
      <c r="AG295" s="1371"/>
      <c r="AH295" s="1371"/>
      <c r="AI295" s="1371"/>
      <c r="AJ295" s="1371"/>
      <c r="AK295" s="1371"/>
    </row>
    <row r="296" spans="2:37" ht="12.95" customHeight="1">
      <c r="B296" s="3" t="s">
        <v>471</v>
      </c>
      <c r="C296" s="3"/>
      <c r="D296" s="3"/>
      <c r="E296" s="3"/>
      <c r="F296" s="3"/>
      <c r="H296" s="1348" t="s">
        <v>2622</v>
      </c>
      <c r="I296" s="1348"/>
      <c r="J296" s="1348"/>
      <c r="K296" s="1348"/>
      <c r="L296" s="1348"/>
      <c r="M296" s="1348"/>
      <c r="N296" s="1348"/>
      <c r="O296" s="1348"/>
      <c r="P296" s="1348"/>
      <c r="Q296" s="1348"/>
      <c r="R296" s="1348"/>
      <c r="T296" s="3" t="s">
        <v>471</v>
      </c>
      <c r="V296" s="3"/>
      <c r="W296" s="3"/>
      <c r="X296" s="3"/>
      <c r="Y296" s="3"/>
      <c r="AA296" s="1348"/>
      <c r="AB296" s="1348"/>
      <c r="AC296" s="1348"/>
      <c r="AD296" s="1348"/>
      <c r="AE296" s="1348"/>
      <c r="AF296" s="1348"/>
      <c r="AG296" s="1348"/>
      <c r="AH296" s="1348"/>
      <c r="AI296" s="1348"/>
      <c r="AJ296" s="1348"/>
      <c r="AK296" s="1348"/>
    </row>
    <row r="297" spans="2:37" ht="12.95" customHeight="1">
      <c r="B297" s="3" t="s">
        <v>472</v>
      </c>
      <c r="C297" s="3"/>
      <c r="D297" s="3"/>
      <c r="E297" s="3"/>
      <c r="F297" s="3"/>
      <c r="H297" s="1348" t="s">
        <v>2623</v>
      </c>
      <c r="I297" s="1348"/>
      <c r="J297" s="1348"/>
      <c r="K297" s="1348"/>
      <c r="L297" s="1348"/>
      <c r="M297" s="1348"/>
      <c r="N297" s="1348"/>
      <c r="O297" s="1348"/>
      <c r="P297" s="1348"/>
      <c r="Q297" s="1348"/>
      <c r="R297" s="1348"/>
      <c r="T297" s="3" t="s">
        <v>75</v>
      </c>
      <c r="V297" s="3"/>
      <c r="W297" s="3"/>
      <c r="X297" s="3"/>
      <c r="Y297" s="3"/>
      <c r="AA297" s="1348"/>
      <c r="AB297" s="1348"/>
      <c r="AC297" s="1348"/>
      <c r="AD297" s="1348"/>
      <c r="AE297" s="1348"/>
      <c r="AF297" s="1348"/>
      <c r="AG297" s="1348"/>
      <c r="AH297" s="1348"/>
      <c r="AI297" s="1348"/>
      <c r="AJ297" s="1348"/>
      <c r="AK297" s="1348"/>
    </row>
    <row r="298" spans="2:37" ht="12.95" customHeight="1">
      <c r="B298" s="3" t="s">
        <v>87</v>
      </c>
      <c r="C298" s="3"/>
      <c r="D298" s="3"/>
      <c r="E298" s="3"/>
      <c r="F298" s="3"/>
      <c r="H298" s="1348" t="s">
        <v>2624</v>
      </c>
      <c r="I298" s="1348"/>
      <c r="J298" s="1348"/>
      <c r="K298" s="1348"/>
      <c r="L298" s="1348"/>
      <c r="M298" s="1348"/>
      <c r="N298" s="1348"/>
      <c r="O298" s="1348"/>
      <c r="P298" s="1348"/>
      <c r="Q298" s="1348"/>
      <c r="R298" s="1348"/>
      <c r="T298" s="3" t="s">
        <v>87</v>
      </c>
      <c r="V298" s="3"/>
      <c r="W298" s="3"/>
      <c r="X298" s="3"/>
      <c r="Y298" s="3"/>
      <c r="AA298" s="1348"/>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2625</v>
      </c>
      <c r="I299" s="1423"/>
      <c r="J299" s="1423"/>
      <c r="K299" s="1423"/>
      <c r="L299" s="1423"/>
      <c r="M299" s="1423"/>
      <c r="N299" s="4" t="s">
        <v>205</v>
      </c>
      <c r="O299" s="4"/>
      <c r="P299" s="1417"/>
      <c r="Q299" s="1417"/>
      <c r="R299" s="1417"/>
      <c r="S299" s="3"/>
      <c r="T299" s="3" t="s">
        <v>88</v>
      </c>
      <c r="V299" s="3"/>
      <c r="W299" s="3"/>
      <c r="X299" s="3"/>
      <c r="Y299" s="3"/>
      <c r="AA299" s="1423"/>
      <c r="AB299" s="1423"/>
      <c r="AC299" s="1423"/>
      <c r="AD299" s="1423"/>
      <c r="AE299" s="1423"/>
      <c r="AF299" s="1423"/>
      <c r="AG299" s="4" t="s">
        <v>205</v>
      </c>
      <c r="AH299" s="4"/>
      <c r="AI299" s="1417"/>
      <c r="AJ299" s="1417"/>
      <c r="AK299" s="1417"/>
    </row>
    <row r="300" spans="2:37" ht="12.95" customHeight="1">
      <c r="B300" s="3" t="s">
        <v>89</v>
      </c>
      <c r="C300" s="3"/>
      <c r="D300" s="3"/>
      <c r="E300" s="3"/>
      <c r="F300" s="3"/>
      <c r="G300" s="3"/>
      <c r="H300" s="1346" t="s">
        <v>591</v>
      </c>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2626</v>
      </c>
      <c r="I301" s="1348"/>
      <c r="J301" s="1348"/>
      <c r="K301" s="1348"/>
      <c r="L301" s="1348"/>
      <c r="M301" s="1348"/>
      <c r="N301" s="1371"/>
      <c r="O301" s="1371"/>
      <c r="P301" s="1371"/>
      <c r="Q301" s="1371"/>
      <c r="R301" s="1371"/>
      <c r="S301" s="3"/>
      <c r="T301" s="3" t="s">
        <v>76</v>
      </c>
      <c r="V301" s="3"/>
      <c r="W301" s="3"/>
      <c r="X301" s="3"/>
      <c r="Y301" s="3"/>
      <c r="AA301" s="1348"/>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2621</v>
      </c>
      <c r="I303" s="1371"/>
      <c r="J303" s="1371"/>
      <c r="K303" s="1371"/>
      <c r="L303" s="1371"/>
      <c r="M303" s="1371"/>
      <c r="N303" s="1371"/>
      <c r="O303" s="1371"/>
      <c r="P303" s="1371"/>
      <c r="Q303" s="1371"/>
      <c r="R303" s="1371"/>
      <c r="T303" s="4" t="s">
        <v>878</v>
      </c>
      <c r="V303" s="3"/>
      <c r="W303" s="3"/>
      <c r="X303" s="3"/>
      <c r="Y303" s="3"/>
      <c r="AA303" s="1371" t="s">
        <v>2667</v>
      </c>
      <c r="AB303" s="1371"/>
      <c r="AC303" s="1371"/>
      <c r="AD303" s="1371"/>
      <c r="AE303" s="1371"/>
      <c r="AF303" s="1371"/>
      <c r="AG303" s="1371"/>
      <c r="AH303" s="1371"/>
      <c r="AI303" s="1371"/>
      <c r="AJ303" s="1371"/>
      <c r="AK303" s="1371"/>
    </row>
    <row r="304" spans="2:37" ht="12.95" customHeight="1">
      <c r="B304" s="3" t="s">
        <v>471</v>
      </c>
      <c r="C304" s="3"/>
      <c r="D304" s="3"/>
      <c r="E304" s="3"/>
      <c r="F304" s="3"/>
      <c r="H304" s="1348" t="s">
        <v>2622</v>
      </c>
      <c r="I304" s="1348"/>
      <c r="J304" s="1348"/>
      <c r="K304" s="1348"/>
      <c r="L304" s="1348"/>
      <c r="M304" s="1348"/>
      <c r="N304" s="1348"/>
      <c r="O304" s="1348"/>
      <c r="P304" s="1348"/>
      <c r="Q304" s="1348"/>
      <c r="R304" s="1348"/>
      <c r="T304" s="3" t="s">
        <v>471</v>
      </c>
      <c r="V304" s="3"/>
      <c r="W304" s="3"/>
      <c r="X304" s="3"/>
      <c r="Y304" s="3"/>
      <c r="AA304" s="1348"/>
      <c r="AB304" s="1348"/>
      <c r="AC304" s="1348"/>
      <c r="AD304" s="1348"/>
      <c r="AE304" s="1348"/>
      <c r="AF304" s="1348"/>
      <c r="AG304" s="1348"/>
      <c r="AH304" s="1348"/>
      <c r="AI304" s="1348"/>
      <c r="AJ304" s="1348"/>
      <c r="AK304" s="1348"/>
    </row>
    <row r="305" spans="2:37" ht="12.95" customHeight="1">
      <c r="B305" s="3" t="s">
        <v>472</v>
      </c>
      <c r="C305" s="3"/>
      <c r="D305" s="3"/>
      <c r="E305" s="3"/>
      <c r="F305" s="3"/>
      <c r="H305" s="1348" t="s">
        <v>2623</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2624</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2625</v>
      </c>
      <c r="I307" s="1423"/>
      <c r="J307" s="1423"/>
      <c r="K307" s="1423"/>
      <c r="L307" s="1423"/>
      <c r="M307" s="1423"/>
      <c r="N307" s="4" t="s">
        <v>205</v>
      </c>
      <c r="O307" s="4"/>
      <c r="P307" s="1417"/>
      <c r="Q307" s="1417"/>
      <c r="R307" s="1417"/>
      <c r="S307" s="3"/>
      <c r="T307" s="3" t="s">
        <v>88</v>
      </c>
      <c r="V307" s="3"/>
      <c r="W307" s="3"/>
      <c r="X307" s="3"/>
      <c r="Y307" s="3"/>
      <c r="AA307" s="1423"/>
      <c r="AB307" s="1423"/>
      <c r="AC307" s="1423"/>
      <c r="AD307" s="1423"/>
      <c r="AE307" s="1423"/>
      <c r="AF307" s="1423"/>
      <c r="AG307" s="4" t="s">
        <v>205</v>
      </c>
      <c r="AH307" s="4"/>
      <c r="AI307" s="1417"/>
      <c r="AJ307" s="1417"/>
      <c r="AK307" s="1417"/>
    </row>
    <row r="308" spans="2:37" ht="12.95" customHeight="1">
      <c r="B308" s="3" t="s">
        <v>89</v>
      </c>
      <c r="C308" s="3"/>
      <c r="D308" s="3"/>
      <c r="E308" s="3"/>
      <c r="F308" s="3"/>
      <c r="G308" s="3"/>
      <c r="H308" s="1346" t="s">
        <v>591</v>
      </c>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2626</v>
      </c>
      <c r="I309" s="1348"/>
      <c r="J309" s="1348"/>
      <c r="K309" s="1348"/>
      <c r="L309" s="1348"/>
      <c r="M309" s="1348"/>
      <c r="N309" s="1371"/>
      <c r="O309" s="1371"/>
      <c r="P309" s="1371"/>
      <c r="Q309" s="1371"/>
      <c r="R309" s="1371"/>
      <c r="S309" s="3"/>
      <c r="T309" s="3" t="s">
        <v>76</v>
      </c>
      <c r="V309" s="3"/>
      <c r="W309" s="3"/>
      <c r="X309" s="3"/>
      <c r="Y309" s="3"/>
      <c r="AA309" s="1348"/>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1" t="s">
        <v>2627</v>
      </c>
      <c r="I311" s="1371"/>
      <c r="J311" s="1371"/>
      <c r="K311" s="1371"/>
      <c r="L311" s="1371"/>
      <c r="M311" s="1371"/>
      <c r="N311" s="1371"/>
      <c r="O311" s="1371"/>
      <c r="P311" s="1371"/>
      <c r="Q311" s="1371"/>
      <c r="R311" s="1371"/>
      <c r="S311" s="3"/>
      <c r="T311" s="3" t="s">
        <v>364</v>
      </c>
      <c r="V311" s="3"/>
      <c r="W311" s="3"/>
      <c r="X311" s="3"/>
      <c r="Y311" s="3"/>
      <c r="AA311" s="1371" t="s">
        <v>2668</v>
      </c>
      <c r="AB311" s="1371"/>
      <c r="AC311" s="1371"/>
      <c r="AD311" s="1371"/>
      <c r="AE311" s="1371"/>
      <c r="AF311" s="1371"/>
      <c r="AG311" s="1371"/>
      <c r="AH311" s="1371"/>
      <c r="AI311" s="1371"/>
      <c r="AJ311" s="1371"/>
      <c r="AK311" s="1371"/>
    </row>
    <row r="312" spans="2:37" ht="12.95" customHeight="1">
      <c r="B312" s="3" t="s">
        <v>471</v>
      </c>
      <c r="C312" s="3"/>
      <c r="D312" s="3"/>
      <c r="E312" s="3"/>
      <c r="F312" s="3"/>
      <c r="H312" s="1348" t="s">
        <v>2628</v>
      </c>
      <c r="I312" s="1348"/>
      <c r="J312" s="1348"/>
      <c r="K312" s="1348"/>
      <c r="L312" s="1348"/>
      <c r="M312" s="1348"/>
      <c r="N312" s="1348"/>
      <c r="O312" s="1348"/>
      <c r="P312" s="1348"/>
      <c r="Q312" s="1348"/>
      <c r="R312" s="1348"/>
      <c r="S312" s="3"/>
      <c r="T312" s="3" t="s">
        <v>471</v>
      </c>
      <c r="V312" s="3"/>
      <c r="W312" s="3"/>
      <c r="X312" s="3"/>
      <c r="Y312" s="3"/>
      <c r="AA312" s="1348" t="s">
        <v>2669</v>
      </c>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2629</v>
      </c>
      <c r="I313" s="1348"/>
      <c r="J313" s="1348"/>
      <c r="K313" s="1348"/>
      <c r="L313" s="1348"/>
      <c r="M313" s="1348"/>
      <c r="N313" s="1348"/>
      <c r="O313" s="1348"/>
      <c r="P313" s="1348"/>
      <c r="Q313" s="1348"/>
      <c r="R313" s="1348"/>
      <c r="S313" s="3"/>
      <c r="T313" s="3" t="s">
        <v>75</v>
      </c>
      <c r="V313" s="3"/>
      <c r="W313" s="3"/>
      <c r="X313" s="3"/>
      <c r="Y313" s="3"/>
      <c r="AA313" s="1348" t="s">
        <v>2670</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2630</v>
      </c>
      <c r="I314" s="1348"/>
      <c r="J314" s="1348"/>
      <c r="K314" s="1348"/>
      <c r="L314" s="1348"/>
      <c r="M314" s="1348"/>
      <c r="N314" s="1348"/>
      <c r="O314" s="1348"/>
      <c r="P314" s="1348"/>
      <c r="Q314" s="1348"/>
      <c r="R314" s="1348"/>
      <c r="S314" s="3"/>
      <c r="T314" s="3" t="s">
        <v>87</v>
      </c>
      <c r="V314" s="3"/>
      <c r="W314" s="3"/>
      <c r="X314" s="3"/>
      <c r="Y314" s="3"/>
      <c r="AA314" s="1348" t="s">
        <v>2671</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t="s">
        <v>2631</v>
      </c>
      <c r="I315" s="1423"/>
      <c r="J315" s="1423"/>
      <c r="K315" s="1423"/>
      <c r="L315" s="1423"/>
      <c r="M315" s="1423"/>
      <c r="N315" s="4" t="s">
        <v>205</v>
      </c>
      <c r="O315" s="4"/>
      <c r="P315" s="1417"/>
      <c r="Q315" s="1417"/>
      <c r="R315" s="1417"/>
      <c r="S315" s="3"/>
      <c r="T315" s="3" t="s">
        <v>88</v>
      </c>
      <c r="V315" s="3"/>
      <c r="W315" s="3"/>
      <c r="X315" s="3"/>
      <c r="Y315" s="3"/>
      <c r="AA315" s="1423" t="s">
        <v>2672</v>
      </c>
      <c r="AB315" s="1423"/>
      <c r="AC315" s="1423"/>
      <c r="AD315" s="1423"/>
      <c r="AE315" s="1423"/>
      <c r="AF315" s="1423"/>
      <c r="AG315" s="4" t="s">
        <v>205</v>
      </c>
      <c r="AH315" s="4"/>
      <c r="AI315" s="1417"/>
      <c r="AJ315" s="1417"/>
      <c r="AK315" s="1417"/>
    </row>
    <row r="316" spans="2:37" ht="12.95" customHeight="1">
      <c r="B316" s="3" t="s">
        <v>89</v>
      </c>
      <c r="C316" s="3"/>
      <c r="D316" s="3"/>
      <c r="E316" s="3"/>
      <c r="F316" s="3"/>
      <c r="G316" s="3"/>
      <c r="H316" s="1346" t="s">
        <v>2632</v>
      </c>
      <c r="I316" s="1346"/>
      <c r="J316" s="1346"/>
      <c r="K316" s="1346"/>
      <c r="L316" s="1346"/>
      <c r="M316" s="1346"/>
      <c r="N316" s="4"/>
      <c r="O316" s="4"/>
      <c r="P316" s="35"/>
      <c r="Q316" s="35"/>
      <c r="R316" s="35"/>
      <c r="S316" s="3"/>
      <c r="T316" s="3" t="s">
        <v>89</v>
      </c>
      <c r="V316" s="3"/>
      <c r="W316" s="3"/>
      <c r="X316" s="3"/>
      <c r="Y316" s="3"/>
      <c r="AA316" s="1346" t="s">
        <v>591</v>
      </c>
      <c r="AB316" s="1346"/>
      <c r="AC316" s="1346"/>
      <c r="AD316" s="1346"/>
      <c r="AE316" s="1346"/>
      <c r="AF316" s="1346"/>
      <c r="AG316" s="4"/>
      <c r="AH316" s="4"/>
      <c r="AI316" s="35"/>
      <c r="AJ316" s="35"/>
      <c r="AK316" s="35"/>
    </row>
    <row r="317" spans="2:37" ht="12.95" customHeight="1">
      <c r="B317" s="3" t="s">
        <v>76</v>
      </c>
      <c r="C317" s="3"/>
      <c r="D317" s="3"/>
      <c r="E317" s="3"/>
      <c r="F317" s="3"/>
      <c r="G317" s="3"/>
      <c r="H317" s="1348" t="s">
        <v>2674</v>
      </c>
      <c r="I317" s="1348"/>
      <c r="J317" s="1348"/>
      <c r="K317" s="1348"/>
      <c r="L317" s="1348"/>
      <c r="M317" s="1348"/>
      <c r="N317" s="1371"/>
      <c r="O317" s="1371"/>
      <c r="P317" s="1371"/>
      <c r="Q317" s="1371"/>
      <c r="R317" s="1371"/>
      <c r="S317" s="3"/>
      <c r="T317" s="3" t="s">
        <v>76</v>
      </c>
      <c r="V317" s="3"/>
      <c r="W317" s="3"/>
      <c r="X317" s="3"/>
      <c r="Y317" s="3"/>
      <c r="AA317" s="1348" t="s">
        <v>2673</v>
      </c>
      <c r="AB317" s="1348"/>
      <c r="AC317" s="1348"/>
      <c r="AD317" s="1348"/>
      <c r="AE317" s="1348"/>
      <c r="AF317" s="1348"/>
      <c r="AG317" s="1371"/>
      <c r="AH317" s="1371"/>
      <c r="AI317" s="1371"/>
      <c r="AJ317" s="1371"/>
      <c r="AK317" s="1371"/>
    </row>
    <row r="318" spans="2:37" ht="12.95" customHeight="1"/>
    <row r="319" spans="2:37" ht="12.95" customHeight="1">
      <c r="B319" s="4" t="s">
        <v>908</v>
      </c>
      <c r="C319" s="3"/>
      <c r="D319" s="3"/>
      <c r="E319" s="3"/>
      <c r="F319" s="3"/>
      <c r="H319" s="1371" t="s">
        <v>2633</v>
      </c>
      <c r="I319" s="1371"/>
      <c r="J319" s="1371"/>
      <c r="K319" s="1371"/>
      <c r="L319" s="1371"/>
      <c r="M319" s="1371"/>
      <c r="N319" s="1371"/>
      <c r="O319" s="1371"/>
      <c r="P319" s="1371"/>
      <c r="Q319" s="1371"/>
      <c r="R319" s="1371"/>
      <c r="T319" s="3" t="s">
        <v>365</v>
      </c>
      <c r="V319" s="3"/>
      <c r="W319" s="3"/>
      <c r="X319" s="3"/>
      <c r="Y319" s="3"/>
      <c r="AA319" s="1371" t="s">
        <v>2684</v>
      </c>
      <c r="AB319" s="1371"/>
      <c r="AC319" s="1371"/>
      <c r="AD319" s="1371"/>
      <c r="AE319" s="1371"/>
      <c r="AF319" s="1371"/>
      <c r="AG319" s="1371"/>
      <c r="AH319" s="1371"/>
      <c r="AI319" s="1371"/>
      <c r="AJ319" s="1371"/>
      <c r="AK319" s="1371"/>
    </row>
    <row r="320" spans="2:37" ht="12.95" customHeight="1">
      <c r="B320" s="3" t="s">
        <v>471</v>
      </c>
      <c r="C320" s="3"/>
      <c r="D320" s="3"/>
      <c r="E320" s="3"/>
      <c r="F320" s="3"/>
      <c r="H320" s="1348" t="s">
        <v>2634</v>
      </c>
      <c r="I320" s="1348"/>
      <c r="J320" s="1348"/>
      <c r="K320" s="1348"/>
      <c r="L320" s="1348"/>
      <c r="M320" s="1348"/>
      <c r="N320" s="1348"/>
      <c r="O320" s="1348"/>
      <c r="P320" s="1348"/>
      <c r="Q320" s="1348"/>
      <c r="R320" s="1348"/>
      <c r="T320" s="3" t="s">
        <v>471</v>
      </c>
      <c r="V320" s="3"/>
      <c r="W320" s="3"/>
      <c r="X320" s="3"/>
      <c r="Y320" s="3"/>
      <c r="AA320" s="1348" t="s">
        <v>2685</v>
      </c>
      <c r="AB320" s="1348"/>
      <c r="AC320" s="1348"/>
      <c r="AD320" s="1348"/>
      <c r="AE320" s="1348"/>
      <c r="AF320" s="1348"/>
      <c r="AG320" s="1348"/>
      <c r="AH320" s="1348"/>
      <c r="AI320" s="1348"/>
      <c r="AJ320" s="1348"/>
      <c r="AK320" s="1348"/>
    </row>
    <row r="321" spans="2:37" ht="12.95" customHeight="1">
      <c r="B321" s="3" t="s">
        <v>472</v>
      </c>
      <c r="C321" s="3"/>
      <c r="D321" s="3"/>
      <c r="E321" s="3"/>
      <c r="F321" s="3"/>
      <c r="H321" s="1348" t="s">
        <v>2635</v>
      </c>
      <c r="I321" s="1348"/>
      <c r="J321" s="1348"/>
      <c r="K321" s="1348"/>
      <c r="L321" s="1348"/>
      <c r="M321" s="1348"/>
      <c r="N321" s="1348"/>
      <c r="O321" s="1348"/>
      <c r="P321" s="1348"/>
      <c r="Q321" s="1348"/>
      <c r="R321" s="1348"/>
      <c r="T321" s="3" t="s">
        <v>75</v>
      </c>
      <c r="V321" s="3"/>
      <c r="W321" s="3"/>
      <c r="X321" s="3"/>
      <c r="Y321" s="3"/>
      <c r="AA321" s="1348" t="s">
        <v>2686</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2675</v>
      </c>
      <c r="I322" s="1348"/>
      <c r="J322" s="1348"/>
      <c r="K322" s="1348"/>
      <c r="L322" s="1348"/>
      <c r="M322" s="1348"/>
      <c r="N322" s="1348"/>
      <c r="O322" s="1348"/>
      <c r="P322" s="1348"/>
      <c r="Q322" s="1348"/>
      <c r="R322" s="1348"/>
      <c r="T322" s="3" t="s">
        <v>87</v>
      </c>
      <c r="V322" s="3"/>
      <c r="W322" s="3"/>
      <c r="X322" s="3"/>
      <c r="Y322" s="3"/>
      <c r="AA322" s="1348" t="s">
        <v>2687</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t="s">
        <v>2676</v>
      </c>
      <c r="I323" s="1423"/>
      <c r="J323" s="1423"/>
      <c r="K323" s="1423"/>
      <c r="L323" s="1423"/>
      <c r="M323" s="1423"/>
      <c r="N323" s="4" t="s">
        <v>205</v>
      </c>
      <c r="O323" s="4"/>
      <c r="P323" s="1417">
        <v>413</v>
      </c>
      <c r="Q323" s="1417"/>
      <c r="R323" s="1417"/>
      <c r="S323" s="3"/>
      <c r="T323" s="3" t="s">
        <v>88</v>
      </c>
      <c r="V323" s="3"/>
      <c r="W323" s="3"/>
      <c r="X323" s="3"/>
      <c r="Y323" s="3"/>
      <c r="AA323" s="1423" t="s">
        <v>2688</v>
      </c>
      <c r="AB323" s="1423"/>
      <c r="AC323" s="1423"/>
      <c r="AD323" s="1423"/>
      <c r="AE323" s="1423"/>
      <c r="AF323" s="1423"/>
      <c r="AG323" s="4" t="s">
        <v>205</v>
      </c>
      <c r="AH323" s="4"/>
      <c r="AI323" s="1417"/>
      <c r="AJ323" s="1417"/>
      <c r="AK323" s="1417"/>
    </row>
    <row r="324" spans="2:37" ht="12.95" customHeight="1">
      <c r="B324" s="3" t="s">
        <v>89</v>
      </c>
      <c r="C324" s="3"/>
      <c r="D324" s="3"/>
      <c r="E324" s="3"/>
      <c r="F324" s="3"/>
      <c r="G324" s="3"/>
      <c r="H324" s="1346" t="s">
        <v>591</v>
      </c>
      <c r="I324" s="1346"/>
      <c r="J324" s="1346"/>
      <c r="K324" s="1346"/>
      <c r="L324" s="1346"/>
      <c r="M324" s="1346"/>
      <c r="N324" s="4"/>
      <c r="O324" s="4"/>
      <c r="P324" s="35"/>
      <c r="Q324" s="35"/>
      <c r="R324" s="35"/>
      <c r="S324" s="3"/>
      <c r="T324" s="3" t="s">
        <v>89</v>
      </c>
      <c r="V324" s="3"/>
      <c r="W324" s="3"/>
      <c r="X324" s="3"/>
      <c r="Y324" s="3"/>
      <c r="AA324" s="1346" t="s">
        <v>591</v>
      </c>
      <c r="AB324" s="1346"/>
      <c r="AC324" s="1346"/>
      <c r="AD324" s="1346"/>
      <c r="AE324" s="1346"/>
      <c r="AF324" s="1346"/>
      <c r="AG324" s="4"/>
      <c r="AH324" s="4"/>
      <c r="AI324" s="35"/>
      <c r="AJ324" s="35"/>
      <c r="AK324" s="35"/>
    </row>
    <row r="325" spans="2:37" ht="12.95" customHeight="1">
      <c r="B325" s="3" t="s">
        <v>76</v>
      </c>
      <c r="C325" s="3"/>
      <c r="D325" s="3"/>
      <c r="E325" s="3"/>
      <c r="F325" s="3"/>
      <c r="G325" s="3"/>
      <c r="H325" s="1348" t="s">
        <v>2677</v>
      </c>
      <c r="I325" s="1348"/>
      <c r="J325" s="1348"/>
      <c r="K325" s="1348"/>
      <c r="L325" s="1348"/>
      <c r="M325" s="1348"/>
      <c r="N325" s="1371"/>
      <c r="O325" s="1371"/>
      <c r="P325" s="1371"/>
      <c r="Q325" s="1371"/>
      <c r="R325" s="1371"/>
      <c r="S325" s="3"/>
      <c r="T325" s="3" t="s">
        <v>76</v>
      </c>
      <c r="V325" s="3"/>
      <c r="W325" s="3"/>
      <c r="X325" s="3"/>
      <c r="Y325" s="3"/>
      <c r="AA325" s="1348" t="s">
        <v>2689</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1" t="s">
        <v>2678</v>
      </c>
      <c r="I327" s="1371"/>
      <c r="J327" s="1371"/>
      <c r="K327" s="1371"/>
      <c r="L327" s="1371"/>
      <c r="M327" s="1371"/>
      <c r="N327" s="1371"/>
      <c r="O327" s="1371"/>
      <c r="P327" s="1371"/>
      <c r="Q327" s="1371"/>
      <c r="R327" s="1371"/>
      <c r="T327" s="3" t="s">
        <v>367</v>
      </c>
      <c r="V327" s="3"/>
      <c r="W327" s="3"/>
      <c r="X327" s="3"/>
      <c r="Y327" s="3"/>
      <c r="AA327" s="1416" t="s">
        <v>591</v>
      </c>
      <c r="AB327" s="1371"/>
      <c r="AC327" s="1371"/>
      <c r="AD327" s="1371"/>
      <c r="AE327" s="1371"/>
      <c r="AF327" s="1371"/>
      <c r="AG327" s="1371"/>
      <c r="AH327" s="1371"/>
      <c r="AI327" s="1371"/>
      <c r="AJ327" s="1371"/>
      <c r="AK327" s="1371"/>
    </row>
    <row r="328" spans="2:37" ht="12.95" customHeight="1">
      <c r="B328" s="3" t="s">
        <v>471</v>
      </c>
      <c r="C328" s="3"/>
      <c r="D328" s="3"/>
      <c r="E328" s="3"/>
      <c r="F328" s="3"/>
      <c r="H328" s="1348" t="s">
        <v>2679</v>
      </c>
      <c r="I328" s="1348"/>
      <c r="J328" s="1348"/>
      <c r="K328" s="1348"/>
      <c r="L328" s="1348"/>
      <c r="M328" s="1348"/>
      <c r="N328" s="1348"/>
      <c r="O328" s="1348"/>
      <c r="P328" s="1348"/>
      <c r="Q328" s="1348"/>
      <c r="R328" s="1348"/>
      <c r="T328" s="3" t="s">
        <v>471</v>
      </c>
      <c r="V328" s="3"/>
      <c r="W328" s="3"/>
      <c r="X328" s="3"/>
      <c r="Y328" s="3"/>
      <c r="AA328" s="1348"/>
      <c r="AB328" s="1348"/>
      <c r="AC328" s="1348"/>
      <c r="AD328" s="1348"/>
      <c r="AE328" s="1348"/>
      <c r="AF328" s="1348"/>
      <c r="AG328" s="1348"/>
      <c r="AH328" s="1348"/>
      <c r="AI328" s="1348"/>
      <c r="AJ328" s="1348"/>
      <c r="AK328" s="1348"/>
    </row>
    <row r="329" spans="2:37" ht="12.95" customHeight="1">
      <c r="B329" s="3" t="s">
        <v>472</v>
      </c>
      <c r="C329" s="3"/>
      <c r="D329" s="3"/>
      <c r="E329" s="3"/>
      <c r="F329" s="3"/>
      <c r="H329" s="1348" t="s">
        <v>2663</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t="s">
        <v>2680</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t="s">
        <v>2681</v>
      </c>
      <c r="I331" s="1423"/>
      <c r="J331" s="1423"/>
      <c r="K331" s="1423"/>
      <c r="L331" s="1423"/>
      <c r="M331" s="1423"/>
      <c r="N331" s="4" t="s">
        <v>205</v>
      </c>
      <c r="O331" s="4"/>
      <c r="P331" s="1417"/>
      <c r="Q331" s="1417"/>
      <c r="R331" s="1417"/>
      <c r="S331" s="3"/>
      <c r="T331" s="3" t="s">
        <v>88</v>
      </c>
      <c r="V331" s="3"/>
      <c r="W331" s="3"/>
      <c r="X331" s="3"/>
      <c r="Y331" s="3"/>
      <c r="AA331" s="1423"/>
      <c r="AB331" s="1423"/>
      <c r="AC331" s="1423"/>
      <c r="AD331" s="1423"/>
      <c r="AE331" s="1423"/>
      <c r="AF331" s="1423"/>
      <c r="AG331" s="4" t="s">
        <v>205</v>
      </c>
      <c r="AH331" s="4"/>
      <c r="AI331" s="1417"/>
      <c r="AJ331" s="1417"/>
      <c r="AK331" s="1417"/>
    </row>
    <row r="332" spans="2:37" ht="12.95" customHeight="1">
      <c r="B332" s="3" t="s">
        <v>89</v>
      </c>
      <c r="C332" s="3"/>
      <c r="D332" s="3"/>
      <c r="E332" s="3"/>
      <c r="F332" s="3"/>
      <c r="G332" s="3"/>
      <c r="H332" s="1346" t="s">
        <v>2682</v>
      </c>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2683</v>
      </c>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864" t="s">
        <v>2730</v>
      </c>
      <c r="I335" s="1865"/>
      <c r="J335" s="1865"/>
      <c r="K335" s="1865"/>
      <c r="L335" s="1865"/>
      <c r="M335" s="1865"/>
      <c r="N335" s="1865"/>
      <c r="O335" s="1865"/>
      <c r="P335" s="1865"/>
      <c r="Q335" s="1865"/>
      <c r="R335" s="1865"/>
      <c r="T335" s="204" t="s">
        <v>886</v>
      </c>
      <c r="V335" s="3"/>
      <c r="W335" s="3"/>
      <c r="X335" s="3"/>
      <c r="Y335" s="3"/>
      <c r="AA335" s="1371" t="s">
        <v>2639</v>
      </c>
      <c r="AB335" s="1371"/>
      <c r="AC335" s="1371"/>
      <c r="AD335" s="1371"/>
      <c r="AE335" s="1371"/>
      <c r="AF335" s="1371"/>
      <c r="AG335" s="1371"/>
      <c r="AH335" s="1371"/>
      <c r="AI335" s="1371"/>
      <c r="AJ335" s="1371"/>
      <c r="AK335" s="1371"/>
    </row>
    <row r="336" spans="2:37" ht="12.95" customHeight="1">
      <c r="B336" s="3" t="s">
        <v>471</v>
      </c>
      <c r="C336" s="3"/>
      <c r="D336" s="3"/>
      <c r="E336" s="3"/>
      <c r="F336" s="3"/>
      <c r="H336" s="1443" t="s">
        <v>2731</v>
      </c>
      <c r="I336" s="1348"/>
      <c r="J336" s="1348"/>
      <c r="K336" s="1348"/>
      <c r="L336" s="1348"/>
      <c r="M336" s="1348"/>
      <c r="N336" s="1348"/>
      <c r="O336" s="1348"/>
      <c r="P336" s="1348"/>
      <c r="Q336" s="1348"/>
      <c r="R336" s="1348"/>
      <c r="T336" s="3" t="s">
        <v>471</v>
      </c>
      <c r="V336" s="3"/>
      <c r="W336" s="3"/>
      <c r="X336" s="3"/>
      <c r="Y336" s="3"/>
      <c r="AA336" s="1348" t="s">
        <v>2636</v>
      </c>
      <c r="AB336" s="1348"/>
      <c r="AC336" s="1348"/>
      <c r="AD336" s="1348"/>
      <c r="AE336" s="1348"/>
      <c r="AF336" s="1348"/>
      <c r="AG336" s="1348"/>
      <c r="AH336" s="1348"/>
      <c r="AI336" s="1348"/>
      <c r="AJ336" s="1348"/>
      <c r="AK336" s="1348"/>
    </row>
    <row r="337" spans="1:66" ht="12.95" customHeight="1">
      <c r="B337" s="3" t="s">
        <v>75</v>
      </c>
      <c r="C337" s="3"/>
      <c r="D337" s="3"/>
      <c r="E337" s="3"/>
      <c r="F337" s="3"/>
      <c r="H337" s="1443" t="s">
        <v>2732</v>
      </c>
      <c r="I337" s="1348"/>
      <c r="J337" s="1348"/>
      <c r="K337" s="1348"/>
      <c r="L337" s="1348"/>
      <c r="M337" s="1348"/>
      <c r="N337" s="1348"/>
      <c r="O337" s="1348"/>
      <c r="P337" s="1348"/>
      <c r="Q337" s="1348"/>
      <c r="R337" s="1348"/>
      <c r="T337" s="3" t="s">
        <v>75</v>
      </c>
      <c r="V337" s="3"/>
      <c r="W337" s="3"/>
      <c r="X337" s="3"/>
      <c r="Y337" s="3"/>
      <c r="AA337" s="1348" t="s">
        <v>2637</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443" t="s">
        <v>2733</v>
      </c>
      <c r="I338" s="1348"/>
      <c r="J338" s="1348"/>
      <c r="K338" s="1348"/>
      <c r="L338" s="1348"/>
      <c r="M338" s="1348"/>
      <c r="N338" s="1348"/>
      <c r="O338" s="1348"/>
      <c r="P338" s="1348"/>
      <c r="Q338" s="1348"/>
      <c r="R338" s="1348"/>
      <c r="T338" s="3" t="s">
        <v>87</v>
      </c>
      <c r="V338" s="3"/>
      <c r="W338" s="3"/>
      <c r="X338" s="3"/>
      <c r="Y338" s="3"/>
      <c r="AA338" s="1348" t="s">
        <v>2638</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805" t="s">
        <v>2734</v>
      </c>
      <c r="I339" s="1805"/>
      <c r="J339" s="1805"/>
      <c r="K339" s="1805"/>
      <c r="L339" s="1805"/>
      <c r="M339" s="1805"/>
      <c r="N339" s="4" t="s">
        <v>205</v>
      </c>
      <c r="O339" s="4"/>
      <c r="P339" s="1417"/>
      <c r="Q339" s="1417"/>
      <c r="R339" s="1417"/>
      <c r="S339" s="3"/>
      <c r="T339" s="3" t="s">
        <v>88</v>
      </c>
      <c r="V339" s="3"/>
      <c r="W339" s="3"/>
      <c r="X339" s="3"/>
      <c r="Y339" s="3"/>
      <c r="AA339" s="1423" t="s">
        <v>2640</v>
      </c>
      <c r="AB339" s="1423"/>
      <c r="AC339" s="1423"/>
      <c r="AD339" s="1423"/>
      <c r="AE339" s="1423"/>
      <c r="AF339" s="1423"/>
      <c r="AG339" s="4" t="s">
        <v>205</v>
      </c>
      <c r="AH339" s="4"/>
      <c r="AI339" s="1417"/>
      <c r="AJ339" s="1417"/>
      <c r="AK339" s="1417"/>
    </row>
    <row r="340" spans="1:66" ht="12.95" customHeight="1">
      <c r="B340" s="3" t="s">
        <v>89</v>
      </c>
      <c r="C340" s="3"/>
      <c r="D340" s="3"/>
      <c r="E340" s="3"/>
      <c r="F340" s="3"/>
      <c r="G340" s="3"/>
      <c r="H340" s="1665" t="s">
        <v>591</v>
      </c>
      <c r="I340" s="1665"/>
      <c r="J340" s="1665"/>
      <c r="K340" s="1665"/>
      <c r="L340" s="1665"/>
      <c r="M340" s="1665"/>
      <c r="N340" s="4"/>
      <c r="O340" s="4"/>
      <c r="P340" s="35"/>
      <c r="Q340" s="35"/>
      <c r="R340" s="35"/>
      <c r="S340" s="3"/>
      <c r="T340" s="3" t="s">
        <v>89</v>
      </c>
      <c r="V340" s="3"/>
      <c r="W340" s="3"/>
      <c r="X340" s="3"/>
      <c r="Y340" s="3"/>
      <c r="AA340" s="1346" t="s">
        <v>591</v>
      </c>
      <c r="AB340" s="1346"/>
      <c r="AC340" s="1346"/>
      <c r="AD340" s="1346"/>
      <c r="AE340" s="1346"/>
      <c r="AF340" s="1346"/>
      <c r="AG340" s="4"/>
      <c r="AH340" s="4"/>
      <c r="AI340" s="35"/>
      <c r="AJ340" s="35"/>
      <c r="AK340" s="35"/>
    </row>
    <row r="341" spans="1:66" ht="12.95" customHeight="1">
      <c r="B341" s="3" t="s">
        <v>76</v>
      </c>
      <c r="C341" s="3"/>
      <c r="D341" s="3"/>
      <c r="E341" s="3"/>
      <c r="F341" s="3"/>
      <c r="G341" s="3"/>
      <c r="H341" s="1443" t="s">
        <v>2735</v>
      </c>
      <c r="I341" s="1348"/>
      <c r="J341" s="1348"/>
      <c r="K341" s="1348"/>
      <c r="L341" s="1348"/>
      <c r="M341" s="1348"/>
      <c r="N341" s="1371"/>
      <c r="O341" s="1371"/>
      <c r="P341" s="1371"/>
      <c r="Q341" s="1371"/>
      <c r="R341" s="1371"/>
      <c r="S341" s="3"/>
      <c r="T341" s="3" t="s">
        <v>76</v>
      </c>
      <c r="V341" s="3"/>
      <c r="W341" s="3"/>
      <c r="X341" s="3"/>
      <c r="Y341" s="3"/>
      <c r="AA341" s="1348" t="s">
        <v>2641</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1" t="s">
        <v>591</v>
      </c>
      <c r="Q343" s="1371"/>
      <c r="R343" s="1371"/>
      <c r="S343" s="1371"/>
      <c r="T343" s="1371"/>
      <c r="U343" s="1371"/>
      <c r="V343" s="1371"/>
      <c r="W343" s="1371"/>
      <c r="X343" s="1371"/>
      <c r="Y343" s="1371"/>
      <c r="Z343" s="1371"/>
      <c r="AA343" s="1371"/>
      <c r="AB343" s="1371"/>
      <c r="AC343" s="1371"/>
      <c r="AD343" s="1371"/>
      <c r="AE343" s="1371"/>
      <c r="BN343" t="s">
        <v>669</v>
      </c>
    </row>
    <row r="344" spans="1:66" ht="12.95"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205</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542</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2" t="s">
        <v>545</v>
      </c>
      <c r="N355" s="1332"/>
      <c r="P355" t="s">
        <v>1650</v>
      </c>
      <c r="AJ355" s="1332" t="s">
        <v>591</v>
      </c>
      <c r="AK355" s="1332"/>
    </row>
    <row r="356" spans="1:46" ht="12.95" customHeight="1">
      <c r="D356" s="3" t="s">
        <v>1639</v>
      </c>
      <c r="M356" s="1332" t="s">
        <v>591</v>
      </c>
      <c r="N356" s="1332"/>
      <c r="P356" s="3" t="s">
        <v>1719</v>
      </c>
      <c r="AJ356" s="1458"/>
      <c r="AK356" s="1458"/>
    </row>
    <row r="357" spans="1:46" ht="12.95" customHeight="1">
      <c r="D357" s="3" t="s">
        <v>704</v>
      </c>
      <c r="M357" s="1332" t="s">
        <v>591</v>
      </c>
      <c r="N357" s="1332"/>
      <c r="P357" t="s">
        <v>1649</v>
      </c>
      <c r="AJ357" s="1332" t="s">
        <v>591</v>
      </c>
      <c r="AK357" s="1332"/>
    </row>
    <row r="358" spans="1:46" ht="12.95" customHeight="1">
      <c r="D358" s="3" t="s">
        <v>705</v>
      </c>
      <c r="M358" s="1332" t="s">
        <v>591</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448</v>
      </c>
      <c r="F370" s="4"/>
      <c r="G370" s="4"/>
      <c r="H370" s="4"/>
      <c r="I370" s="4"/>
      <c r="J370" s="4"/>
      <c r="K370" s="4"/>
      <c r="L370" s="4"/>
      <c r="N370" s="1696"/>
      <c r="O370" s="1696"/>
      <c r="P370" s="1696"/>
      <c r="Q370" s="1696"/>
      <c r="R370" s="4"/>
      <c r="U370" s="4" t="s">
        <v>449</v>
      </c>
      <c r="V370" s="4"/>
      <c r="W370" s="4"/>
      <c r="X370" s="4"/>
      <c r="Y370" s="4"/>
      <c r="Z370" s="4"/>
      <c r="AA370" s="4"/>
      <c r="AB370" s="4"/>
      <c r="AC370" s="1696"/>
      <c r="AD370" s="1696"/>
      <c r="AE370" s="1696"/>
      <c r="AF370" s="1696"/>
    </row>
    <row r="371" spans="1:34" ht="12.95" customHeight="1">
      <c r="E371" s="4" t="s">
        <v>450</v>
      </c>
      <c r="F371" s="4"/>
      <c r="G371" s="4"/>
      <c r="H371" s="4"/>
      <c r="I371" s="4"/>
      <c r="J371" s="4"/>
      <c r="K371" s="4"/>
      <c r="L371" s="4"/>
      <c r="N371" s="1696"/>
      <c r="O371" s="1696"/>
      <c r="P371" s="1696"/>
      <c r="Q371" s="1696"/>
      <c r="R371" s="4"/>
      <c r="U371" s="4" t="s">
        <v>0</v>
      </c>
      <c r="V371" s="4"/>
      <c r="W371" s="4"/>
      <c r="X371" s="4"/>
      <c r="Y371" s="4"/>
      <c r="Z371" s="4"/>
      <c r="AA371" s="4"/>
      <c r="AB371" s="4"/>
      <c r="AC371" s="1696"/>
      <c r="AD371" s="1696"/>
      <c r="AE371" s="1696"/>
      <c r="AF371" s="1696"/>
    </row>
    <row r="372" spans="1:34" ht="12.95" customHeight="1">
      <c r="E372" s="4" t="s">
        <v>1</v>
      </c>
      <c r="F372" s="4"/>
      <c r="G372" s="4"/>
      <c r="H372" s="4"/>
      <c r="I372" s="4"/>
      <c r="J372" s="4"/>
      <c r="K372" s="4"/>
      <c r="L372" s="4"/>
      <c r="N372" s="1696"/>
      <c r="O372" s="1696"/>
      <c r="P372" s="1696"/>
      <c r="Q372" s="1696"/>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6"/>
      <c r="T377" s="1816"/>
      <c r="U377" s="1" t="s">
        <v>305</v>
      </c>
      <c r="V377" s="1816"/>
      <c r="W377" s="1816"/>
      <c r="Y377" t="s">
        <v>2080</v>
      </c>
      <c r="AC377" s="27" t="s">
        <v>304</v>
      </c>
      <c r="AD377" s="1816"/>
      <c r="AE377" s="1816"/>
      <c r="AF377" s="1" t="s">
        <v>305</v>
      </c>
      <c r="AG377" s="1816"/>
      <c r="AH377" s="1816"/>
    </row>
    <row r="378" spans="1:34" ht="12.95" customHeight="1">
      <c r="E378" s="4" t="s">
        <v>987</v>
      </c>
      <c r="F378" s="4"/>
      <c r="G378" s="4"/>
      <c r="H378" s="4"/>
      <c r="I378" s="4"/>
      <c r="J378" s="4"/>
      <c r="K378" s="4"/>
      <c r="L378" s="4"/>
      <c r="N378" s="1816"/>
      <c r="O378" s="1816"/>
      <c r="P378" s="1816"/>
    </row>
    <row r="379" spans="1:34" ht="12.95" customHeight="1">
      <c r="E379" s="204" t="s">
        <v>2086</v>
      </c>
      <c r="F379" s="4"/>
      <c r="G379" s="4"/>
      <c r="H379" s="4"/>
      <c r="I379" s="4"/>
      <c r="J379" s="4"/>
      <c r="K379" s="4"/>
      <c r="L379" s="4"/>
      <c r="AG379" s="1806" t="s">
        <v>591</v>
      </c>
      <c r="AH379" s="1806"/>
    </row>
    <row r="380" spans="1:34" ht="12.95" customHeight="1">
      <c r="E380" s="4"/>
      <c r="F380" s="4"/>
      <c r="G380" s="4" t="s">
        <v>2087</v>
      </c>
      <c r="H380" s="4"/>
      <c r="I380" s="4"/>
      <c r="J380" s="4"/>
      <c r="K380" s="4"/>
      <c r="L380" s="4"/>
      <c r="AG380" s="1806" t="s">
        <v>591</v>
      </c>
      <c r="AH380" s="1806"/>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416" t="s">
        <v>2646</v>
      </c>
      <c r="K385" s="1371"/>
      <c r="L385" s="1371"/>
      <c r="M385" s="1371"/>
      <c r="N385" s="1371"/>
      <c r="O385" s="1371"/>
      <c r="P385" s="1371"/>
      <c r="Q385" s="1371"/>
      <c r="R385" s="1371"/>
      <c r="S385" s="1371"/>
      <c r="T385" s="1371"/>
      <c r="U385" s="1371"/>
      <c r="V385" s="8" t="s">
        <v>83</v>
      </c>
      <c r="W385" s="8"/>
      <c r="X385" s="8"/>
      <c r="Y385" s="8"/>
      <c r="Z385" s="8"/>
      <c r="AA385" s="8"/>
      <c r="AB385" s="8"/>
      <c r="AC385" s="1371" t="s">
        <v>2647</v>
      </c>
      <c r="AD385" s="1371"/>
      <c r="AE385" s="1371"/>
      <c r="AF385" s="1371"/>
      <c r="AG385" s="1371"/>
      <c r="AH385" s="1371"/>
      <c r="AI385" s="1371"/>
      <c r="AJ385" s="1371"/>
    </row>
    <row r="386" spans="4:36" ht="12.95" customHeight="1">
      <c r="D386" s="3" t="s">
        <v>1182</v>
      </c>
      <c r="J386" s="1443" t="s">
        <v>2647</v>
      </c>
      <c r="K386" s="1348"/>
      <c r="L386" s="1348"/>
      <c r="M386" s="1348"/>
      <c r="N386" s="1348"/>
      <c r="O386" s="1348"/>
      <c r="P386" s="1348"/>
      <c r="Q386" s="1348"/>
      <c r="R386" s="1348"/>
      <c r="S386" s="1348"/>
      <c r="T386" s="1348"/>
      <c r="U386" s="1348"/>
      <c r="V386" s="3" t="s">
        <v>1182</v>
      </c>
      <c r="W386" s="8"/>
      <c r="X386" s="8"/>
      <c r="Y386" s="8"/>
      <c r="Z386" s="8"/>
      <c r="AA386" s="8"/>
      <c r="AB386" s="8"/>
      <c r="AC386" s="1371"/>
      <c r="AD386" s="1371"/>
      <c r="AE386" s="1371"/>
      <c r="AF386" s="1371"/>
      <c r="AG386" s="1371"/>
      <c r="AH386" s="1371"/>
      <c r="AI386" s="1371"/>
      <c r="AJ386" s="1371"/>
    </row>
    <row r="387" spans="4:36" ht="12.95" customHeight="1">
      <c r="D387" s="3" t="s">
        <v>441</v>
      </c>
      <c r="J387" s="1443" t="s">
        <v>440</v>
      </c>
      <c r="K387" s="1348"/>
      <c r="L387" s="1348"/>
      <c r="M387" s="1348"/>
      <c r="N387" s="1348"/>
      <c r="O387" s="1348"/>
      <c r="P387" s="1348"/>
      <c r="Q387" s="1348"/>
      <c r="R387" s="1348"/>
      <c r="S387" s="1348"/>
      <c r="T387" s="1348"/>
      <c r="U387" s="1348"/>
      <c r="V387" s="3" t="s">
        <v>441</v>
      </c>
      <c r="W387" s="8"/>
      <c r="X387" s="8"/>
      <c r="Y387" s="8"/>
      <c r="Z387" s="8"/>
      <c r="AA387" s="8"/>
      <c r="AB387" s="8"/>
      <c r="AC387" s="1371" t="s">
        <v>440</v>
      </c>
      <c r="AD387" s="1371"/>
      <c r="AE387" s="1371"/>
      <c r="AF387" s="1371"/>
      <c r="AG387" s="1371"/>
      <c r="AH387" s="1371"/>
      <c r="AI387" s="1371"/>
      <c r="AJ387" s="1371"/>
    </row>
    <row r="388" spans="4:36" ht="12.95" customHeight="1">
      <c r="D388" t="s">
        <v>1178</v>
      </c>
      <c r="J388" s="1402" t="s">
        <v>2690</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1">
        <v>45385</v>
      </c>
      <c r="R389" s="1751"/>
      <c r="S389" s="1751"/>
      <c r="T389" s="1751"/>
      <c r="U389" s="1751"/>
      <c r="V389" t="s">
        <v>308</v>
      </c>
      <c r="AI389" s="1332" t="s">
        <v>669</v>
      </c>
      <c r="AJ389" s="1332"/>
    </row>
    <row r="390" spans="4:36" ht="12.95" customHeight="1">
      <c r="D390" t="s">
        <v>5</v>
      </c>
      <c r="Q390" s="1537">
        <v>46191</v>
      </c>
      <c r="R390" s="1822"/>
      <c r="S390" s="1822"/>
      <c r="T390" s="1822"/>
      <c r="U390" s="1822"/>
      <c r="W390" s="21" t="s">
        <v>74</v>
      </c>
      <c r="AG390" s="1819"/>
      <c r="AH390" s="1819"/>
      <c r="AI390" s="1819"/>
      <c r="AJ390" s="1819"/>
    </row>
    <row r="391" spans="4:36" ht="12.95" customHeight="1">
      <c r="D391" t="s">
        <v>426</v>
      </c>
      <c r="Q391" s="1830">
        <v>5</v>
      </c>
      <c r="R391" s="1830"/>
      <c r="S391" s="1830"/>
      <c r="T391" s="1830"/>
      <c r="U391" s="1830"/>
      <c r="V391" s="3" t="s">
        <v>1181</v>
      </c>
      <c r="AG391" s="1837">
        <v>46054</v>
      </c>
      <c r="AH391" s="1837"/>
      <c r="AI391" s="1837"/>
      <c r="AJ391" s="1837"/>
    </row>
    <row r="392" spans="4:36" ht="12.95" customHeight="1">
      <c r="D392" t="s">
        <v>88</v>
      </c>
      <c r="I392" s="1423" t="s">
        <v>2649</v>
      </c>
      <c r="J392" s="1423"/>
      <c r="K392" s="1423"/>
      <c r="L392" s="1423"/>
      <c r="M392" s="1423"/>
      <c r="N392" s="1423"/>
      <c r="Q392" s="4" t="s">
        <v>205</v>
      </c>
      <c r="S392" s="1829"/>
      <c r="T392" s="1829"/>
      <c r="U392" s="1829"/>
      <c r="V392" t="s">
        <v>73</v>
      </c>
      <c r="AI392" s="1332" t="s">
        <v>669</v>
      </c>
      <c r="AJ392" s="1332"/>
    </row>
    <row r="393" spans="4:36" ht="12.95" customHeight="1">
      <c r="D393" t="s">
        <v>309</v>
      </c>
      <c r="Q393" s="1408">
        <v>0</v>
      </c>
      <c r="R393" s="1408"/>
      <c r="S393" s="1408"/>
      <c r="T393" s="1408"/>
      <c r="U393" s="1408"/>
      <c r="V393" t="s">
        <v>310</v>
      </c>
      <c r="AG393" s="1819">
        <v>0</v>
      </c>
      <c r="AH393" s="1819"/>
      <c r="AI393" s="1819"/>
      <c r="AJ393" s="1819"/>
    </row>
    <row r="394" spans="4:36" ht="12.95" customHeight="1">
      <c r="D394" t="s">
        <v>311</v>
      </c>
      <c r="Q394" s="1768">
        <v>0</v>
      </c>
      <c r="R394" s="1768"/>
      <c r="S394" s="1768"/>
      <c r="T394" s="1768"/>
      <c r="U394" s="1768"/>
      <c r="V394" t="s">
        <v>1163</v>
      </c>
      <c r="AG394" s="1819">
        <v>0</v>
      </c>
      <c r="AH394" s="1819"/>
      <c r="AI394" s="1819"/>
      <c r="AJ394" s="1819"/>
    </row>
    <row r="395" spans="4:36" ht="12.95" customHeight="1">
      <c r="D395" t="s">
        <v>1162</v>
      </c>
      <c r="AG395" s="1819">
        <v>0</v>
      </c>
      <c r="AH395" s="1819"/>
      <c r="AI395" s="1819"/>
      <c r="AJ395" s="1819"/>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1666</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1660</v>
      </c>
      <c r="S401" s="1750" t="s">
        <v>669</v>
      </c>
      <c r="T401" s="1750"/>
      <c r="U401" s="1750"/>
      <c r="V401" t="s">
        <v>1661</v>
      </c>
      <c r="AG401" s="1824"/>
      <c r="AH401" s="1824"/>
      <c r="AI401" s="1824"/>
      <c r="AJ401" s="1824"/>
    </row>
    <row r="402" spans="1:36" ht="12.95" customHeight="1">
      <c r="D402" s="3" t="s">
        <v>1658</v>
      </c>
      <c r="S402" s="1750" t="s">
        <v>591</v>
      </c>
      <c r="T402" s="1750"/>
      <c r="U402" s="1750"/>
      <c r="V402" t="s">
        <v>1663</v>
      </c>
      <c r="AE402" s="1827"/>
      <c r="AF402" s="1827"/>
      <c r="AG402" s="1827"/>
      <c r="AH402" s="1827"/>
      <c r="AI402" s="1827"/>
      <c r="AJ402" s="1827"/>
    </row>
    <row r="403" spans="1:36" ht="12.95"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1662</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1665</v>
      </c>
      <c r="E405" s="477"/>
      <c r="F405" s="477"/>
      <c r="G405" s="477"/>
      <c r="H405" s="477"/>
      <c r="I405" s="477"/>
      <c r="J405" s="477"/>
      <c r="K405" s="477"/>
      <c r="L405" s="477"/>
      <c r="M405" s="477"/>
      <c r="N405" s="477"/>
      <c r="O405" s="477"/>
      <c r="P405" s="477"/>
      <c r="Q405" s="477"/>
      <c r="R405" s="477"/>
      <c r="S405" s="1828" t="s">
        <v>1184</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6" t="s">
        <v>2691</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545</v>
      </c>
      <c r="S411" s="1332"/>
      <c r="AC411" s="27" t="s">
        <v>570</v>
      </c>
      <c r="AD411" s="1696">
        <v>4</v>
      </c>
      <c r="AE411" s="1696"/>
    </row>
    <row r="412" spans="1:36" ht="12.95" customHeight="1">
      <c r="E412" t="s">
        <v>107</v>
      </c>
      <c r="R412" s="1332" t="s">
        <v>591</v>
      </c>
      <c r="S412" s="1332"/>
      <c r="AC412" s="27" t="s">
        <v>570</v>
      </c>
      <c r="AD412" s="1696"/>
      <c r="AE412" s="1696"/>
    </row>
    <row r="413" spans="1:36" ht="12.95" customHeight="1">
      <c r="E413" t="s">
        <v>108</v>
      </c>
      <c r="S413" s="1332" t="s">
        <v>591</v>
      </c>
      <c r="T413" s="1332"/>
    </row>
    <row r="414" spans="1:36" ht="12.95" customHeight="1">
      <c r="E414" t="s">
        <v>169</v>
      </c>
      <c r="H414" s="1769" t="s">
        <v>333</v>
      </c>
      <c r="I414" s="1769"/>
      <c r="J414" s="1769"/>
      <c r="K414" s="1769"/>
      <c r="L414" s="1769"/>
      <c r="M414" s="1769"/>
      <c r="N414" s="1769"/>
      <c r="O414" s="1769"/>
      <c r="P414" s="1769"/>
      <c r="Q414" s="1769"/>
      <c r="R414" s="1769"/>
      <c r="S414" s="1769"/>
      <c r="T414" s="1769"/>
      <c r="U414" s="1769"/>
      <c r="V414" s="1769"/>
      <c r="W414" s="1769"/>
      <c r="X414" s="1769"/>
      <c r="Y414" s="1769"/>
      <c r="Z414" s="1769"/>
      <c r="AA414" s="1769"/>
      <c r="AB414" s="1769"/>
      <c r="AC414" s="1769"/>
      <c r="AD414" s="1769"/>
      <c r="AE414" s="1769"/>
    </row>
    <row r="415" spans="1:36" ht="12.95" customHeight="1">
      <c r="H415" s="1770"/>
      <c r="I415" s="1770"/>
      <c r="J415" s="1770"/>
      <c r="K415" s="1770"/>
      <c r="L415" s="1770"/>
      <c r="M415" s="1770"/>
      <c r="N415" s="1770"/>
      <c r="O415" s="1770"/>
      <c r="P415" s="1770"/>
      <c r="Q415" s="1770"/>
      <c r="R415" s="1770"/>
      <c r="S415" s="1770"/>
      <c r="T415" s="1770"/>
      <c r="U415" s="1770"/>
      <c r="V415" s="1770"/>
      <c r="W415" s="1770"/>
      <c r="X415" s="1770"/>
      <c r="Y415" s="1770"/>
      <c r="Z415" s="1770"/>
      <c r="AA415" s="1770"/>
      <c r="AB415" s="1770"/>
      <c r="AC415" s="1770"/>
      <c r="AD415" s="1770"/>
      <c r="AE415" s="1770"/>
    </row>
    <row r="416" spans="1:36" ht="12.95" customHeight="1"/>
    <row r="417" spans="1:39" ht="12.95" customHeight="1">
      <c r="A417" s="2" t="s">
        <v>590</v>
      </c>
      <c r="B417" s="2"/>
      <c r="C417" s="2"/>
      <c r="D417" s="2" t="s">
        <v>114</v>
      </c>
      <c r="AF417" s="2" t="s">
        <v>957</v>
      </c>
    </row>
    <row r="418" spans="1:39" ht="12.95" customHeight="1">
      <c r="E418" s="1816"/>
      <c r="F418" s="1816"/>
      <c r="G418" s="1816"/>
      <c r="H418" s="13" t="s">
        <v>115</v>
      </c>
      <c r="I418" s="1816"/>
      <c r="J418" s="1816"/>
      <c r="K418" s="1816"/>
      <c r="L418" t="s">
        <v>116</v>
      </c>
      <c r="N418" s="27" t="s">
        <v>575</v>
      </c>
      <c r="P418" s="1826">
        <v>0.51652893</v>
      </c>
      <c r="Q418" s="1826"/>
      <c r="R418" s="1826"/>
      <c r="S418" t="s">
        <v>117</v>
      </c>
      <c r="W418" s="1836">
        <f>IF(E418&gt;0,(E418*I418),(P418*43560))</f>
        <v>22500.000190800001</v>
      </c>
      <c r="X418" s="1836"/>
      <c r="Y418" s="1836"/>
      <c r="Z418" t="s">
        <v>118</v>
      </c>
      <c r="AF418" s="1694">
        <f>IFERROR(IF(P418&gt;0,(AG437/P418),(AG437/(W418/43560))),0)</f>
        <v>104.54399911346688</v>
      </c>
      <c r="AG418" s="1694"/>
      <c r="AH418" s="1694"/>
      <c r="AM418" s="3"/>
    </row>
    <row r="419" spans="1:39" ht="12.95" customHeight="1">
      <c r="E419" t="s">
        <v>51</v>
      </c>
    </row>
    <row r="420" spans="1:39" ht="12.95" customHeight="1">
      <c r="E420" s="1820"/>
      <c r="F420" s="1820"/>
      <c r="G420" s="1820"/>
      <c r="H420" s="1820"/>
      <c r="I420" s="1820"/>
      <c r="J420" s="1820"/>
      <c r="K420" s="1820"/>
      <c r="L420" s="1820"/>
      <c r="M420" s="1820"/>
      <c r="N420" s="1820"/>
      <c r="O420" s="1820"/>
      <c r="P420" s="1820"/>
      <c r="Q420" s="1820"/>
      <c r="R420" s="1820"/>
      <c r="S420" s="1820"/>
      <c r="T420" s="1820"/>
      <c r="U420" s="1820"/>
      <c r="V420" s="1820"/>
      <c r="W420" s="1820"/>
      <c r="X420" s="1820"/>
      <c r="Y420" s="1820"/>
      <c r="Z420" s="1820"/>
      <c r="AA420" s="1820"/>
      <c r="AB420" s="1820"/>
      <c r="AC420" s="1820"/>
      <c r="AD420" s="1820"/>
      <c r="AE420" s="1820"/>
      <c r="AF420" s="1820"/>
      <c r="AG420" s="1820"/>
      <c r="AH420" s="1820"/>
      <c r="AI420" s="1820"/>
      <c r="AJ420" s="1820"/>
    </row>
    <row r="421" spans="1:39" ht="12.95" customHeight="1">
      <c r="E421" s="118" t="s">
        <v>1736</v>
      </c>
      <c r="F421" s="1013"/>
      <c r="G421" s="1013"/>
      <c r="H421" s="1013"/>
      <c r="I421" s="1818">
        <f>P418</f>
        <v>0.51652893</v>
      </c>
      <c r="J421" s="1818"/>
      <c r="K421" s="1818"/>
      <c r="L421" s="1013"/>
      <c r="M421" s="118"/>
      <c r="N421" s="1013"/>
      <c r="O421" s="1013"/>
      <c r="P421" s="1440">
        <f>(DU755+DU778+DU800)/I421</f>
        <v>108.41599908063233</v>
      </c>
      <c r="Q421" s="1440"/>
      <c r="R421" s="1440"/>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2</v>
      </c>
      <c r="Q424" s="1332"/>
      <c r="S424" t="s">
        <v>188</v>
      </c>
      <c r="AE424" s="1332">
        <v>2</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04" t="s">
        <v>2692</v>
      </c>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608</v>
      </c>
      <c r="P429" s="1"/>
      <c r="Q429" s="1332" t="s">
        <v>669</v>
      </c>
      <c r="R429" s="1332"/>
    </row>
    <row r="430" spans="1:39" ht="12.95" customHeight="1">
      <c r="F430" t="s">
        <v>609</v>
      </c>
      <c r="P430" s="1"/>
      <c r="Q430" s="1"/>
      <c r="AF430" s="1332" t="s">
        <v>545</v>
      </c>
      <c r="AG430" s="1835"/>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698"/>
      <c r="AG437" s="1823">
        <v>54</v>
      </c>
      <c r="AH437" s="1823"/>
      <c r="AI437" s="1823"/>
      <c r="AJ437" s="1823"/>
    </row>
    <row r="438" spans="1:55" ht="12.95" customHeight="1">
      <c r="D438" s="1697" t="s">
        <v>1222</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5">
        <v>0</v>
      </c>
      <c r="AH438" s="1615"/>
      <c r="AI438" s="1615"/>
      <c r="AJ438" s="1615"/>
    </row>
    <row r="439" spans="1:55" ht="12.95" customHeight="1">
      <c r="D439" s="1697" t="s">
        <v>1031</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3">
        <v>53</v>
      </c>
      <c r="AH439" s="1823"/>
      <c r="AI439" s="1823"/>
      <c r="AJ439" s="1823"/>
    </row>
    <row r="440" spans="1:55" ht="12.95" customHeight="1">
      <c r="D440" s="1697" t="s">
        <v>1032</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3">
        <f>AG439</f>
        <v>53</v>
      </c>
      <c r="AH440" s="1823"/>
      <c r="AI440" s="1823"/>
      <c r="AJ440" s="1823"/>
    </row>
    <row r="441" spans="1:55" ht="12.95" customHeight="1">
      <c r="D441" s="1697" t="s">
        <v>1034</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17">
        <f>IF(ISERROR(AG440/AG439),0,AG440/AG439)</f>
        <v>1</v>
      </c>
      <c r="AH441" s="1817"/>
      <c r="AI441" s="1817"/>
      <c r="AJ441" s="1817"/>
    </row>
    <row r="442" spans="1:55" ht="12.95" customHeight="1">
      <c r="D442" s="1697" t="s">
        <v>1033</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702">
        <f>33835-1240</f>
        <v>32595</v>
      </c>
      <c r="AH442" s="1702"/>
      <c r="AI442" s="1702"/>
      <c r="AJ442" s="1702"/>
    </row>
    <row r="443" spans="1:55" ht="12.95" customHeight="1">
      <c r="D443" s="1697" t="s">
        <v>1035</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702">
        <f>33835-1240</f>
        <v>32595</v>
      </c>
      <c r="AH443" s="1702"/>
      <c r="AI443" s="1702"/>
      <c r="AJ443" s="1702"/>
    </row>
    <row r="444" spans="1:55" ht="12.95" customHeight="1">
      <c r="D444" s="1697" t="s">
        <v>1036</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17">
        <f>IF(ISERROR(AG443/AG442),0,AG443/AG442)</f>
        <v>1</v>
      </c>
      <c r="AH444" s="1817"/>
      <c r="AI444" s="1817"/>
      <c r="AJ444" s="1817"/>
    </row>
    <row r="445" spans="1:55" ht="12.95" customHeight="1">
      <c r="D445" s="1697" t="s">
        <v>1037</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17">
        <f>MIN(IF(AG441&gt;AG444,AG444,AG441),1)</f>
        <v>1</v>
      </c>
      <c r="AH445" s="1817"/>
      <c r="AI445" s="1817"/>
      <c r="AJ445" s="1817"/>
    </row>
    <row r="446" spans="1:55" ht="12.95" customHeight="1">
      <c r="D446" s="1697"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698"/>
      <c r="AG446" s="1702">
        <v>1000</v>
      </c>
      <c r="AH446" s="1702"/>
      <c r="AI446" s="1702"/>
      <c r="AJ446" s="1702"/>
      <c r="AZ446" s="34"/>
      <c r="BA446" s="34"/>
      <c r="BB446" s="34"/>
      <c r="BC446" s="34"/>
    </row>
    <row r="447" spans="1:55" ht="12.95"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698"/>
      <c r="AG447" s="1702">
        <v>0</v>
      </c>
      <c r="AH447" s="1702"/>
      <c r="AI447" s="1702"/>
      <c r="AJ447" s="1702"/>
      <c r="AZ447" s="3"/>
      <c r="BA447" s="3"/>
      <c r="BB447" s="3"/>
      <c r="BC447" s="3"/>
    </row>
    <row r="448" spans="1:55" ht="12.95" customHeight="1">
      <c r="D448" s="1697"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698"/>
      <c r="AG448" s="1702">
        <f>3100+1240</f>
        <v>4340</v>
      </c>
      <c r="AH448" s="1702"/>
      <c r="AI448" s="1702"/>
      <c r="AJ448" s="1702"/>
      <c r="AZ448" s="3"/>
      <c r="BA448" s="3"/>
      <c r="BB448" s="3"/>
      <c r="BC448" s="3"/>
    </row>
    <row r="449" spans="1:55" ht="12.95" customHeight="1">
      <c r="D449" s="1697"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698"/>
      <c r="AG449" s="1702">
        <v>0</v>
      </c>
      <c r="AH449" s="1702"/>
      <c r="AI449" s="1702"/>
      <c r="AJ449" s="1702"/>
      <c r="BB449" s="3"/>
      <c r="BC449" s="3"/>
    </row>
    <row r="450" spans="1:55" ht="12.95" customHeight="1">
      <c r="D450" s="1765" t="s">
        <v>1039</v>
      </c>
      <c r="E450" s="1766"/>
      <c r="F450" s="1766"/>
      <c r="G450" s="1766"/>
      <c r="H450" s="1766"/>
      <c r="I450" s="1766"/>
      <c r="J450" s="1766"/>
      <c r="K450" s="1766"/>
      <c r="L450" s="1766"/>
      <c r="M450" s="1766"/>
      <c r="N450" s="1766"/>
      <c r="O450" s="1766"/>
      <c r="P450" s="1766"/>
      <c r="Q450" s="1766"/>
      <c r="R450" s="1766"/>
      <c r="S450" s="1766"/>
      <c r="T450" s="1766"/>
      <c r="U450" s="1766"/>
      <c r="V450" s="1766"/>
      <c r="W450" s="1766"/>
      <c r="X450" s="1766"/>
      <c r="Y450" s="1766"/>
      <c r="Z450" s="1766"/>
      <c r="AA450" s="1766"/>
      <c r="AB450" s="1766"/>
      <c r="AC450" s="1766"/>
      <c r="AD450" s="1766"/>
      <c r="AE450" s="1766"/>
      <c r="AF450" s="1767"/>
      <c r="AG450" s="1834">
        <f>AG442+AG446+AG448+AG449</f>
        <v>37935</v>
      </c>
      <c r="AH450" s="1834"/>
      <c r="AI450" s="1834"/>
      <c r="AJ450" s="1834"/>
      <c r="AZ450" s="3"/>
      <c r="BA450" s="3"/>
      <c r="BB450" s="3"/>
      <c r="BC450" s="3"/>
    </row>
    <row r="451" spans="1:55" ht="12.95" customHeight="1">
      <c r="D451" s="1745" t="s">
        <v>1206</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704873.68518518517</v>
      </c>
      <c r="AD454" s="1813"/>
      <c r="AE454" s="1813"/>
      <c r="AF454" s="181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704873.68518518517</v>
      </c>
      <c r="AD455" s="1813"/>
      <c r="AE455" s="1813"/>
      <c r="AF455" s="181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663065.79629629629</v>
      </c>
      <c r="AD456" s="1813"/>
      <c r="AE456" s="1813"/>
      <c r="AF456" s="1813"/>
      <c r="AG456" s="177"/>
      <c r="AH456" s="177"/>
      <c r="AI456" s="177"/>
      <c r="AJ456" s="183"/>
      <c r="AZ456" s="3"/>
      <c r="BA456" s="3"/>
      <c r="BB456" s="3"/>
      <c r="BC456" s="3"/>
    </row>
    <row r="457" spans="1:55" ht="12.95" customHeight="1">
      <c r="D457" s="177"/>
      <c r="E457" s="177"/>
      <c r="F457" s="174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42"/>
      <c r="H457" s="1742"/>
      <c r="I457" s="1742"/>
      <c r="J457" s="1742"/>
      <c r="K457" s="1742"/>
      <c r="L457" s="1742"/>
      <c r="M457" s="1742"/>
      <c r="N457" s="1742"/>
      <c r="O457" s="1742"/>
      <c r="P457" s="1742"/>
      <c r="Q457" s="1742"/>
      <c r="R457" s="1742"/>
      <c r="S457" s="1742"/>
      <c r="T457" s="1742"/>
      <c r="U457" s="1742"/>
      <c r="V457" s="1742"/>
      <c r="W457" s="1742"/>
      <c r="X457" s="1742"/>
      <c r="Y457" s="1742"/>
      <c r="Z457" s="1742"/>
      <c r="AA457" s="1742"/>
      <c r="AB457" s="1742"/>
      <c r="AC457" s="515"/>
      <c r="AD457" s="177"/>
      <c r="AE457" s="177"/>
      <c r="AF457" s="177"/>
      <c r="AG457" s="177"/>
      <c r="AH457" s="177"/>
      <c r="AI457" s="177"/>
      <c r="AJ457" s="183"/>
      <c r="AZ457" s="3"/>
      <c r="BA457" s="3"/>
      <c r="BB457" s="3"/>
      <c r="BC457" s="3"/>
    </row>
    <row r="458" spans="1:55" ht="12.95" customHeight="1">
      <c r="A458" s="2"/>
      <c r="D458" s="2"/>
      <c r="E458" s="177"/>
      <c r="F458" s="1742"/>
      <c r="G458" s="1742"/>
      <c r="H458" s="1742"/>
      <c r="I458" s="1742"/>
      <c r="J458" s="1742"/>
      <c r="K458" s="1742"/>
      <c r="L458" s="1742"/>
      <c r="M458" s="1742"/>
      <c r="N458" s="1742"/>
      <c r="O458" s="1742"/>
      <c r="P458" s="1742"/>
      <c r="Q458" s="1742"/>
      <c r="R458" s="1742"/>
      <c r="S458" s="1742"/>
      <c r="T458" s="1742"/>
      <c r="U458" s="1742"/>
      <c r="V458" s="1742"/>
      <c r="W458" s="1742"/>
      <c r="X458" s="1742"/>
      <c r="Y458" s="1742"/>
      <c r="Z458" s="1742"/>
      <c r="AA458" s="1742"/>
      <c r="AB458" s="1742"/>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838" t="s">
        <v>2100</v>
      </c>
      <c r="E465" s="1760"/>
      <c r="F465" s="1760"/>
      <c r="G465" s="1760"/>
      <c r="H465" s="1760"/>
      <c r="I465" s="1760"/>
      <c r="J465" s="1760"/>
      <c r="K465" s="1760"/>
      <c r="L465" s="1760"/>
      <c r="M465" s="1760"/>
      <c r="N465" s="1760"/>
      <c r="O465" s="1760"/>
      <c r="P465" s="1760"/>
      <c r="Q465" s="1760"/>
      <c r="R465" s="1760"/>
      <c r="S465" s="1760"/>
      <c r="T465" s="1760"/>
      <c r="U465" s="1760"/>
      <c r="V465" s="1761"/>
      <c r="W465" s="1699">
        <v>0</v>
      </c>
      <c r="X465" s="1700"/>
      <c r="Y465" s="1701"/>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9" t="s">
        <v>693</v>
      </c>
      <c r="E466" s="1760"/>
      <c r="F466" s="1760"/>
      <c r="G466" s="1760"/>
      <c r="H466" s="1760"/>
      <c r="I466" s="1760"/>
      <c r="J466" s="1760"/>
      <c r="K466" s="1760"/>
      <c r="L466" s="1760"/>
      <c r="M466" s="1760"/>
      <c r="N466" s="1760"/>
      <c r="O466" s="1760"/>
      <c r="P466" s="1760"/>
      <c r="Q466" s="1760"/>
      <c r="R466" s="1760"/>
      <c r="S466" s="1760"/>
      <c r="T466" s="1760"/>
      <c r="U466" s="1760"/>
      <c r="V466" s="1761"/>
      <c r="W466" s="1699">
        <v>0</v>
      </c>
      <c r="X466" s="1700"/>
      <c r="Y466" s="1701"/>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9" t="s">
        <v>694</v>
      </c>
      <c r="E467" s="1760"/>
      <c r="F467" s="1760"/>
      <c r="G467" s="1760"/>
      <c r="H467" s="1760"/>
      <c r="I467" s="1760"/>
      <c r="J467" s="1760"/>
      <c r="K467" s="1760"/>
      <c r="L467" s="1760"/>
      <c r="M467" s="1760"/>
      <c r="N467" s="1760"/>
      <c r="O467" s="1760"/>
      <c r="P467" s="1760"/>
      <c r="Q467" s="1760"/>
      <c r="R467" s="1760"/>
      <c r="S467" s="1760"/>
      <c r="T467" s="1760"/>
      <c r="U467" s="1760"/>
      <c r="V467" s="1761"/>
      <c r="W467" s="1699">
        <v>0</v>
      </c>
      <c r="X467" s="1700"/>
      <c r="Y467" s="1701"/>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9" t="s">
        <v>695</v>
      </c>
      <c r="E468" s="1760"/>
      <c r="F468" s="1760"/>
      <c r="G468" s="1760"/>
      <c r="H468" s="1760"/>
      <c r="I468" s="1760"/>
      <c r="J468" s="1760"/>
      <c r="K468" s="1760"/>
      <c r="L468" s="1760"/>
      <c r="M468" s="1760"/>
      <c r="N468" s="1760"/>
      <c r="O468" s="1760"/>
      <c r="P468" s="1760"/>
      <c r="Q468" s="1760"/>
      <c r="R468" s="1760"/>
      <c r="S468" s="1760"/>
      <c r="T468" s="1760"/>
      <c r="U468" s="1760"/>
      <c r="V468" s="1761"/>
      <c r="W468" s="1699">
        <v>0</v>
      </c>
      <c r="X468" s="1700"/>
      <c r="Y468" s="1701"/>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9" t="s">
        <v>881</v>
      </c>
      <c r="E469" s="1760"/>
      <c r="F469" s="1760"/>
      <c r="G469" s="1760"/>
      <c r="H469" s="1760"/>
      <c r="I469" s="1760"/>
      <c r="J469" s="1760"/>
      <c r="K469" s="1760"/>
      <c r="L469" s="1760"/>
      <c r="M469" s="1760"/>
      <c r="N469" s="1760"/>
      <c r="O469" s="1760"/>
      <c r="P469" s="1760"/>
      <c r="Q469" s="1760"/>
      <c r="R469" s="1760"/>
      <c r="S469" s="1760"/>
      <c r="T469" s="1760"/>
      <c r="U469" s="1760"/>
      <c r="V469" s="1761"/>
      <c r="W469" s="1699">
        <v>0</v>
      </c>
      <c r="X469" s="1700"/>
      <c r="Y469" s="1701"/>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9" t="s">
        <v>696</v>
      </c>
      <c r="E470" s="1760"/>
      <c r="F470" s="1760"/>
      <c r="G470" s="1760"/>
      <c r="H470" s="1760"/>
      <c r="I470" s="1760"/>
      <c r="J470" s="1760"/>
      <c r="K470" s="1760"/>
      <c r="L470" s="1760"/>
      <c r="M470" s="1760"/>
      <c r="N470" s="1760"/>
      <c r="O470" s="1760"/>
      <c r="P470" s="1760"/>
      <c r="Q470" s="1760"/>
      <c r="R470" s="1760"/>
      <c r="S470" s="1760"/>
      <c r="T470" s="1760"/>
      <c r="U470" s="1760"/>
      <c r="V470" s="1761"/>
      <c r="W470" s="1699">
        <v>0</v>
      </c>
      <c r="X470" s="1700"/>
      <c r="Y470" s="1701"/>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9" t="s">
        <v>1012</v>
      </c>
      <c r="E471" s="1760"/>
      <c r="F471" s="1760"/>
      <c r="G471" s="1760"/>
      <c r="H471" s="1760"/>
      <c r="I471" s="1760"/>
      <c r="J471" s="1760"/>
      <c r="K471" s="1760"/>
      <c r="L471" s="1760"/>
      <c r="M471" s="1760"/>
      <c r="N471" s="1760"/>
      <c r="O471" s="1760"/>
      <c r="P471" s="1760"/>
      <c r="Q471" s="1760"/>
      <c r="R471" s="1760"/>
      <c r="S471" s="1760"/>
      <c r="T471" s="1760"/>
      <c r="U471" s="1760"/>
      <c r="V471" s="1761"/>
      <c r="W471" s="1699">
        <v>0</v>
      </c>
      <c r="X471" s="1700"/>
      <c r="Y471" s="1701"/>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838" t="s">
        <v>2191</v>
      </c>
      <c r="E472" s="1854"/>
      <c r="F472" s="1854"/>
      <c r="G472" s="1854"/>
      <c r="H472" s="1854"/>
      <c r="I472" s="1854"/>
      <c r="J472" s="1854"/>
      <c r="K472" s="1854"/>
      <c r="L472" s="1854"/>
      <c r="M472" s="1854"/>
      <c r="N472" s="1854"/>
      <c r="O472" s="1854"/>
      <c r="P472" s="1854"/>
      <c r="Q472" s="1854"/>
      <c r="R472" s="1854"/>
      <c r="S472" s="1854"/>
      <c r="T472" s="1854"/>
      <c r="U472" s="1854"/>
      <c r="V472" s="1855"/>
      <c r="W472" s="1699">
        <v>0</v>
      </c>
      <c r="X472" s="1700"/>
      <c r="Y472" s="1701"/>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838" t="s">
        <v>1654</v>
      </c>
      <c r="E473" s="1760"/>
      <c r="F473" s="1760"/>
      <c r="G473" s="1760"/>
      <c r="H473" s="1760"/>
      <c r="I473" s="1760"/>
      <c r="J473" s="1760"/>
      <c r="K473" s="1760"/>
      <c r="L473" s="1760"/>
      <c r="M473" s="1760"/>
      <c r="N473" s="1760"/>
      <c r="O473" s="1760"/>
      <c r="P473" s="1760"/>
      <c r="Q473" s="1760"/>
      <c r="R473" s="1760"/>
      <c r="S473" s="1760"/>
      <c r="T473" s="1760"/>
      <c r="U473" s="1760"/>
      <c r="V473" s="1761"/>
      <c r="W473" s="1699">
        <v>0</v>
      </c>
      <c r="X473" s="1700"/>
      <c r="Y473" s="1701"/>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56" t="s">
        <v>1040</v>
      </c>
      <c r="H474" s="1757"/>
      <c r="I474" s="1757"/>
      <c r="J474" s="1757"/>
      <c r="K474" s="1757"/>
      <c r="L474" s="1757"/>
      <c r="M474" s="1757"/>
      <c r="N474" s="1757"/>
      <c r="O474" s="1757"/>
      <c r="P474" s="1757"/>
      <c r="Q474" s="1757"/>
      <c r="R474" s="1757"/>
      <c r="S474" s="1757"/>
      <c r="T474" s="1757"/>
      <c r="U474" s="1757"/>
      <c r="V474" s="1758"/>
      <c r="W474" s="1699">
        <v>53</v>
      </c>
      <c r="X474" s="1700"/>
      <c r="Y474" s="1701"/>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2750</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2" t="s">
        <v>810</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2" t="s">
        <v>392</v>
      </c>
      <c r="R485" s="1763"/>
      <c r="S485" s="1763"/>
      <c r="T485" s="1763"/>
      <c r="U485" s="1763"/>
      <c r="V485" s="1763"/>
      <c r="W485" s="1763"/>
      <c r="X485" s="1763"/>
      <c r="Y485" s="1763"/>
      <c r="Z485" s="1763"/>
      <c r="AA485" s="1763"/>
      <c r="AB485" s="1763"/>
      <c r="AC485" s="1763"/>
      <c r="AD485" s="1763"/>
      <c r="AE485" s="1763"/>
      <c r="AF485" s="1763"/>
      <c r="AG485" s="1763"/>
      <c r="AH485" s="1763"/>
      <c r="AI485" s="1763"/>
      <c r="AJ485" s="1763"/>
      <c r="AK485" s="1764"/>
      <c r="AZ485" s="3"/>
      <c r="BB485" s="3"/>
      <c r="BC485" s="3"/>
    </row>
    <row r="486" spans="1:55" ht="12.95" customHeight="1">
      <c r="B486" s="45" t="s">
        <v>393</v>
      </c>
      <c r="C486" s="5"/>
      <c r="D486" s="5"/>
      <c r="E486" s="5"/>
      <c r="F486" s="5"/>
      <c r="G486" s="5"/>
      <c r="H486" s="5"/>
      <c r="I486" s="5"/>
      <c r="J486" s="5"/>
      <c r="K486" s="5"/>
      <c r="L486" s="5"/>
      <c r="M486" s="5"/>
      <c r="N486" s="5"/>
      <c r="O486" s="5"/>
      <c r="P486" s="5"/>
      <c r="Q486" s="1579" t="s">
        <v>2693</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80"/>
      <c r="AZ486" s="3"/>
      <c r="BB486" s="3"/>
      <c r="BC486" s="3"/>
    </row>
    <row r="487" spans="1:55" ht="12.95" customHeight="1">
      <c r="B487" s="45" t="s">
        <v>394</v>
      </c>
      <c r="C487" s="5"/>
      <c r="D487" s="5"/>
      <c r="E487" s="5"/>
      <c r="F487" s="5"/>
      <c r="G487" s="5"/>
      <c r="H487" s="5"/>
      <c r="I487" s="5"/>
      <c r="J487" s="5"/>
      <c r="K487" s="5"/>
      <c r="L487" s="5"/>
      <c r="M487" s="5"/>
      <c r="N487" s="5"/>
      <c r="O487" s="5"/>
      <c r="P487" s="5"/>
      <c r="Q487" s="1579" t="s">
        <v>2694</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80"/>
      <c r="AZ487" s="3"/>
      <c r="BB487" s="3"/>
      <c r="BC487" s="3"/>
    </row>
    <row r="488" spans="1:55" ht="12.95" customHeight="1">
      <c r="B488" s="45" t="s">
        <v>395</v>
      </c>
      <c r="C488" s="5"/>
      <c r="D488" s="5"/>
      <c r="E488" s="5"/>
      <c r="F488" s="5"/>
      <c r="G488" s="5"/>
      <c r="H488" s="5"/>
      <c r="I488" s="5"/>
      <c r="J488" s="5"/>
      <c r="K488" s="5"/>
      <c r="L488" s="5"/>
      <c r="M488" s="5"/>
      <c r="N488" s="5"/>
      <c r="O488" s="5"/>
      <c r="P488" s="5"/>
      <c r="Q488" s="1579" t="s">
        <v>2694</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80"/>
      <c r="AZ488" s="3"/>
      <c r="BA488" s="3"/>
      <c r="BB488" s="3"/>
      <c r="BC488" s="3"/>
    </row>
    <row r="489" spans="1:55" ht="12.95" customHeight="1">
      <c r="B489" s="1842" t="s">
        <v>396</v>
      </c>
      <c r="C489" s="1843"/>
      <c r="D489" s="1843"/>
      <c r="E489" s="1843"/>
      <c r="F489" s="1843"/>
      <c r="G489" s="1843"/>
      <c r="H489" s="1843"/>
      <c r="I489" s="1843"/>
      <c r="J489" s="1843"/>
      <c r="K489" s="1843"/>
      <c r="L489" s="1843"/>
      <c r="M489" s="1843"/>
      <c r="N489" s="1843"/>
      <c r="O489" s="1843"/>
      <c r="P489" s="1844"/>
      <c r="Q489" s="1848" t="s">
        <v>545</v>
      </c>
      <c r="R489" s="1849"/>
      <c r="S489" s="1771" t="s">
        <v>2695</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45"/>
      <c r="C490" s="1846"/>
      <c r="D490" s="1846"/>
      <c r="E490" s="1846"/>
      <c r="F490" s="1846"/>
      <c r="G490" s="1846"/>
      <c r="H490" s="1846"/>
      <c r="I490" s="1846"/>
      <c r="J490" s="1846"/>
      <c r="K490" s="1846"/>
      <c r="L490" s="1846"/>
      <c r="M490" s="1846"/>
      <c r="N490" s="1846"/>
      <c r="O490" s="1846"/>
      <c r="P490" s="1847"/>
      <c r="Q490" s="1850"/>
      <c r="R490" s="1851"/>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39" t="s">
        <v>669</v>
      </c>
      <c r="R491" s="1840"/>
      <c r="S491" s="1840"/>
      <c r="T491" s="1840"/>
      <c r="U491" s="1840"/>
      <c r="V491" s="1840"/>
      <c r="W491" s="1840"/>
      <c r="X491" s="1840"/>
      <c r="Y491" s="1840"/>
      <c r="Z491" s="1840"/>
      <c r="AA491" s="1840"/>
      <c r="AB491" s="1840"/>
      <c r="AC491" s="1840"/>
      <c r="AD491" s="1840"/>
      <c r="AE491" s="1840"/>
      <c r="AF491" s="1840"/>
      <c r="AG491" s="1840"/>
      <c r="AH491" s="1840"/>
      <c r="AI491" s="1840"/>
      <c r="AJ491" s="1840"/>
      <c r="AK491" s="1841"/>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9" t="s">
        <v>2696</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80"/>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9">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80"/>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9">
        <v>3</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80"/>
      <c r="AZ494" s="3"/>
      <c r="BA494" s="3"/>
      <c r="BB494" s="3"/>
      <c r="BC494" s="3"/>
    </row>
    <row r="495" spans="1:55" ht="12.95" customHeight="1">
      <c r="B495" s="121" t="s">
        <v>1669</v>
      </c>
      <c r="C495" s="5"/>
      <c r="D495" s="5"/>
      <c r="E495" s="5"/>
      <c r="F495" s="5"/>
      <c r="G495" s="5"/>
      <c r="H495" s="5"/>
      <c r="I495" s="5"/>
      <c r="J495" s="5"/>
      <c r="K495" s="5"/>
      <c r="L495" s="5"/>
      <c r="M495" s="1457">
        <v>0</v>
      </c>
      <c r="N495" s="1458"/>
      <c r="O495" s="1458"/>
      <c r="P495" s="1459"/>
      <c r="Q495" s="121" t="s">
        <v>1670</v>
      </c>
      <c r="R495" s="5"/>
      <c r="S495" s="5"/>
      <c r="T495" s="5"/>
      <c r="U495" s="5"/>
      <c r="V495" s="5"/>
      <c r="W495" s="5"/>
      <c r="X495" s="5"/>
      <c r="Y495" s="5"/>
      <c r="Z495" s="5"/>
      <c r="AA495" s="5"/>
      <c r="AB495" s="5"/>
      <c r="AC495" s="5"/>
      <c r="AD495" s="5"/>
      <c r="AE495" s="5"/>
      <c r="AF495" s="5"/>
      <c r="AG495" s="5"/>
      <c r="AH495" s="1457">
        <v>3</v>
      </c>
      <c r="AI495" s="1458"/>
      <c r="AJ495" s="1458"/>
      <c r="AK495" s="145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2" t="s">
        <v>400</v>
      </c>
      <c r="AD499" s="1763"/>
      <c r="AE499" s="1763"/>
      <c r="AF499" s="1763"/>
      <c r="AG499" s="1763"/>
      <c r="AH499" s="1763"/>
      <c r="AI499" s="1763"/>
      <c r="AJ499" s="1763"/>
      <c r="AK499" s="1764"/>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2" t="s">
        <v>401</v>
      </c>
      <c r="AD500" s="1763"/>
      <c r="AE500" s="1763"/>
      <c r="AF500" s="1763"/>
      <c r="AG500" s="50" t="s">
        <v>402</v>
      </c>
      <c r="AH500" s="1763" t="s">
        <v>403</v>
      </c>
      <c r="AI500" s="1763"/>
      <c r="AJ500" s="1763"/>
      <c r="AK500" s="1764"/>
      <c r="AZ500" s="3"/>
      <c r="BA500" s="3"/>
      <c r="BB500" s="3"/>
      <c r="BC500" s="3"/>
      <c r="BD500" s="3"/>
      <c r="BE500" s="3"/>
      <c r="BF500" s="3"/>
      <c r="BG500" s="3"/>
      <c r="BH500" s="3"/>
      <c r="BI500" s="3"/>
      <c r="BJ500" s="3"/>
      <c r="BK500" s="3"/>
      <c r="BL500" s="3"/>
      <c r="BM500" s="3"/>
      <c r="BN500" s="3"/>
    </row>
    <row r="501" spans="1:66" ht="12.95" customHeight="1">
      <c r="B501" s="1688" t="s">
        <v>404</v>
      </c>
      <c r="C501" s="1430"/>
      <c r="D501" s="1430"/>
      <c r="E501" s="1430"/>
      <c r="F501" s="1430"/>
      <c r="G501" s="1430"/>
      <c r="H501" s="1431"/>
      <c r="I501" s="42" t="s">
        <v>405</v>
      </c>
      <c r="J501" s="42"/>
      <c r="K501" s="42"/>
      <c r="L501" s="42"/>
      <c r="M501" s="42"/>
      <c r="N501" s="42"/>
      <c r="O501" s="42"/>
      <c r="P501" s="42"/>
      <c r="Q501" s="42"/>
      <c r="R501" s="42"/>
      <c r="S501" s="42"/>
      <c r="T501" s="42"/>
      <c r="U501" s="42"/>
      <c r="V501" s="42"/>
      <c r="W501" s="42"/>
      <c r="AC501" s="1695">
        <v>6</v>
      </c>
      <c r="AD501" s="1696"/>
      <c r="AE501" s="1696"/>
      <c r="AF501" s="1696"/>
      <c r="AG501" s="13" t="s">
        <v>402</v>
      </c>
      <c r="AH501" s="1402">
        <v>2023</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89"/>
      <c r="C502" s="1432"/>
      <c r="D502" s="1432"/>
      <c r="E502" s="1432"/>
      <c r="F502" s="1432"/>
      <c r="G502" s="1432"/>
      <c r="H502" s="1433"/>
      <c r="I502" s="48" t="s">
        <v>406</v>
      </c>
      <c r="J502" s="48"/>
      <c r="K502" s="48"/>
      <c r="L502" s="48"/>
      <c r="M502" s="48"/>
      <c r="N502" s="48"/>
      <c r="O502" s="48"/>
      <c r="P502" s="48"/>
      <c r="Q502" s="48"/>
      <c r="R502" s="48"/>
      <c r="S502" s="48"/>
      <c r="T502" s="48"/>
      <c r="U502" s="48"/>
      <c r="V502" s="48"/>
      <c r="W502" s="48"/>
      <c r="X502" s="48"/>
      <c r="Y502" s="48"/>
      <c r="Z502" s="48"/>
      <c r="AA502" s="48"/>
      <c r="AB502" s="48"/>
      <c r="AC502" s="1695">
        <v>2</v>
      </c>
      <c r="AD502" s="1696"/>
      <c r="AE502" s="1696"/>
      <c r="AF502" s="1696"/>
      <c r="AG502" s="38" t="s">
        <v>402</v>
      </c>
      <c r="AH502" s="1402">
        <v>2026</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88" t="s">
        <v>407</v>
      </c>
      <c r="C503" s="1430"/>
      <c r="D503" s="1430"/>
      <c r="E503" s="1430"/>
      <c r="F503" s="1430"/>
      <c r="G503" s="1430"/>
      <c r="H503" s="1431"/>
      <c r="I503" s="42" t="s">
        <v>408</v>
      </c>
      <c r="J503" s="42"/>
      <c r="K503" s="42"/>
      <c r="L503" s="42"/>
      <c r="M503" s="42"/>
      <c r="N503" s="42"/>
      <c r="O503" s="42"/>
      <c r="P503" s="42"/>
      <c r="Q503" s="42"/>
      <c r="R503" s="42"/>
      <c r="S503" s="42"/>
      <c r="T503" s="42"/>
      <c r="U503" s="42"/>
      <c r="V503" s="42"/>
      <c r="W503" s="42"/>
      <c r="AC503" s="1695" t="s">
        <v>591</v>
      </c>
      <c r="AD503" s="1696"/>
      <c r="AE503" s="1696"/>
      <c r="AF503" s="1696"/>
      <c r="AG503" s="13" t="s">
        <v>402</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89"/>
      <c r="C504" s="1432"/>
      <c r="D504" s="1432"/>
      <c r="E504" s="1432"/>
      <c r="F504" s="1432"/>
      <c r="G504" s="1432"/>
      <c r="H504" s="1433"/>
      <c r="I504" t="s">
        <v>409</v>
      </c>
      <c r="AC504" s="1695" t="s">
        <v>591</v>
      </c>
      <c r="AD504" s="1696"/>
      <c r="AE504" s="1696"/>
      <c r="AF504" s="1696"/>
      <c r="AG504" s="13" t="s">
        <v>402</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89"/>
      <c r="C505" s="1432"/>
      <c r="D505" s="1432"/>
      <c r="E505" s="1432"/>
      <c r="F505" s="1432"/>
      <c r="G505" s="1432"/>
      <c r="H505" s="1433"/>
      <c r="I505" t="s">
        <v>410</v>
      </c>
      <c r="AC505" s="1695">
        <v>1</v>
      </c>
      <c r="AD505" s="1696"/>
      <c r="AE505" s="1696"/>
      <c r="AF505" s="1696"/>
      <c r="AG505" s="13" t="s">
        <v>402</v>
      </c>
      <c r="AH505" s="1402">
        <v>2024</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89"/>
      <c r="C506" s="1432"/>
      <c r="D506" s="1432"/>
      <c r="E506" s="1432"/>
      <c r="F506" s="1432"/>
      <c r="G506" s="1432"/>
      <c r="H506" s="1433"/>
      <c r="I506" t="s">
        <v>411</v>
      </c>
      <c r="AC506" s="1695">
        <v>2</v>
      </c>
      <c r="AD506" s="1696"/>
      <c r="AE506" s="1696"/>
      <c r="AF506" s="1696"/>
      <c r="AG506" s="13" t="s">
        <v>402</v>
      </c>
      <c r="AH506" s="1402">
        <v>2026</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89"/>
      <c r="C507" s="1432"/>
      <c r="D507" s="1432"/>
      <c r="E507" s="1432"/>
      <c r="F507" s="1432"/>
      <c r="G507" s="1432"/>
      <c r="H507" s="1433"/>
      <c r="I507" s="3" t="s">
        <v>412</v>
      </c>
      <c r="AC507" s="1337">
        <v>2</v>
      </c>
      <c r="AD507" s="1338"/>
      <c r="AE507" s="1338"/>
      <c r="AF507" s="1338"/>
      <c r="AG507" s="13" t="s">
        <v>402</v>
      </c>
      <c r="AH507" s="1402">
        <v>2026</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89"/>
      <c r="C508" s="1432"/>
      <c r="D508" s="1432"/>
      <c r="E508" s="1432"/>
      <c r="F508" s="1432"/>
      <c r="G508" s="1432"/>
      <c r="H508" s="1433"/>
      <c r="I508" s="896" t="s">
        <v>169</v>
      </c>
      <c r="J508" s="48"/>
      <c r="K508" s="48"/>
      <c r="L508" s="1749" t="s">
        <v>2697</v>
      </c>
      <c r="M508" s="1750"/>
      <c r="N508" s="1750"/>
      <c r="O508" s="1750"/>
      <c r="P508" s="1750"/>
      <c r="Q508" s="1750"/>
      <c r="R508" s="1750"/>
      <c r="S508" s="1750"/>
      <c r="T508" s="1750"/>
      <c r="U508" s="1750"/>
      <c r="V508" s="1750"/>
      <c r="W508" s="1750"/>
      <c r="X508" s="1750"/>
      <c r="Y508" s="1750"/>
      <c r="Z508" s="1750"/>
      <c r="AA508" s="1750"/>
      <c r="AB508" s="1853"/>
      <c r="AC508" s="1695">
        <v>1</v>
      </c>
      <c r="AD508" s="1696"/>
      <c r="AE508" s="1696"/>
      <c r="AF508" s="1696"/>
      <c r="AG508" s="38" t="s">
        <v>402</v>
      </c>
      <c r="AH508" s="1402">
        <v>2024</v>
      </c>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3" t="s">
        <v>669</v>
      </c>
      <c r="AD509" s="1823"/>
      <c r="AE509" s="1823"/>
      <c r="AF509" s="1823"/>
      <c r="AG509" s="13"/>
      <c r="AH509" s="1335"/>
      <c r="AI509" s="1335"/>
      <c r="AJ509" s="1335"/>
      <c r="AK509" s="167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821" t="s">
        <v>591</v>
      </c>
      <c r="AD510" s="1338"/>
      <c r="AE510" s="1338"/>
      <c r="AF510" s="1339"/>
      <c r="AG510" s="13"/>
      <c r="AH510" s="1335"/>
      <c r="AI510" s="1335"/>
      <c r="AJ510" s="1335"/>
      <c r="AK510" s="167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1" t="s">
        <v>591</v>
      </c>
      <c r="AD512" s="1832"/>
      <c r="AE512" s="1832"/>
      <c r="AF512" s="1833"/>
      <c r="AG512" s="38"/>
      <c r="AH512" s="1747"/>
      <c r="AI512" s="1747"/>
      <c r="AJ512" s="1747"/>
      <c r="AK512" s="1748"/>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55" t="s">
        <v>401</v>
      </c>
      <c r="AD513" s="1638"/>
      <c r="AE513" s="1638"/>
      <c r="AF513" s="1638"/>
      <c r="AG513" s="38" t="s">
        <v>402</v>
      </c>
      <c r="AH513" s="1638" t="s">
        <v>403</v>
      </c>
      <c r="AI513" s="1638"/>
      <c r="AJ513" s="1638"/>
      <c r="AK513" s="1852"/>
      <c r="AZ513" s="3"/>
      <c r="BA513" s="3"/>
      <c r="BB513" s="3"/>
      <c r="BC513" s="3"/>
      <c r="BD513" s="3"/>
      <c r="BE513" s="3"/>
      <c r="BF513" s="3"/>
      <c r="BG513" s="3"/>
      <c r="BH513" s="3"/>
      <c r="BI513" s="3"/>
      <c r="BJ513" s="3"/>
      <c r="BK513" s="3"/>
      <c r="BL513" s="3"/>
      <c r="BM513" s="3"/>
      <c r="BN513" s="3" t="s">
        <v>2105</v>
      </c>
    </row>
    <row r="514" spans="2:66" ht="12.95" customHeight="1">
      <c r="B514" s="1688" t="s">
        <v>413</v>
      </c>
      <c r="C514" s="1430"/>
      <c r="D514" s="1430"/>
      <c r="E514" s="1430"/>
      <c r="F514" s="1430"/>
      <c r="G514" s="1430"/>
      <c r="H514" s="1431"/>
      <c r="I514" s="42" t="s">
        <v>414</v>
      </c>
      <c r="J514" s="42"/>
      <c r="K514" s="42"/>
      <c r="L514" s="42"/>
      <c r="M514" s="42"/>
      <c r="N514" s="42"/>
      <c r="O514" s="42"/>
      <c r="P514" s="42"/>
      <c r="Q514" s="42"/>
      <c r="R514" s="42"/>
      <c r="S514" s="42"/>
      <c r="T514" s="42"/>
      <c r="U514" s="42"/>
      <c r="V514" s="42"/>
      <c r="W514" s="42"/>
      <c r="AC514" s="1695">
        <v>5</v>
      </c>
      <c r="AD514" s="1696"/>
      <c r="AE514" s="1696"/>
      <c r="AF514" s="1696"/>
      <c r="AG514" s="13" t="s">
        <v>402</v>
      </c>
      <c r="AH514" s="1402">
        <v>2025</v>
      </c>
      <c r="AI514" s="1402"/>
      <c r="AJ514" s="1402"/>
      <c r="AK514" s="1403"/>
      <c r="AZ514" s="3"/>
      <c r="BA514" s="3"/>
      <c r="BB514" s="3"/>
      <c r="BC514" s="3"/>
      <c r="BD514" s="3"/>
      <c r="BE514" s="3"/>
      <c r="BF514" s="3"/>
      <c r="BG514" s="3"/>
      <c r="BH514" s="3"/>
      <c r="BI514" s="3"/>
      <c r="BJ514" s="3"/>
      <c r="BK514" s="3"/>
      <c r="BL514" s="3"/>
      <c r="BM514" s="3"/>
      <c r="BN514" s="3" t="s">
        <v>2106</v>
      </c>
    </row>
    <row r="515" spans="2:66" ht="12.95" customHeight="1">
      <c r="B515" s="1689"/>
      <c r="C515" s="1432"/>
      <c r="D515" s="1432"/>
      <c r="E515" s="1432"/>
      <c r="F515" s="1432"/>
      <c r="G515" s="1432"/>
      <c r="H515" s="1433"/>
      <c r="I515" t="s">
        <v>415</v>
      </c>
      <c r="AC515" s="1695">
        <v>5</v>
      </c>
      <c r="AD515" s="1696"/>
      <c r="AE515" s="1696"/>
      <c r="AF515" s="1696"/>
      <c r="AG515" s="13" t="s">
        <v>402</v>
      </c>
      <c r="AH515" s="1402">
        <v>2025</v>
      </c>
      <c r="AI515" s="1402"/>
      <c r="AJ515" s="1402"/>
      <c r="AK515" s="1403"/>
      <c r="AZ515" s="3"/>
      <c r="BA515" s="3"/>
      <c r="BB515" s="3"/>
      <c r="BC515" s="3"/>
      <c r="BD515" s="3"/>
      <c r="BE515" s="3"/>
      <c r="BF515" s="3"/>
      <c r="BG515" s="3"/>
      <c r="BH515" s="3"/>
      <c r="BI515" s="3"/>
      <c r="BJ515" s="3"/>
      <c r="BK515" s="3"/>
      <c r="BL515" s="3"/>
      <c r="BM515" s="3"/>
      <c r="BN515" s="3" t="s">
        <v>2107</v>
      </c>
    </row>
    <row r="516" spans="2:66" ht="12.95" customHeight="1">
      <c r="B516" s="1689"/>
      <c r="C516" s="1432"/>
      <c r="D516" s="1432"/>
      <c r="E516" s="1432"/>
      <c r="F516" s="1432"/>
      <c r="G516" s="1432"/>
      <c r="H516" s="1433"/>
      <c r="I516" s="48" t="s">
        <v>416</v>
      </c>
      <c r="J516" s="48"/>
      <c r="K516" s="48"/>
      <c r="L516" s="48"/>
      <c r="M516" s="48"/>
      <c r="N516" s="48"/>
      <c r="O516" s="48"/>
      <c r="P516" s="48"/>
      <c r="Q516" s="48"/>
      <c r="R516" s="48"/>
      <c r="S516" s="48"/>
      <c r="T516" s="48"/>
      <c r="U516" s="48"/>
      <c r="V516" s="48"/>
      <c r="W516" s="48"/>
      <c r="X516" s="48"/>
      <c r="Y516" s="48"/>
      <c r="Z516" s="48"/>
      <c r="AA516" s="48"/>
      <c r="AB516" s="48"/>
      <c r="AC516" s="1695">
        <v>2</v>
      </c>
      <c r="AD516" s="1696"/>
      <c r="AE516" s="1696"/>
      <c r="AF516" s="1696"/>
      <c r="AG516" s="38" t="s">
        <v>402</v>
      </c>
      <c r="AH516" s="1402">
        <v>2026</v>
      </c>
      <c r="AI516" s="1402"/>
      <c r="AJ516" s="1402"/>
      <c r="AK516" s="1403"/>
      <c r="AZ516" s="3"/>
      <c r="BA516" s="3"/>
      <c r="BB516" s="3"/>
      <c r="BC516" s="3"/>
      <c r="BD516" s="3"/>
      <c r="BE516" s="3"/>
      <c r="BF516" s="3"/>
      <c r="BG516" s="3"/>
      <c r="BH516" s="3"/>
      <c r="BI516" s="3"/>
      <c r="BJ516" s="3"/>
      <c r="BK516" s="3"/>
      <c r="BL516" s="3"/>
      <c r="BM516" s="3"/>
      <c r="BN516" s="3" t="s">
        <v>2108</v>
      </c>
    </row>
    <row r="517" spans="2:66" ht="12.95" customHeight="1">
      <c r="B517" s="1688" t="s">
        <v>417</v>
      </c>
      <c r="C517" s="1430"/>
      <c r="D517" s="1430"/>
      <c r="E517" s="1430"/>
      <c r="F517" s="1430"/>
      <c r="G517" s="1430"/>
      <c r="H517" s="1431"/>
      <c r="I517" s="42" t="s">
        <v>414</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402</v>
      </c>
      <c r="AH517" s="1402">
        <v>2025</v>
      </c>
      <c r="AI517" s="1402"/>
      <c r="AJ517" s="1402"/>
      <c r="AK517" s="1403"/>
      <c r="AZ517" s="3"/>
      <c r="BB517" s="3"/>
      <c r="BC517" s="3"/>
      <c r="BD517" s="3"/>
      <c r="BE517" s="3"/>
      <c r="BF517" s="3"/>
      <c r="BG517" s="3"/>
      <c r="BH517" s="3"/>
      <c r="BI517" s="3"/>
      <c r="BJ517" s="3"/>
      <c r="BK517" s="3"/>
      <c r="BL517" s="3"/>
      <c r="BM517" s="3"/>
      <c r="BN517" s="3" t="s">
        <v>2109</v>
      </c>
    </row>
    <row r="518" spans="2:66" ht="12.95" customHeight="1">
      <c r="B518" s="1689"/>
      <c r="C518" s="1432"/>
      <c r="D518" s="1432"/>
      <c r="E518" s="1432"/>
      <c r="F518" s="1432"/>
      <c r="G518" s="1432"/>
      <c r="H518" s="1433"/>
      <c r="I518" t="s">
        <v>415</v>
      </c>
      <c r="AC518" s="1695">
        <v>5</v>
      </c>
      <c r="AD518" s="1696"/>
      <c r="AE518" s="1696"/>
      <c r="AF518" s="1696"/>
      <c r="AG518" s="13" t="s">
        <v>402</v>
      </c>
      <c r="AH518" s="1402">
        <v>2025</v>
      </c>
      <c r="AI518" s="1402"/>
      <c r="AJ518" s="1402"/>
      <c r="AK518" s="1403"/>
      <c r="BB518" s="3"/>
      <c r="BC518" s="3"/>
      <c r="BD518" s="3"/>
      <c r="BE518" s="3"/>
      <c r="BF518" s="3"/>
      <c r="BG518" s="3"/>
      <c r="BH518" s="3"/>
      <c r="BI518" s="3"/>
      <c r="BJ518" s="3"/>
      <c r="BK518" s="3"/>
      <c r="BL518" s="3"/>
      <c r="BM518" s="3"/>
      <c r="BN518" s="3" t="s">
        <v>2110</v>
      </c>
    </row>
    <row r="519" spans="2:66" ht="12.95" customHeight="1">
      <c r="B519" s="1690"/>
      <c r="C519" s="1434"/>
      <c r="D519" s="1434"/>
      <c r="E519" s="1434"/>
      <c r="F519" s="1434"/>
      <c r="G519" s="1434"/>
      <c r="H519" s="1435"/>
      <c r="I519" s="48" t="s">
        <v>416</v>
      </c>
      <c r="J519" s="48"/>
      <c r="K519" s="48"/>
      <c r="L519" s="48"/>
      <c r="M519" s="48"/>
      <c r="N519" s="48"/>
      <c r="O519" s="48"/>
      <c r="P519" s="48"/>
      <c r="Q519" s="48"/>
      <c r="R519" s="48"/>
      <c r="S519" s="48"/>
      <c r="T519" s="48"/>
      <c r="U519" s="48"/>
      <c r="V519" s="48"/>
      <c r="W519" s="48"/>
      <c r="X519" s="48"/>
      <c r="Y519" s="48"/>
      <c r="Z519" s="48"/>
      <c r="AA519" s="48"/>
      <c r="AB519" s="48"/>
      <c r="AC519" s="1695">
        <v>1</v>
      </c>
      <c r="AD519" s="1696"/>
      <c r="AE519" s="1696"/>
      <c r="AF519" s="1696"/>
      <c r="AG519" s="38" t="s">
        <v>402</v>
      </c>
      <c r="AH519" s="1402">
        <v>2028</v>
      </c>
      <c r="AI519" s="1402"/>
      <c r="AJ519" s="1402"/>
      <c r="AK519" s="1403"/>
      <c r="BB519" s="3"/>
      <c r="BC519" s="3"/>
      <c r="BD519" s="3"/>
      <c r="BE519" s="3"/>
      <c r="BF519" s="3"/>
      <c r="BG519" s="3"/>
      <c r="BH519" s="3"/>
      <c r="BI519" s="3"/>
      <c r="BJ519" s="3"/>
      <c r="BK519" s="3"/>
      <c r="BL519" s="3"/>
      <c r="BM519" s="3"/>
      <c r="BN519" s="3" t="s">
        <v>2111</v>
      </c>
    </row>
    <row r="520" spans="2:66" ht="12.95" customHeight="1">
      <c r="B520" s="1688" t="s">
        <v>418</v>
      </c>
      <c r="C520" s="1430"/>
      <c r="D520" s="1430"/>
      <c r="E520" s="1430"/>
      <c r="F520" s="1430"/>
      <c r="G520" s="1430"/>
      <c r="H520" s="1431"/>
      <c r="I520" s="41" t="s">
        <v>419</v>
      </c>
      <c r="J520" s="42"/>
      <c r="K520" s="42"/>
      <c r="L520" s="42"/>
      <c r="M520" s="42"/>
      <c r="N520" s="42"/>
      <c r="O520" s="1749" t="str">
        <f>C555</f>
        <v>Taxable Construction Loan</v>
      </c>
      <c r="P520" s="1750"/>
      <c r="Q520" s="1750"/>
      <c r="R520" s="1750"/>
      <c r="S520" s="1750"/>
      <c r="T520" s="1750"/>
      <c r="U520" s="1750"/>
      <c r="V520" s="1750"/>
      <c r="W520" s="1750"/>
      <c r="X520" s="1750"/>
      <c r="Y520" s="1750"/>
      <c r="Z520" s="1750"/>
      <c r="AA520" s="1750"/>
      <c r="AB520" s="58"/>
      <c r="AC520" s="1337" t="s">
        <v>591</v>
      </c>
      <c r="AD520" s="1338"/>
      <c r="AE520" s="1338"/>
      <c r="AF520" s="1338"/>
      <c r="AG520" s="129" t="s">
        <v>402</v>
      </c>
      <c r="AH520" s="1402"/>
      <c r="AI520" s="1402"/>
      <c r="AJ520" s="1402"/>
      <c r="AK520" s="1403"/>
      <c r="AZ520" s="3"/>
      <c r="BB520" s="3"/>
      <c r="BC520" s="3"/>
      <c r="BD520" s="3"/>
      <c r="BE520" s="3"/>
      <c r="BF520" s="3"/>
      <c r="BG520" s="3"/>
      <c r="BH520" s="3"/>
      <c r="BI520" s="3"/>
      <c r="BJ520" s="3"/>
      <c r="BK520" s="3"/>
      <c r="BL520" s="3"/>
      <c r="BM520" s="3"/>
      <c r="BN520" s="3" t="s">
        <v>2112</v>
      </c>
    </row>
    <row r="521" spans="2:66" ht="12.95" customHeight="1">
      <c r="B521" s="1689"/>
      <c r="C521" s="1432"/>
      <c r="D521" s="1432"/>
      <c r="E521" s="1432"/>
      <c r="F521" s="1432"/>
      <c r="G521" s="1432"/>
      <c r="H521" s="1433"/>
      <c r="I521" s="114" t="s">
        <v>420</v>
      </c>
      <c r="AB521" s="65"/>
      <c r="AC521" s="1695">
        <v>6</v>
      </c>
      <c r="AD521" s="1696"/>
      <c r="AE521" s="1696"/>
      <c r="AF521" s="1696"/>
      <c r="AG521" s="13" t="s">
        <v>402</v>
      </c>
      <c r="AH521" s="1402">
        <v>2024</v>
      </c>
      <c r="AI521" s="1402"/>
      <c r="AJ521" s="1402"/>
      <c r="AK521" s="1403"/>
      <c r="AZ521" s="3"/>
      <c r="BB521" s="3"/>
      <c r="BC521" s="3"/>
      <c r="BD521" s="3"/>
      <c r="BE521" s="3"/>
      <c r="BF521" s="3"/>
      <c r="BG521" s="3"/>
      <c r="BH521" s="3"/>
      <c r="BI521" s="3"/>
      <c r="BJ521" s="3"/>
      <c r="BK521" s="3"/>
      <c r="BL521" s="3"/>
      <c r="BM521" s="3"/>
      <c r="BN521" s="3" t="s">
        <v>2113</v>
      </c>
    </row>
    <row r="522" spans="2:66" ht="12.95" customHeight="1">
      <c r="B522" s="1689"/>
      <c r="C522" s="1432"/>
      <c r="D522" s="1432"/>
      <c r="E522" s="1432"/>
      <c r="F522" s="1432"/>
      <c r="G522" s="1432"/>
      <c r="H522" s="1433"/>
      <c r="I522" s="47" t="s">
        <v>421</v>
      </c>
      <c r="J522" s="48"/>
      <c r="K522" s="48"/>
      <c r="L522" s="48"/>
      <c r="M522" s="48"/>
      <c r="N522" s="48"/>
      <c r="O522" s="48"/>
      <c r="P522" s="48"/>
      <c r="Q522" s="48"/>
      <c r="R522" s="48"/>
      <c r="S522" s="48"/>
      <c r="T522" s="48"/>
      <c r="U522" s="48"/>
      <c r="V522" s="48"/>
      <c r="W522" s="48"/>
      <c r="X522" s="48"/>
      <c r="Y522" s="48"/>
      <c r="Z522" s="48"/>
      <c r="AA522" s="48"/>
      <c r="AB522" s="49"/>
      <c r="AC522" s="1695">
        <v>10</v>
      </c>
      <c r="AD522" s="1696"/>
      <c r="AE522" s="1696"/>
      <c r="AF522" s="1696"/>
      <c r="AG522" s="38" t="s">
        <v>402</v>
      </c>
      <c r="AH522" s="1402">
        <v>2024</v>
      </c>
      <c r="AI522" s="1402"/>
      <c r="AJ522" s="1402"/>
      <c r="AK522" s="1403"/>
      <c r="AZ522" s="3"/>
      <c r="BA522" s="3"/>
      <c r="BB522" s="3"/>
      <c r="BC522" s="3"/>
      <c r="BD522" s="3"/>
      <c r="BE522" s="3"/>
      <c r="BF522" s="3"/>
      <c r="BG522" s="3"/>
      <c r="BH522" s="3"/>
      <c r="BI522" s="3"/>
      <c r="BJ522" s="3"/>
      <c r="BK522" s="3"/>
      <c r="BL522" s="3"/>
      <c r="BM522" s="3"/>
      <c r="BN522" s="3" t="s">
        <v>2114</v>
      </c>
    </row>
    <row r="523" spans="2:66" ht="12.95" customHeight="1">
      <c r="B523" s="1689"/>
      <c r="C523" s="1432"/>
      <c r="D523" s="1432"/>
      <c r="E523" s="1432"/>
      <c r="F523" s="1432"/>
      <c r="G523" s="1432"/>
      <c r="H523" s="1433"/>
      <c r="I523" s="42" t="s">
        <v>422</v>
      </c>
      <c r="J523" s="42"/>
      <c r="K523" s="42"/>
      <c r="L523" s="42"/>
      <c r="M523" s="42"/>
      <c r="N523" s="42"/>
      <c r="O523" s="1749" t="str">
        <f>C556</f>
        <v>Alliance Housing Fund</v>
      </c>
      <c r="P523" s="1750"/>
      <c r="Q523" s="1750"/>
      <c r="R523" s="1750"/>
      <c r="S523" s="1750"/>
      <c r="T523" s="1750"/>
      <c r="U523" s="1750"/>
      <c r="V523" s="1750"/>
      <c r="W523" s="1750"/>
      <c r="X523" s="1750"/>
      <c r="Y523" s="1750"/>
      <c r="Z523" s="1750"/>
      <c r="AA523" s="1750"/>
      <c r="AC523" s="1695" t="s">
        <v>591</v>
      </c>
      <c r="AD523" s="1696"/>
      <c r="AE523" s="1696"/>
      <c r="AF523" s="1696"/>
      <c r="AG523" s="13" t="s">
        <v>402</v>
      </c>
      <c r="AH523" s="1402"/>
      <c r="AI523" s="1402"/>
      <c r="AJ523" s="1402"/>
      <c r="AK523" s="1403"/>
      <c r="AZ523" s="3"/>
      <c r="BA523" s="3"/>
      <c r="BB523" s="3"/>
      <c r="BC523" s="3"/>
      <c r="BD523" s="3"/>
      <c r="BE523" s="3"/>
      <c r="BF523" s="3"/>
      <c r="BG523" s="3"/>
      <c r="BH523" s="3"/>
      <c r="BI523" s="3"/>
      <c r="BJ523" s="3"/>
      <c r="BK523" s="3"/>
      <c r="BL523" s="3"/>
      <c r="BM523" s="3"/>
      <c r="BN523" s="3" t="s">
        <v>2115</v>
      </c>
    </row>
    <row r="524" spans="2:66" ht="12.95" customHeight="1">
      <c r="B524" s="1689"/>
      <c r="C524" s="1432"/>
      <c r="D524" s="1432"/>
      <c r="E524" s="1432"/>
      <c r="F524" s="1432"/>
      <c r="G524" s="1432"/>
      <c r="H524" s="1433"/>
      <c r="I524" t="s">
        <v>420</v>
      </c>
      <c r="AC524" s="1695">
        <v>12</v>
      </c>
      <c r="AD524" s="1696"/>
      <c r="AE524" s="1696"/>
      <c r="AF524" s="1696"/>
      <c r="AG524" s="13" t="s">
        <v>402</v>
      </c>
      <c r="AH524" s="1402">
        <v>2023</v>
      </c>
      <c r="AI524" s="1402"/>
      <c r="AJ524" s="1402"/>
      <c r="AK524" s="1403"/>
      <c r="AZ524" s="3"/>
      <c r="BA524" s="3"/>
      <c r="BB524" s="3"/>
      <c r="BC524" s="3"/>
      <c r="BD524" s="3"/>
      <c r="BE524" s="3"/>
      <c r="BF524" s="3"/>
      <c r="BG524" s="3"/>
      <c r="BH524" s="3"/>
      <c r="BI524" s="3"/>
      <c r="BJ524" s="3"/>
      <c r="BK524" s="3"/>
      <c r="BL524" s="3"/>
      <c r="BM524" s="3"/>
      <c r="BN524" s="3" t="s">
        <v>2116</v>
      </c>
    </row>
    <row r="525" spans="2:66" ht="12.95" customHeight="1">
      <c r="B525" s="1689"/>
      <c r="C525" s="1432"/>
      <c r="D525" s="1432"/>
      <c r="E525" s="1432"/>
      <c r="F525" s="1432"/>
      <c r="G525" s="1432"/>
      <c r="H525" s="1433"/>
      <c r="I525" s="48" t="s">
        <v>421</v>
      </c>
      <c r="J525" s="48"/>
      <c r="K525" s="48"/>
      <c r="L525" s="48"/>
      <c r="M525" s="48"/>
      <c r="N525" s="48"/>
      <c r="O525" s="48"/>
      <c r="P525" s="48"/>
      <c r="Q525" s="48"/>
      <c r="R525" s="48"/>
      <c r="S525" s="48"/>
      <c r="T525" s="48"/>
      <c r="U525" s="48"/>
      <c r="V525" s="48"/>
      <c r="W525" s="48"/>
      <c r="X525" s="48"/>
      <c r="Y525" s="48"/>
      <c r="Z525" s="48"/>
      <c r="AA525" s="48"/>
      <c r="AB525" s="48"/>
      <c r="AC525" s="1695">
        <v>8</v>
      </c>
      <c r="AD525" s="1696"/>
      <c r="AE525" s="1696"/>
      <c r="AF525" s="1696"/>
      <c r="AG525" s="38" t="s">
        <v>402</v>
      </c>
      <c r="AH525" s="1402">
        <v>2024</v>
      </c>
      <c r="AI525" s="1402"/>
      <c r="AJ525" s="1402"/>
      <c r="AK525" s="1403"/>
      <c r="AZ525" s="3"/>
      <c r="BA525" s="3"/>
      <c r="BB525" s="3"/>
      <c r="BC525" s="3"/>
      <c r="BD525" s="3"/>
      <c r="BE525" s="3"/>
      <c r="BF525" s="3"/>
      <c r="BG525" s="3"/>
      <c r="BH525" s="3"/>
      <c r="BI525" s="3"/>
      <c r="BJ525" s="3"/>
      <c r="BK525" s="3"/>
      <c r="BL525" s="3"/>
      <c r="BM525" s="3"/>
      <c r="BN525" s="3" t="s">
        <v>2117</v>
      </c>
    </row>
    <row r="526" spans="2:66" ht="12.95" customHeight="1">
      <c r="B526" s="1689"/>
      <c r="C526" s="1432"/>
      <c r="D526" s="1432"/>
      <c r="E526" s="1432"/>
      <c r="F526" s="1432"/>
      <c r="G526" s="1432"/>
      <c r="H526" s="1433"/>
      <c r="I526" s="42" t="s">
        <v>422</v>
      </c>
      <c r="J526" s="42"/>
      <c r="K526" s="42"/>
      <c r="L526" s="42"/>
      <c r="M526" s="42"/>
      <c r="N526" s="42"/>
      <c r="O526" s="1749" t="str">
        <f>C557</f>
        <v>REAP: Regional Competitiveness Grant</v>
      </c>
      <c r="P526" s="1750"/>
      <c r="Q526" s="1750"/>
      <c r="R526" s="1750"/>
      <c r="S526" s="1750"/>
      <c r="T526" s="1750"/>
      <c r="U526" s="1750"/>
      <c r="V526" s="1750"/>
      <c r="W526" s="1750"/>
      <c r="X526" s="1750"/>
      <c r="Y526" s="1750"/>
      <c r="Z526" s="1750"/>
      <c r="AA526" s="1750"/>
      <c r="AC526" s="1695" t="s">
        <v>591</v>
      </c>
      <c r="AD526" s="1696"/>
      <c r="AE526" s="1696"/>
      <c r="AF526" s="1696"/>
      <c r="AG526" s="13" t="s">
        <v>402</v>
      </c>
      <c r="AH526" s="1402"/>
      <c r="AI526" s="1402"/>
      <c r="AJ526" s="1402"/>
      <c r="AK526" s="1403"/>
      <c r="AZ526" s="3"/>
      <c r="BA526" s="3"/>
      <c r="BB526" s="3"/>
      <c r="BC526" s="3"/>
      <c r="BD526" s="3"/>
      <c r="BE526" s="3"/>
      <c r="BF526" s="3"/>
      <c r="BG526" s="3"/>
      <c r="BH526" s="3"/>
      <c r="BI526" s="3"/>
      <c r="BJ526" s="3"/>
      <c r="BK526" s="3"/>
      <c r="BL526" s="3"/>
      <c r="BM526" s="3"/>
      <c r="BN526" s="3" t="s">
        <v>2118</v>
      </c>
    </row>
    <row r="527" spans="2:66" ht="12.95" customHeight="1">
      <c r="B527" s="1689"/>
      <c r="C527" s="1432"/>
      <c r="D527" s="1432"/>
      <c r="E527" s="1432"/>
      <c r="F527" s="1432"/>
      <c r="G527" s="1432"/>
      <c r="H527" s="1433"/>
      <c r="I527" t="s">
        <v>420</v>
      </c>
      <c r="AC527" s="1695">
        <v>10</v>
      </c>
      <c r="AD527" s="1696"/>
      <c r="AE527" s="1696"/>
      <c r="AF527" s="1696"/>
      <c r="AG527" s="13" t="s">
        <v>402</v>
      </c>
      <c r="AH527" s="1402">
        <v>2022</v>
      </c>
      <c r="AI527" s="1402"/>
      <c r="AJ527" s="1402"/>
      <c r="AK527" s="1403"/>
      <c r="AZ527" s="3"/>
      <c r="BA527" s="3"/>
      <c r="BB527" s="3"/>
      <c r="BC527" s="3"/>
      <c r="BD527" s="3"/>
      <c r="BE527" s="3"/>
      <c r="BF527" s="3"/>
      <c r="BG527" s="3"/>
      <c r="BH527" s="3"/>
      <c r="BI527" s="3"/>
      <c r="BJ527" s="3"/>
      <c r="BK527" s="3"/>
      <c r="BL527" s="3"/>
      <c r="BM527" s="3"/>
      <c r="BN527" s="3" t="s">
        <v>2119</v>
      </c>
    </row>
    <row r="528" spans="2:66" ht="12.95" customHeight="1">
      <c r="B528" s="1689"/>
      <c r="C528" s="1432"/>
      <c r="D528" s="1432"/>
      <c r="E528" s="1432"/>
      <c r="F528" s="1432"/>
      <c r="G528" s="1432"/>
      <c r="H528" s="1433"/>
      <c r="I528" s="48" t="s">
        <v>421</v>
      </c>
      <c r="J528" s="48"/>
      <c r="K528" s="48"/>
      <c r="L528" s="48"/>
      <c r="M528" s="48"/>
      <c r="N528" s="48"/>
      <c r="O528" s="48"/>
      <c r="P528" s="48"/>
      <c r="Q528" s="48"/>
      <c r="R528" s="48"/>
      <c r="S528" s="48"/>
      <c r="T528" s="48"/>
      <c r="U528" s="48"/>
      <c r="V528" s="48"/>
      <c r="W528" s="48"/>
      <c r="X528" s="48"/>
      <c r="Y528" s="48"/>
      <c r="Z528" s="48"/>
      <c r="AA528" s="48"/>
      <c r="AB528" s="48"/>
      <c r="AC528" s="1695">
        <v>11</v>
      </c>
      <c r="AD528" s="1696"/>
      <c r="AE528" s="1696"/>
      <c r="AF528" s="1696"/>
      <c r="AG528" s="38" t="s">
        <v>402</v>
      </c>
      <c r="AH528" s="1402">
        <v>2022</v>
      </c>
      <c r="AI528" s="1402"/>
      <c r="AJ528" s="1402"/>
      <c r="AK528" s="1403"/>
      <c r="AZ528" s="3"/>
      <c r="BA528" s="3"/>
      <c r="BB528" s="3"/>
      <c r="BC528" s="3"/>
      <c r="BD528" s="3"/>
      <c r="BE528" s="3"/>
      <c r="BF528" s="3"/>
      <c r="BG528" s="3"/>
      <c r="BH528" s="3"/>
      <c r="BI528" s="3"/>
      <c r="BJ528" s="3"/>
      <c r="BK528" s="3"/>
      <c r="BL528" s="3"/>
      <c r="BM528" s="3"/>
      <c r="BN528" s="3" t="s">
        <v>2120</v>
      </c>
    </row>
    <row r="529" spans="1:66" ht="12.95" customHeight="1">
      <c r="B529" s="1689"/>
      <c r="C529" s="1432"/>
      <c r="D529" s="1432"/>
      <c r="E529" s="1432"/>
      <c r="F529" s="1432"/>
      <c r="G529" s="1432"/>
      <c r="H529" s="1433"/>
      <c r="I529" s="42" t="s">
        <v>422</v>
      </c>
      <c r="J529" s="42"/>
      <c r="K529" s="42"/>
      <c r="L529" s="42"/>
      <c r="M529" s="42"/>
      <c r="N529" s="42"/>
      <c r="O529" s="1749" t="str">
        <f>C558</f>
        <v>City of Merced PLHA</v>
      </c>
      <c r="P529" s="1750"/>
      <c r="Q529" s="1750"/>
      <c r="R529" s="1750"/>
      <c r="S529" s="1750"/>
      <c r="T529" s="1750"/>
      <c r="U529" s="1750"/>
      <c r="V529" s="1750"/>
      <c r="W529" s="1750"/>
      <c r="X529" s="1750"/>
      <c r="Y529" s="1750"/>
      <c r="Z529" s="1750"/>
      <c r="AA529" s="1750"/>
      <c r="AC529" s="1695" t="s">
        <v>591</v>
      </c>
      <c r="AD529" s="1696"/>
      <c r="AE529" s="1696"/>
      <c r="AF529" s="1696"/>
      <c r="AG529" s="13" t="s">
        <v>402</v>
      </c>
      <c r="AH529" s="1402"/>
      <c r="AI529" s="1402"/>
      <c r="AJ529" s="1402"/>
      <c r="AK529" s="1403"/>
      <c r="AZ529" s="3"/>
      <c r="BA529" s="3"/>
      <c r="BB529" s="3"/>
      <c r="BC529" s="3"/>
      <c r="BD529" s="3"/>
      <c r="BE529" s="3"/>
      <c r="BF529" s="3"/>
      <c r="BG529" s="3"/>
      <c r="BH529" s="3"/>
      <c r="BI529" s="3"/>
      <c r="BJ529" s="3"/>
      <c r="BK529" s="3"/>
      <c r="BL529" s="3"/>
      <c r="BM529" s="3"/>
      <c r="BN529" s="3" t="s">
        <v>2121</v>
      </c>
    </row>
    <row r="530" spans="1:66" ht="12.95" customHeight="1">
      <c r="B530" s="1689"/>
      <c r="C530" s="1432"/>
      <c r="D530" s="1432"/>
      <c r="E530" s="1432"/>
      <c r="F530" s="1432"/>
      <c r="G530" s="1432"/>
      <c r="H530" s="1433"/>
      <c r="I530" t="s">
        <v>420</v>
      </c>
      <c r="AC530" s="1695">
        <v>3</v>
      </c>
      <c r="AD530" s="1696"/>
      <c r="AE530" s="1696"/>
      <c r="AF530" s="1696"/>
      <c r="AG530" s="13" t="s">
        <v>402</v>
      </c>
      <c r="AH530" s="1402">
        <v>2024</v>
      </c>
      <c r="AI530" s="1402"/>
      <c r="AJ530" s="1402"/>
      <c r="AK530" s="1403"/>
      <c r="AZ530" s="3"/>
      <c r="BA530" s="3"/>
      <c r="BB530" s="3"/>
      <c r="BC530" s="3"/>
      <c r="BD530" s="3"/>
      <c r="BE530" s="3"/>
      <c r="BF530" s="3"/>
      <c r="BG530" s="3"/>
      <c r="BH530" s="3"/>
      <c r="BI530" s="3"/>
      <c r="BJ530" s="3"/>
      <c r="BK530" s="3"/>
      <c r="BL530" s="3"/>
      <c r="BM530" s="3"/>
      <c r="BN530" s="3" t="s">
        <v>2122</v>
      </c>
    </row>
    <row r="531" spans="1:66" ht="12.95" customHeight="1">
      <c r="B531" s="1689"/>
      <c r="C531" s="1432"/>
      <c r="D531" s="1432"/>
      <c r="E531" s="1432"/>
      <c r="F531" s="1432"/>
      <c r="G531" s="1432"/>
      <c r="H531" s="1433"/>
      <c r="I531" s="48" t="s">
        <v>421</v>
      </c>
      <c r="J531" s="48"/>
      <c r="K531" s="48"/>
      <c r="L531" s="48"/>
      <c r="M531" s="48"/>
      <c r="N531" s="48"/>
      <c r="O531" s="48"/>
      <c r="P531" s="48"/>
      <c r="Q531" s="48"/>
      <c r="R531" s="48"/>
      <c r="S531" s="48"/>
      <c r="T531" s="48"/>
      <c r="U531" s="48"/>
      <c r="V531" s="48"/>
      <c r="W531" s="48"/>
      <c r="X531" s="48"/>
      <c r="Y531" s="48"/>
      <c r="Z531" s="48"/>
      <c r="AA531" s="48"/>
      <c r="AB531" s="48"/>
      <c r="AC531" s="1695">
        <v>6</v>
      </c>
      <c r="AD531" s="1696"/>
      <c r="AE531" s="1696"/>
      <c r="AF531" s="1696"/>
      <c r="AG531" s="38" t="s">
        <v>402</v>
      </c>
      <c r="AH531" s="1402">
        <v>2024</v>
      </c>
      <c r="AI531" s="1402"/>
      <c r="AJ531" s="1402"/>
      <c r="AK531" s="1403"/>
      <c r="AZ531" s="3"/>
      <c r="BA531" s="3"/>
      <c r="BB531" s="3"/>
      <c r="BC531" s="3"/>
      <c r="BD531" s="3"/>
      <c r="BE531" s="3"/>
      <c r="BF531" s="3"/>
      <c r="BG531" s="3"/>
      <c r="BH531" s="3"/>
      <c r="BI531" s="3"/>
      <c r="BJ531" s="3"/>
      <c r="BK531" s="3"/>
      <c r="BL531" s="3"/>
      <c r="BM531" s="3"/>
      <c r="BN531" s="3" t="s">
        <v>2123</v>
      </c>
    </row>
    <row r="532" spans="1:66" ht="12.95" customHeight="1">
      <c r="B532" s="1689"/>
      <c r="C532" s="1432"/>
      <c r="D532" s="1432"/>
      <c r="E532" s="1432"/>
      <c r="F532" s="1432"/>
      <c r="G532" s="1432"/>
      <c r="H532" s="1433"/>
      <c r="I532" s="42" t="s">
        <v>422</v>
      </c>
      <c r="J532" s="42"/>
      <c r="K532" s="42"/>
      <c r="L532" s="42"/>
      <c r="M532" s="42"/>
      <c r="N532" s="42"/>
      <c r="O532" s="1749" t="s">
        <v>333</v>
      </c>
      <c r="P532" s="1750"/>
      <c r="Q532" s="1750"/>
      <c r="R532" s="1750"/>
      <c r="S532" s="1750"/>
      <c r="T532" s="1750"/>
      <c r="U532" s="1750"/>
      <c r="V532" s="1750"/>
      <c r="W532" s="1750"/>
      <c r="X532" s="1750"/>
      <c r="Y532" s="1750"/>
      <c r="Z532" s="1750"/>
      <c r="AA532" s="1750"/>
      <c r="AC532" s="1695" t="s">
        <v>591</v>
      </c>
      <c r="AD532" s="1696"/>
      <c r="AE532" s="1696"/>
      <c r="AF532" s="1696"/>
      <c r="AG532" s="13" t="s">
        <v>402</v>
      </c>
      <c r="AH532" s="1402"/>
      <c r="AI532" s="1402"/>
      <c r="AJ532" s="1402"/>
      <c r="AK532" s="1403"/>
      <c r="AZ532" s="3"/>
      <c r="BA532" s="3"/>
      <c r="BB532" s="3"/>
      <c r="BC532" s="3"/>
      <c r="BD532" s="3"/>
      <c r="BE532" s="3"/>
      <c r="BF532" s="3"/>
      <c r="BG532" s="3"/>
      <c r="BH532" s="3"/>
      <c r="BI532" s="3"/>
      <c r="BJ532" s="3"/>
      <c r="BK532" s="3"/>
      <c r="BL532" s="3"/>
      <c r="BM532" s="3"/>
      <c r="BN532" s="3" t="s">
        <v>2124</v>
      </c>
    </row>
    <row r="533" spans="1:66" ht="12.95" customHeight="1">
      <c r="B533" s="1689"/>
      <c r="C533" s="1432"/>
      <c r="D533" s="1432"/>
      <c r="E533" s="1432"/>
      <c r="F533" s="1432"/>
      <c r="G533" s="1432"/>
      <c r="H533" s="1433"/>
      <c r="I533" t="s">
        <v>420</v>
      </c>
      <c r="AC533" s="1695" t="s">
        <v>591</v>
      </c>
      <c r="AD533" s="1696"/>
      <c r="AE533" s="1696"/>
      <c r="AF533" s="1696"/>
      <c r="AG533" s="38" t="s">
        <v>402</v>
      </c>
      <c r="AH533" s="1402"/>
      <c r="AI533" s="1402"/>
      <c r="AJ533" s="1402"/>
      <c r="AK533" s="1403"/>
      <c r="AZ533" s="3"/>
      <c r="BA533" s="3"/>
      <c r="BB533" s="3"/>
      <c r="BC533" s="3"/>
      <c r="BD533" s="3"/>
      <c r="BE533" s="3"/>
      <c r="BF533" s="3"/>
      <c r="BG533" s="3"/>
      <c r="BH533" s="3"/>
      <c r="BI533" s="3"/>
      <c r="BJ533" s="3"/>
      <c r="BK533" s="3"/>
      <c r="BL533" s="3"/>
      <c r="BM533" s="3"/>
      <c r="BN533" s="3" t="s">
        <v>2125</v>
      </c>
    </row>
    <row r="534" spans="1:66" ht="12.95" customHeight="1">
      <c r="B534" s="1689"/>
      <c r="C534" s="1432"/>
      <c r="D534" s="1432"/>
      <c r="E534" s="1432"/>
      <c r="F534" s="1432"/>
      <c r="G534" s="1432"/>
      <c r="H534" s="1433"/>
      <c r="I534" s="48" t="s">
        <v>421</v>
      </c>
      <c r="J534" s="48"/>
      <c r="K534" s="48"/>
      <c r="L534" s="48"/>
      <c r="M534" s="48"/>
      <c r="N534" s="48"/>
      <c r="O534" s="48"/>
      <c r="P534" s="48"/>
      <c r="Q534" s="48"/>
      <c r="R534" s="48"/>
      <c r="S534" s="48"/>
      <c r="T534" s="48"/>
      <c r="U534" s="48"/>
      <c r="V534" s="48"/>
      <c r="W534" s="48"/>
      <c r="X534" s="48"/>
      <c r="Y534" s="48"/>
      <c r="Z534" s="48"/>
      <c r="AA534" s="48"/>
      <c r="AB534" s="48"/>
      <c r="AC534" s="1695" t="s">
        <v>591</v>
      </c>
      <c r="AD534" s="1696"/>
      <c r="AE534" s="1696"/>
      <c r="AF534" s="1696"/>
      <c r="AG534" s="13" t="s">
        <v>402</v>
      </c>
      <c r="AH534" s="1402"/>
      <c r="AI534" s="1402"/>
      <c r="AJ534" s="1402"/>
      <c r="AK534" s="1403"/>
      <c r="AZ534" s="3"/>
      <c r="BA534" s="3"/>
      <c r="BB534" s="3"/>
      <c r="BC534" s="3"/>
      <c r="BD534" s="3"/>
      <c r="BE534" s="3"/>
      <c r="BF534" s="3"/>
      <c r="BG534" s="3"/>
      <c r="BH534" s="3"/>
      <c r="BI534" s="3"/>
      <c r="BJ534" s="3"/>
      <c r="BK534" s="3"/>
      <c r="BL534" s="3"/>
      <c r="BM534" s="3"/>
      <c r="BN534" s="3" t="s">
        <v>2126</v>
      </c>
    </row>
    <row r="535" spans="1:66" ht="12.95" customHeight="1">
      <c r="B535" s="1689"/>
      <c r="C535" s="1432"/>
      <c r="D535" s="1432"/>
      <c r="E535" s="1432"/>
      <c r="F535" s="1432"/>
      <c r="G535" s="1432"/>
      <c r="H535" s="1433"/>
      <c r="I535" s="42" t="s">
        <v>422</v>
      </c>
      <c r="J535" s="42"/>
      <c r="K535" s="42"/>
      <c r="L535" s="42"/>
      <c r="M535" s="42"/>
      <c r="N535" s="42"/>
      <c r="O535" s="1749" t="s">
        <v>333</v>
      </c>
      <c r="P535" s="1750"/>
      <c r="Q535" s="1750"/>
      <c r="R535" s="1750"/>
      <c r="S535" s="1750"/>
      <c r="T535" s="1750"/>
      <c r="U535" s="1750"/>
      <c r="V535" s="1750"/>
      <c r="W535" s="1750"/>
      <c r="X535" s="1750"/>
      <c r="Y535" s="1750"/>
      <c r="Z535" s="1750"/>
      <c r="AA535" s="1750"/>
      <c r="AC535" s="1695" t="s">
        <v>591</v>
      </c>
      <c r="AD535" s="1696"/>
      <c r="AE535" s="1696"/>
      <c r="AF535" s="1696"/>
      <c r="AG535" s="38" t="s">
        <v>402</v>
      </c>
      <c r="AH535" s="1402"/>
      <c r="AI535" s="1402"/>
      <c r="AJ535" s="1402"/>
      <c r="AK535" s="1403"/>
      <c r="AZ535" s="3"/>
      <c r="BA535" s="3"/>
      <c r="BB535" s="3"/>
      <c r="BC535" s="3"/>
      <c r="BD535" s="3"/>
      <c r="BE535" s="3"/>
      <c r="BF535" s="3"/>
      <c r="BG535" s="3"/>
      <c r="BH535" s="3"/>
      <c r="BI535" s="3"/>
      <c r="BJ535" s="3"/>
      <c r="BK535" s="3"/>
      <c r="BL535" s="3"/>
      <c r="BM535" s="3"/>
      <c r="BN535" s="3" t="s">
        <v>2127</v>
      </c>
    </row>
    <row r="536" spans="1:66" ht="12.95" customHeight="1">
      <c r="B536" s="1689"/>
      <c r="C536" s="1432"/>
      <c r="D536" s="1432"/>
      <c r="E536" s="1432"/>
      <c r="F536" s="1432"/>
      <c r="G536" s="1432"/>
      <c r="H536" s="1433"/>
      <c r="I536" t="s">
        <v>420</v>
      </c>
      <c r="AC536" s="1695" t="s">
        <v>591</v>
      </c>
      <c r="AD536" s="1696"/>
      <c r="AE536" s="1696"/>
      <c r="AF536" s="1696"/>
      <c r="AG536" s="13" t="s">
        <v>402</v>
      </c>
      <c r="AH536" s="1402"/>
      <c r="AI536" s="1402"/>
      <c r="AJ536" s="1402"/>
      <c r="AK536" s="1403"/>
      <c r="AZ536" s="3"/>
      <c r="BA536" s="3"/>
      <c r="BB536" s="3"/>
      <c r="BC536" s="3"/>
      <c r="BD536" s="3"/>
      <c r="BE536" s="3"/>
      <c r="BF536" s="3"/>
      <c r="BG536" s="3"/>
      <c r="BH536" s="3"/>
      <c r="BI536" s="3"/>
      <c r="BJ536" s="3"/>
      <c r="BK536" s="3"/>
      <c r="BL536" s="3"/>
      <c r="BM536" s="3"/>
      <c r="BN536" s="3" t="s">
        <v>2128</v>
      </c>
    </row>
    <row r="537" spans="1:66" ht="12.95" customHeight="1">
      <c r="B537" s="1689"/>
      <c r="C537" s="1432"/>
      <c r="D537" s="1432"/>
      <c r="E537" s="1432"/>
      <c r="F537" s="1432"/>
      <c r="G537" s="1432"/>
      <c r="H537" s="1433"/>
      <c r="I537" s="48" t="s">
        <v>421</v>
      </c>
      <c r="J537" s="48"/>
      <c r="K537" s="48"/>
      <c r="L537" s="48"/>
      <c r="M537" s="48"/>
      <c r="N537" s="48"/>
      <c r="O537" s="48"/>
      <c r="P537" s="48"/>
      <c r="Q537" s="48"/>
      <c r="R537" s="48"/>
      <c r="S537" s="48"/>
      <c r="T537" s="48"/>
      <c r="U537" s="48"/>
      <c r="V537" s="48"/>
      <c r="W537" s="48"/>
      <c r="X537" s="48"/>
      <c r="Y537" s="48"/>
      <c r="Z537" s="48"/>
      <c r="AA537" s="48"/>
      <c r="AB537" s="48"/>
      <c r="AC537" s="1695" t="s">
        <v>591</v>
      </c>
      <c r="AD537" s="1696"/>
      <c r="AE537" s="1696"/>
      <c r="AF537" s="1696"/>
      <c r="AG537" s="38" t="s">
        <v>402</v>
      </c>
      <c r="AH537" s="1402"/>
      <c r="AI537" s="1402"/>
      <c r="AJ537" s="1402"/>
      <c r="AK537" s="1403"/>
      <c r="AZ537" s="3"/>
      <c r="BA537" s="3"/>
      <c r="BB537" s="3"/>
      <c r="BC537" s="3"/>
      <c r="BD537" s="3"/>
      <c r="BE537" s="3"/>
      <c r="BF537" s="3"/>
      <c r="BG537" s="3"/>
      <c r="BH537" s="3"/>
      <c r="BI537" s="3"/>
      <c r="BJ537" s="3"/>
      <c r="BK537" s="3"/>
      <c r="BL537" s="3"/>
      <c r="BM537" s="3"/>
      <c r="BN537" s="3" t="s">
        <v>2129</v>
      </c>
    </row>
    <row r="538" spans="1:66" ht="12.95" customHeight="1">
      <c r="B538" s="1689"/>
      <c r="C538" s="1432"/>
      <c r="D538" s="1432"/>
      <c r="E538" s="1432"/>
      <c r="F538" s="1432"/>
      <c r="G538" s="1432"/>
      <c r="H538" s="1433"/>
      <c r="I538" s="42" t="s">
        <v>562</v>
      </c>
      <c r="J538" s="42"/>
      <c r="K538" s="42"/>
      <c r="L538" s="42"/>
      <c r="M538" s="42"/>
      <c r="N538" s="42"/>
      <c r="O538" s="42"/>
      <c r="P538" s="42"/>
      <c r="Q538" s="42"/>
      <c r="R538" s="42"/>
      <c r="S538" s="42"/>
      <c r="T538" s="42"/>
      <c r="U538" s="42"/>
      <c r="V538" s="42"/>
      <c r="W538" s="42"/>
      <c r="AC538" s="1695">
        <v>6</v>
      </c>
      <c r="AD538" s="1696"/>
      <c r="AE538" s="1696"/>
      <c r="AF538" s="1696"/>
      <c r="AG538" s="38" t="s">
        <v>402</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89"/>
      <c r="C539" s="1432"/>
      <c r="D539" s="1432"/>
      <c r="E539" s="1432"/>
      <c r="F539" s="1432"/>
      <c r="G539" s="1432"/>
      <c r="H539" s="1433"/>
      <c r="I539" t="s">
        <v>563</v>
      </c>
      <c r="AC539" s="1695">
        <v>2</v>
      </c>
      <c r="AD539" s="1696"/>
      <c r="AE539" s="1696"/>
      <c r="AF539" s="1696"/>
      <c r="AG539" s="13" t="s">
        <v>402</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89"/>
      <c r="C540" s="1432"/>
      <c r="D540" s="1432"/>
      <c r="E540" s="1432"/>
      <c r="F540" s="1432"/>
      <c r="G540" s="1432"/>
      <c r="H540" s="1433"/>
      <c r="I540" t="s">
        <v>564</v>
      </c>
      <c r="AC540" s="1695">
        <v>8</v>
      </c>
      <c r="AD540" s="1696"/>
      <c r="AE540" s="1696"/>
      <c r="AF540" s="1696"/>
      <c r="AG540" s="38" t="s">
        <v>402</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89"/>
      <c r="C541" s="1432"/>
      <c r="D541" s="1432"/>
      <c r="E541" s="1432"/>
      <c r="F541" s="1432"/>
      <c r="G541" s="1432"/>
      <c r="H541" s="1433"/>
      <c r="I541" t="s">
        <v>565</v>
      </c>
      <c r="AC541" s="1695">
        <v>8</v>
      </c>
      <c r="AD541" s="1696"/>
      <c r="AE541" s="1696"/>
      <c r="AF541" s="1696"/>
      <c r="AG541" s="38" t="s">
        <v>402</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90"/>
      <c r="C542" s="1434"/>
      <c r="D542" s="1434"/>
      <c r="E542" s="1434"/>
      <c r="F542" s="1434"/>
      <c r="G542" s="1434"/>
      <c r="H542" s="1435"/>
      <c r="I542" s="48" t="s">
        <v>451</v>
      </c>
      <c r="J542" s="48"/>
      <c r="K542" s="48"/>
      <c r="L542" s="48"/>
      <c r="M542" s="48"/>
      <c r="N542" s="48"/>
      <c r="O542" s="48"/>
      <c r="P542" s="48"/>
      <c r="Q542" s="48"/>
      <c r="R542" s="48"/>
      <c r="S542" s="48"/>
      <c r="T542" s="48"/>
      <c r="U542" s="48"/>
      <c r="V542" s="48"/>
      <c r="W542" s="48"/>
      <c r="X542" s="48"/>
      <c r="Y542" s="48"/>
      <c r="Z542" s="48"/>
      <c r="AA542" s="48"/>
      <c r="AB542" s="48"/>
      <c r="AC542" s="1695">
        <v>12</v>
      </c>
      <c r="AD542" s="1696"/>
      <c r="AE542" s="1696"/>
      <c r="AF542" s="1696"/>
      <c r="AG542" s="38" t="s">
        <v>402</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88" t="s">
        <v>2103</v>
      </c>
      <c r="C551" s="1430"/>
      <c r="D551" s="1430"/>
      <c r="E551" s="1430"/>
      <c r="F551" s="1430"/>
      <c r="G551" s="1430"/>
      <c r="H551" s="1430"/>
      <c r="I551" s="1430"/>
      <c r="J551" s="1430"/>
      <c r="K551" s="1430"/>
      <c r="L551" s="1431"/>
      <c r="M551" s="1688" t="s">
        <v>2104</v>
      </c>
      <c r="N551" s="1430"/>
      <c r="O551" s="1430"/>
      <c r="P551" s="1431"/>
      <c r="Q551" s="1688" t="s">
        <v>2130</v>
      </c>
      <c r="R551" s="1430"/>
      <c r="S551" s="1431"/>
      <c r="T551" s="1688" t="s">
        <v>2131</v>
      </c>
      <c r="U551" s="1430"/>
      <c r="V551" s="1431"/>
      <c r="W551" s="1688" t="s">
        <v>453</v>
      </c>
      <c r="X551" s="1430"/>
      <c r="Y551" s="1431"/>
      <c r="Z551" s="1688" t="s">
        <v>1852</v>
      </c>
      <c r="AA551" s="1430"/>
      <c r="AB551" s="1430"/>
      <c r="AC551" s="1430"/>
      <c r="AD551" s="1431"/>
      <c r="AE551" s="1688" t="s">
        <v>1676</v>
      </c>
      <c r="AF551" s="1430"/>
      <c r="AG551" s="1430"/>
      <c r="AH551" s="1431"/>
      <c r="AI551" s="1688" t="s">
        <v>1677</v>
      </c>
      <c r="AJ551" s="1430"/>
      <c r="AK551" s="1430"/>
      <c r="AL551" s="1431"/>
      <c r="AM551" s="1688" t="s">
        <v>454</v>
      </c>
      <c r="AN551" s="1430"/>
      <c r="AO551" s="1430"/>
      <c r="AP551" s="1430"/>
      <c r="AQ551" s="1430"/>
      <c r="AR551" s="1430"/>
      <c r="AS551" s="1431"/>
      <c r="BB551" s="3"/>
      <c r="BC551" s="3"/>
      <c r="BD551" s="3"/>
      <c r="BE551" s="3"/>
      <c r="BF551" s="3"/>
      <c r="BG551" s="3"/>
      <c r="BH551" s="3" t="s">
        <v>581</v>
      </c>
      <c r="BI551" s="3" t="str">
        <f>AG657</f>
        <v>Yes</v>
      </c>
    </row>
    <row r="552" spans="1:61" ht="12.95" customHeight="1">
      <c r="B552" s="1689"/>
      <c r="C552" s="1432"/>
      <c r="D552" s="1432"/>
      <c r="E552" s="1432"/>
      <c r="F552" s="1432"/>
      <c r="G552" s="1432"/>
      <c r="H552" s="1432"/>
      <c r="I552" s="1432"/>
      <c r="J552" s="1432"/>
      <c r="K552" s="1432"/>
      <c r="L552" s="1433"/>
      <c r="M552" s="1689"/>
      <c r="N552" s="1432"/>
      <c r="O552" s="1432"/>
      <c r="P552" s="1433"/>
      <c r="Q552" s="1689"/>
      <c r="R552" s="1432"/>
      <c r="S552" s="1433"/>
      <c r="T552" s="1689"/>
      <c r="U552" s="1432"/>
      <c r="V552" s="1433"/>
      <c r="W552" s="1689"/>
      <c r="X552" s="1432"/>
      <c r="Y552" s="1433"/>
      <c r="Z552" s="1689"/>
      <c r="AA552" s="1432"/>
      <c r="AB552" s="1432"/>
      <c r="AC552" s="1432"/>
      <c r="AD552" s="1433"/>
      <c r="AE552" s="1689"/>
      <c r="AF552" s="1432"/>
      <c r="AG552" s="1432"/>
      <c r="AH552" s="1433"/>
      <c r="AI552" s="1689"/>
      <c r="AJ552" s="1432"/>
      <c r="AK552" s="1432"/>
      <c r="AL552" s="1433"/>
      <c r="AM552" s="1689"/>
      <c r="AN552" s="1432"/>
      <c r="AO552" s="1432"/>
      <c r="AP552" s="1432"/>
      <c r="AQ552" s="1432"/>
      <c r="AR552" s="1432"/>
      <c r="AS552" s="1433"/>
      <c r="AU552" s="1147"/>
      <c r="BB552" s="3"/>
      <c r="BC552" s="3"/>
      <c r="BD552" s="3"/>
      <c r="BE552" s="3"/>
      <c r="BF552" s="3"/>
      <c r="BG552" s="3"/>
      <c r="BH552" s="3"/>
      <c r="BI552" s="3"/>
    </row>
    <row r="553" spans="1:61" ht="12.95" customHeight="1">
      <c r="B553" s="1690"/>
      <c r="C553" s="1434"/>
      <c r="D553" s="1434"/>
      <c r="E553" s="1434"/>
      <c r="F553" s="1434"/>
      <c r="G553" s="1434"/>
      <c r="H553" s="1434"/>
      <c r="I553" s="1434"/>
      <c r="J553" s="1434"/>
      <c r="K553" s="1434"/>
      <c r="L553" s="1435"/>
      <c r="M553" s="1690"/>
      <c r="N553" s="1434"/>
      <c r="O553" s="1434"/>
      <c r="P553" s="1435"/>
      <c r="Q553" s="1690"/>
      <c r="R553" s="1434"/>
      <c r="S553" s="1435"/>
      <c r="T553" s="1690"/>
      <c r="U553" s="1434"/>
      <c r="V553" s="1435"/>
      <c r="W553" s="1690"/>
      <c r="X553" s="1434"/>
      <c r="Y553" s="1435"/>
      <c r="Z553" s="1690"/>
      <c r="AA553" s="1434"/>
      <c r="AB553" s="1434"/>
      <c r="AC553" s="1434"/>
      <c r="AD553" s="1435"/>
      <c r="AE553" s="1690"/>
      <c r="AF553" s="1434"/>
      <c r="AG553" s="1434"/>
      <c r="AH553" s="1435"/>
      <c r="AI553" s="1690"/>
      <c r="AJ553" s="1434"/>
      <c r="AK553" s="1434"/>
      <c r="AL553" s="1435"/>
      <c r="AM553" s="1690"/>
      <c r="AN553" s="1434"/>
      <c r="AO553" s="1434"/>
      <c r="AP553" s="1434"/>
      <c r="AQ553" s="1434"/>
      <c r="AR553" s="1434"/>
      <c r="AS553" s="1435"/>
      <c r="AU553" s="1147"/>
      <c r="BB553" s="3"/>
      <c r="BC553" s="3"/>
      <c r="BD553" s="3"/>
      <c r="BE553" s="3"/>
      <c r="BF553" s="3"/>
      <c r="BG553" s="3"/>
      <c r="BH553" s="3"/>
      <c r="BI553" s="3"/>
    </row>
    <row r="554" spans="1:61" ht="12.95" customHeight="1">
      <c r="B554" s="51" t="s">
        <v>112</v>
      </c>
      <c r="C554" s="1674" t="s">
        <v>2698</v>
      </c>
      <c r="D554" s="1674"/>
      <c r="E554" s="1674"/>
      <c r="F554" s="1674"/>
      <c r="G554" s="1674"/>
      <c r="H554" s="1674"/>
      <c r="I554" s="1674"/>
      <c r="J554" s="1674"/>
      <c r="K554" s="1674"/>
      <c r="L554" s="1674"/>
      <c r="M554" s="1674" t="s">
        <v>2120</v>
      </c>
      <c r="N554" s="1674"/>
      <c r="O554" s="1674"/>
      <c r="P554" s="1674"/>
      <c r="Q554" s="1676">
        <v>24</v>
      </c>
      <c r="R554" s="1676"/>
      <c r="S554" s="1677"/>
      <c r="T554" s="1675"/>
      <c r="U554" s="1676"/>
      <c r="V554" s="1677"/>
      <c r="W554" s="1454">
        <v>7.3499999999999996E-2</v>
      </c>
      <c r="X554" s="1455"/>
      <c r="Y554" s="1456"/>
      <c r="Z554" s="1678" t="s">
        <v>2699</v>
      </c>
      <c r="AA554" s="1678"/>
      <c r="AB554" s="1678"/>
      <c r="AC554" s="1678"/>
      <c r="AD554" s="1678"/>
      <c r="AE554" s="1462">
        <v>1</v>
      </c>
      <c r="AF554" s="1463"/>
      <c r="AG554" s="1463"/>
      <c r="AH554" s="1464"/>
      <c r="AI554" s="1465"/>
      <c r="AJ554" s="1466"/>
      <c r="AK554" s="1466"/>
      <c r="AL554" s="1467"/>
      <c r="AM554" s="1446">
        <v>18797915</v>
      </c>
      <c r="AN554" s="1447"/>
      <c r="AO554" s="1447"/>
      <c r="AP554" s="1447"/>
      <c r="AQ554" s="1447"/>
      <c r="AR554" s="1447"/>
      <c r="AS554" s="1448"/>
      <c r="AT554" s="1148"/>
      <c r="AU554" s="1147"/>
      <c r="BB554" s="3"/>
      <c r="BC554" s="3"/>
      <c r="BD554" s="3"/>
      <c r="BE554" s="3"/>
      <c r="BF554" s="3"/>
      <c r="BG554" s="3"/>
      <c r="BH554" s="3"/>
      <c r="BI554" s="3"/>
    </row>
    <row r="555" spans="1:61" ht="12.95" customHeight="1">
      <c r="B555" s="52" t="s">
        <v>113</v>
      </c>
      <c r="C555" s="1461" t="s">
        <v>2742</v>
      </c>
      <c r="D555" s="1461"/>
      <c r="E555" s="1461"/>
      <c r="F555" s="1461"/>
      <c r="G555" s="1461"/>
      <c r="H555" s="1461"/>
      <c r="I555" s="1461"/>
      <c r="J555" s="1461"/>
      <c r="K555" s="1461"/>
      <c r="L555" s="1461"/>
      <c r="M555" s="1674" t="s">
        <v>2114</v>
      </c>
      <c r="N555" s="1674"/>
      <c r="O555" s="1674"/>
      <c r="P555" s="1674"/>
      <c r="Q555" s="1675">
        <v>24</v>
      </c>
      <c r="R555" s="1676"/>
      <c r="S555" s="1677"/>
      <c r="T555" s="1675"/>
      <c r="U555" s="1676"/>
      <c r="V555" s="1677"/>
      <c r="W555" s="1454">
        <v>7.5999999999999998E-2</v>
      </c>
      <c r="X555" s="1455"/>
      <c r="Y555" s="1456"/>
      <c r="Z555" s="1678" t="s">
        <v>2699</v>
      </c>
      <c r="AA555" s="1678"/>
      <c r="AB555" s="1678"/>
      <c r="AC555" s="1678"/>
      <c r="AD555" s="1678"/>
      <c r="AE555" s="1462">
        <v>1</v>
      </c>
      <c r="AF555" s="1463"/>
      <c r="AG555" s="1463"/>
      <c r="AH555" s="1464"/>
      <c r="AI555" s="1465"/>
      <c r="AJ555" s="1466"/>
      <c r="AK555" s="1466"/>
      <c r="AL555" s="1467"/>
      <c r="AM555" s="1446">
        <v>1581250</v>
      </c>
      <c r="AN555" s="1447"/>
      <c r="AO555" s="1447"/>
      <c r="AP555" s="1447"/>
      <c r="AQ555" s="1447"/>
      <c r="AR555" s="1447"/>
      <c r="AS555" s="1448"/>
      <c r="AT555" s="1148" t="str">
        <f>IF(AND(NOT(C554=""),C555="",NOT(C556="")),"!","")</f>
        <v/>
      </c>
      <c r="AU555" s="1147"/>
      <c r="BB555" s="3"/>
      <c r="BC555" s="3"/>
      <c r="BD555" s="3"/>
      <c r="BE555" s="3"/>
      <c r="BF555" s="3"/>
      <c r="BG555" s="3"/>
      <c r="BH555" s="3"/>
      <c r="BI555" s="3"/>
    </row>
    <row r="556" spans="1:61" ht="12.95" customHeight="1">
      <c r="B556" s="52" t="s">
        <v>119</v>
      </c>
      <c r="C556" s="1461" t="s">
        <v>2700</v>
      </c>
      <c r="D556" s="1461"/>
      <c r="E556" s="1461"/>
      <c r="F556" s="1461"/>
      <c r="G556" s="1461"/>
      <c r="H556" s="1461"/>
      <c r="I556" s="1461"/>
      <c r="J556" s="1461"/>
      <c r="K556" s="1461"/>
      <c r="L556" s="1461"/>
      <c r="M556" s="1674" t="s">
        <v>2116</v>
      </c>
      <c r="N556" s="1674"/>
      <c r="O556" s="1674"/>
      <c r="P556" s="1674"/>
      <c r="Q556" s="1675">
        <f>55*12</f>
        <v>660</v>
      </c>
      <c r="R556" s="1676"/>
      <c r="S556" s="1677"/>
      <c r="T556" s="1675"/>
      <c r="U556" s="1676"/>
      <c r="V556" s="1677"/>
      <c r="W556" s="1454">
        <v>0.03</v>
      </c>
      <c r="X556" s="1455"/>
      <c r="Y556" s="1456"/>
      <c r="Z556" s="1678" t="s">
        <v>2701</v>
      </c>
      <c r="AA556" s="1678"/>
      <c r="AB556" s="1678"/>
      <c r="AC556" s="1678"/>
      <c r="AD556" s="1678"/>
      <c r="AE556" s="1462">
        <v>2</v>
      </c>
      <c r="AF556" s="1463"/>
      <c r="AG556" s="1463"/>
      <c r="AH556" s="1464"/>
      <c r="AI556" s="1465"/>
      <c r="AJ556" s="1466"/>
      <c r="AK556" s="1466"/>
      <c r="AL556" s="1467"/>
      <c r="AM556" s="1446">
        <v>3392621</v>
      </c>
      <c r="AN556" s="1447"/>
      <c r="AO556" s="1447"/>
      <c r="AP556" s="1447"/>
      <c r="AQ556" s="1447"/>
      <c r="AR556" s="1447"/>
      <c r="AS556" s="1448"/>
      <c r="AT556" s="1148" t="str">
        <f>IF(AND(NOT(C555=""),C556="",NOT(C557="")),"!","")</f>
        <v/>
      </c>
      <c r="AU556" s="1147"/>
      <c r="BB556" s="3"/>
      <c r="BC556" s="3"/>
      <c r="BD556" s="3"/>
      <c r="BE556" s="3"/>
      <c r="BF556" s="3"/>
      <c r="BG556" s="3"/>
      <c r="BH556" s="3"/>
      <c r="BI556" s="3"/>
    </row>
    <row r="557" spans="1:61" ht="12.95" customHeight="1">
      <c r="B557" s="52" t="s">
        <v>581</v>
      </c>
      <c r="C557" s="1461" t="s">
        <v>2702</v>
      </c>
      <c r="D557" s="1461"/>
      <c r="E557" s="1461"/>
      <c r="F557" s="1461"/>
      <c r="G557" s="1461"/>
      <c r="H557" s="1461"/>
      <c r="I557" s="1461"/>
      <c r="J557" s="1461"/>
      <c r="K557" s="1461"/>
      <c r="L557" s="1461"/>
      <c r="M557" s="1674" t="s">
        <v>2116</v>
      </c>
      <c r="N557" s="1674"/>
      <c r="O557" s="1674"/>
      <c r="P557" s="1674"/>
      <c r="Q557" s="1675">
        <f t="shared" ref="Q557:Q558" si="0">55*12</f>
        <v>660</v>
      </c>
      <c r="R557" s="1676"/>
      <c r="S557" s="1677"/>
      <c r="T557" s="1675"/>
      <c r="U557" s="1676"/>
      <c r="V557" s="1677"/>
      <c r="W557" s="1454">
        <v>0.03</v>
      </c>
      <c r="X557" s="1455"/>
      <c r="Y557" s="1456"/>
      <c r="Z557" s="1678" t="s">
        <v>2701</v>
      </c>
      <c r="AA557" s="1678"/>
      <c r="AB557" s="1678"/>
      <c r="AC557" s="1678"/>
      <c r="AD557" s="1678"/>
      <c r="AE557" s="1462">
        <v>3</v>
      </c>
      <c r="AF557" s="1463"/>
      <c r="AG557" s="1463"/>
      <c r="AH557" s="1464"/>
      <c r="AI557" s="1465"/>
      <c r="AJ557" s="1466"/>
      <c r="AK557" s="1466"/>
      <c r="AL557" s="1467"/>
      <c r="AM557" s="1446">
        <v>2497538</v>
      </c>
      <c r="AN557" s="1447"/>
      <c r="AO557" s="1447"/>
      <c r="AP557" s="1447"/>
      <c r="AQ557" s="1447"/>
      <c r="AR557" s="1447"/>
      <c r="AS557" s="1448"/>
      <c r="AT557" s="1148" t="str">
        <f>IF(AND(NOT(C556=""),C557="",NOT(C558="")),"!","")</f>
        <v/>
      </c>
      <c r="AU557" s="1147"/>
      <c r="BB557" s="3"/>
      <c r="BC557" s="3"/>
      <c r="BD557" s="3"/>
      <c r="BE557" s="3"/>
      <c r="BF557" s="3"/>
      <c r="BG557" s="3"/>
      <c r="BH557" s="3"/>
      <c r="BI557" s="3"/>
    </row>
    <row r="558" spans="1:61" ht="12.95" customHeight="1">
      <c r="B558" s="52" t="s">
        <v>763</v>
      </c>
      <c r="C558" s="1461" t="s">
        <v>2703</v>
      </c>
      <c r="D558" s="1461"/>
      <c r="E558" s="1461"/>
      <c r="F558" s="1461"/>
      <c r="G558" s="1461"/>
      <c r="H558" s="1461"/>
      <c r="I558" s="1461"/>
      <c r="J558" s="1461"/>
      <c r="K558" s="1461"/>
      <c r="L558" s="1461"/>
      <c r="M558" s="1674" t="s">
        <v>2116</v>
      </c>
      <c r="N558" s="1674"/>
      <c r="O558" s="1674"/>
      <c r="P558" s="1674"/>
      <c r="Q558" s="1675">
        <f t="shared" si="0"/>
        <v>660</v>
      </c>
      <c r="R558" s="1676"/>
      <c r="S558" s="1677"/>
      <c r="T558" s="1675"/>
      <c r="U558" s="1676"/>
      <c r="V558" s="1677"/>
      <c r="W558" s="1454">
        <v>0.03</v>
      </c>
      <c r="X558" s="1455"/>
      <c r="Y558" s="1456"/>
      <c r="Z558" s="1678" t="s">
        <v>2701</v>
      </c>
      <c r="AA558" s="1678"/>
      <c r="AB558" s="1678"/>
      <c r="AC558" s="1678"/>
      <c r="AD558" s="1678"/>
      <c r="AE558" s="1462">
        <v>4</v>
      </c>
      <c r="AF558" s="1463"/>
      <c r="AG558" s="1463"/>
      <c r="AH558" s="1464"/>
      <c r="AI558" s="1465"/>
      <c r="AJ558" s="1466"/>
      <c r="AK558" s="1466"/>
      <c r="AL558" s="1467"/>
      <c r="AM558" s="1446">
        <v>1608830</v>
      </c>
      <c r="AN558" s="1447"/>
      <c r="AO558" s="1447"/>
      <c r="AP558" s="1447"/>
      <c r="AQ558" s="1447"/>
      <c r="AR558" s="1447"/>
      <c r="AS558" s="1448"/>
      <c r="AT558" s="1148" t="str">
        <f t="shared" ref="AT558:AT559" si="1">IF(AND(NOT(C557=""),C558="",NOT(C559="")),"!","")</f>
        <v/>
      </c>
      <c r="AU558" s="1147"/>
      <c r="BB558" s="3"/>
      <c r="BC558" s="3"/>
      <c r="BD558" s="3"/>
      <c r="BE558" s="3"/>
      <c r="BF558" s="3"/>
      <c r="BG558" s="3"/>
      <c r="BH558" s="3" t="s">
        <v>763</v>
      </c>
      <c r="BI558" s="3" t="str">
        <f>N665</f>
        <v>Yes</v>
      </c>
    </row>
    <row r="559" spans="1:61" ht="12.95" customHeight="1">
      <c r="B559" s="52" t="s">
        <v>584</v>
      </c>
      <c r="C559" s="1461" t="s">
        <v>2204</v>
      </c>
      <c r="D559" s="1461"/>
      <c r="E559" s="1461"/>
      <c r="F559" s="1461"/>
      <c r="G559" s="1461"/>
      <c r="H559" s="1461"/>
      <c r="I559" s="1461"/>
      <c r="J559" s="1461"/>
      <c r="K559" s="1461"/>
      <c r="L559" s="1461"/>
      <c r="M559" s="1674" t="s">
        <v>2113</v>
      </c>
      <c r="N559" s="1674"/>
      <c r="O559" s="1674"/>
      <c r="P559" s="1674"/>
      <c r="Q559" s="1675">
        <f>55*12</f>
        <v>660</v>
      </c>
      <c r="R559" s="1676"/>
      <c r="S559" s="1677"/>
      <c r="T559" s="1675"/>
      <c r="U559" s="1676"/>
      <c r="V559" s="1677"/>
      <c r="W559" s="1454">
        <v>0</v>
      </c>
      <c r="X559" s="1455"/>
      <c r="Y559" s="1456"/>
      <c r="Z559" s="1678" t="s">
        <v>2701</v>
      </c>
      <c r="AA559" s="1678"/>
      <c r="AB559" s="1678"/>
      <c r="AC559" s="1678"/>
      <c r="AD559" s="1678"/>
      <c r="AE559" s="1462">
        <v>5</v>
      </c>
      <c r="AF559" s="1463"/>
      <c r="AG559" s="1463"/>
      <c r="AH559" s="1464"/>
      <c r="AI559" s="1465"/>
      <c r="AJ559" s="1466"/>
      <c r="AK559" s="1466"/>
      <c r="AL559" s="1467"/>
      <c r="AM559" s="1446">
        <v>795000</v>
      </c>
      <c r="AN559" s="1447"/>
      <c r="AO559" s="1447"/>
      <c r="AP559" s="1447"/>
      <c r="AQ559" s="1447"/>
      <c r="AR559" s="1447"/>
      <c r="AS559" s="1448"/>
      <c r="AT559" s="1148" t="str">
        <f t="shared" si="1"/>
        <v/>
      </c>
      <c r="AU559" s="1147"/>
      <c r="BB559" s="3"/>
      <c r="BC559" s="3"/>
      <c r="BD559" s="3"/>
      <c r="BE559" s="3"/>
      <c r="BF559" s="3"/>
      <c r="BG559" s="3"/>
      <c r="BH559" s="3" t="s">
        <v>584</v>
      </c>
      <c r="BI559" s="3" t="str">
        <f>AG665</f>
        <v>Yes</v>
      </c>
    </row>
    <row r="560" spans="1:61" ht="12.95" customHeight="1">
      <c r="B560" s="52" t="s">
        <v>455</v>
      </c>
      <c r="C560" s="1461" t="s">
        <v>2704</v>
      </c>
      <c r="D560" s="1461"/>
      <c r="E560" s="1461"/>
      <c r="F560" s="1461"/>
      <c r="G560" s="1461"/>
      <c r="H560" s="1461"/>
      <c r="I560" s="1461"/>
      <c r="J560" s="1461"/>
      <c r="K560" s="1461"/>
      <c r="L560" s="1461"/>
      <c r="M560" s="1674" t="s">
        <v>2129</v>
      </c>
      <c r="N560" s="1674"/>
      <c r="O560" s="1674"/>
      <c r="P560" s="1674"/>
      <c r="Q560" s="1675"/>
      <c r="R560" s="1676"/>
      <c r="S560" s="1677"/>
      <c r="T560" s="1675"/>
      <c r="U560" s="1676"/>
      <c r="V560" s="1677"/>
      <c r="W560" s="1454"/>
      <c r="X560" s="1455"/>
      <c r="Y560" s="1456"/>
      <c r="Z560" s="1678"/>
      <c r="AA560" s="1678"/>
      <c r="AB560" s="1678"/>
      <c r="AC560" s="1678"/>
      <c r="AD560" s="1678"/>
      <c r="AE560" s="1462"/>
      <c r="AF560" s="1463"/>
      <c r="AG560" s="1463"/>
      <c r="AH560" s="1464"/>
      <c r="AI560" s="1465"/>
      <c r="AJ560" s="1466"/>
      <c r="AK560" s="1466"/>
      <c r="AL560" s="1467"/>
      <c r="AM560" s="1446">
        <v>416034</v>
      </c>
      <c r="AN560" s="1447"/>
      <c r="AO560" s="1447"/>
      <c r="AP560" s="1447"/>
      <c r="AQ560" s="1447"/>
      <c r="AR560" s="1447"/>
      <c r="AS560" s="1448"/>
      <c r="AT560" s="1148" t="str">
        <f t="shared" ref="AT560:AT565" si="2">IF(AND(NOT(C559=""),C560="",NOT(C561="")),"!","")</f>
        <v/>
      </c>
      <c r="AU560" s="1147"/>
      <c r="BB560" s="3"/>
      <c r="BC560" s="3"/>
      <c r="BD560" s="3"/>
      <c r="BE560" s="3"/>
      <c r="BF560" s="3"/>
      <c r="BG560" s="3"/>
      <c r="BH560" s="3"/>
      <c r="BI560" s="3"/>
    </row>
    <row r="561" spans="1:61" ht="12.95" customHeight="1">
      <c r="B561" s="52" t="s">
        <v>456</v>
      </c>
      <c r="C561" s="1461" t="s">
        <v>2741</v>
      </c>
      <c r="D561" s="1461"/>
      <c r="E561" s="1461"/>
      <c r="F561" s="1461"/>
      <c r="G561" s="1461"/>
      <c r="H561" s="1461"/>
      <c r="I561" s="1461"/>
      <c r="J561" s="1461"/>
      <c r="K561" s="1461"/>
      <c r="L561" s="1461"/>
      <c r="M561" s="1674" t="s">
        <v>2127</v>
      </c>
      <c r="N561" s="1674"/>
      <c r="O561" s="1674"/>
      <c r="P561" s="1674"/>
      <c r="Q561" s="1675"/>
      <c r="R561" s="1676"/>
      <c r="S561" s="1677"/>
      <c r="T561" s="1675"/>
      <c r="U561" s="1676"/>
      <c r="V561" s="1677"/>
      <c r="W561" s="1454"/>
      <c r="X561" s="1455"/>
      <c r="Y561" s="1456"/>
      <c r="Z561" s="1678"/>
      <c r="AA561" s="1678"/>
      <c r="AB561" s="1678"/>
      <c r="AC561" s="1678"/>
      <c r="AD561" s="1678"/>
      <c r="AE561" s="1462"/>
      <c r="AF561" s="1463"/>
      <c r="AG561" s="1463"/>
      <c r="AH561" s="1464"/>
      <c r="AI561" s="1465"/>
      <c r="AJ561" s="1466"/>
      <c r="AK561" s="1466"/>
      <c r="AL561" s="1467"/>
      <c r="AM561" s="1446">
        <v>400000</v>
      </c>
      <c r="AN561" s="1447"/>
      <c r="AO561" s="1447"/>
      <c r="AP561" s="1447"/>
      <c r="AQ561" s="1447"/>
      <c r="AR561" s="1447"/>
      <c r="AS561" s="1448"/>
      <c r="AT561" s="1148" t="str">
        <f t="shared" si="2"/>
        <v/>
      </c>
      <c r="AU561" s="1147"/>
      <c r="BB561" s="3"/>
      <c r="BC561" s="3"/>
      <c r="BD561" s="3"/>
      <c r="BE561" s="3"/>
      <c r="BF561" s="3"/>
      <c r="BG561" s="3"/>
      <c r="BH561" s="3"/>
      <c r="BI561" s="3"/>
    </row>
    <row r="562" spans="1:61" ht="12.95" customHeight="1">
      <c r="B562" s="52" t="s">
        <v>461</v>
      </c>
      <c r="C562" s="1461" t="s">
        <v>2706</v>
      </c>
      <c r="D562" s="1461"/>
      <c r="E562" s="1461"/>
      <c r="F562" s="1461"/>
      <c r="G562" s="1461"/>
      <c r="H562" s="1461"/>
      <c r="I562" s="1461"/>
      <c r="J562" s="1461"/>
      <c r="K562" s="1461"/>
      <c r="L562" s="1461"/>
      <c r="M562" s="1674" t="s">
        <v>2106</v>
      </c>
      <c r="N562" s="1674"/>
      <c r="O562" s="1674"/>
      <c r="P562" s="1674"/>
      <c r="Q562" s="1675"/>
      <c r="R562" s="1676"/>
      <c r="S562" s="1677"/>
      <c r="T562" s="1675"/>
      <c r="U562" s="1676"/>
      <c r="V562" s="1677"/>
      <c r="W562" s="1454"/>
      <c r="X562" s="1455"/>
      <c r="Y562" s="1456"/>
      <c r="Z562" s="1678"/>
      <c r="AA562" s="1678"/>
      <c r="AB562" s="1678"/>
      <c r="AC562" s="1678"/>
      <c r="AD562" s="1678"/>
      <c r="AE562" s="1462"/>
      <c r="AF562" s="1463"/>
      <c r="AG562" s="1463"/>
      <c r="AH562" s="1464"/>
      <c r="AI562" s="1465"/>
      <c r="AJ562" s="1466"/>
      <c r="AK562" s="1466"/>
      <c r="AL562" s="1467"/>
      <c r="AM562" s="1446">
        <v>1889130</v>
      </c>
      <c r="AN562" s="1447"/>
      <c r="AO562" s="1447"/>
      <c r="AP562" s="1447"/>
      <c r="AQ562" s="1447"/>
      <c r="AR562" s="1447"/>
      <c r="AS562" s="1448"/>
      <c r="AT562" s="1148" t="str">
        <f t="shared" si="2"/>
        <v/>
      </c>
      <c r="AU562" s="1147"/>
      <c r="BB562" s="3"/>
      <c r="BC562" s="3"/>
      <c r="BD562" s="3"/>
      <c r="BE562" s="3"/>
      <c r="BF562" s="3"/>
      <c r="BG562" s="3"/>
      <c r="BH562" s="3"/>
      <c r="BI562" s="3"/>
    </row>
    <row r="563" spans="1:61" ht="12.95" customHeight="1">
      <c r="B563" s="52" t="s">
        <v>646</v>
      </c>
      <c r="C563" s="1461" t="s">
        <v>2322</v>
      </c>
      <c r="D563" s="1461"/>
      <c r="E563" s="1461"/>
      <c r="F563" s="1461"/>
      <c r="G563" s="1461"/>
      <c r="H563" s="1461"/>
      <c r="I563" s="1461"/>
      <c r="J563" s="1461"/>
      <c r="K563" s="1461"/>
      <c r="L563" s="1461"/>
      <c r="M563" s="1674" t="s">
        <v>2107</v>
      </c>
      <c r="N563" s="1674"/>
      <c r="O563" s="1674"/>
      <c r="P563" s="1674"/>
      <c r="Q563" s="1675"/>
      <c r="R563" s="1676"/>
      <c r="S563" s="1677"/>
      <c r="T563" s="1675"/>
      <c r="U563" s="1676"/>
      <c r="V563" s="1677"/>
      <c r="W563" s="1454"/>
      <c r="X563" s="1455"/>
      <c r="Y563" s="1456"/>
      <c r="Z563" s="1678" t="s">
        <v>1184</v>
      </c>
      <c r="AA563" s="1678"/>
      <c r="AB563" s="1678"/>
      <c r="AC563" s="1678"/>
      <c r="AD563" s="1678"/>
      <c r="AE563" s="1462"/>
      <c r="AF563" s="1463"/>
      <c r="AG563" s="1463"/>
      <c r="AH563" s="1464"/>
      <c r="AI563" s="1465"/>
      <c r="AJ563" s="1466"/>
      <c r="AK563" s="1466"/>
      <c r="AL563" s="1467"/>
      <c r="AM563" s="1446">
        <v>1870289</v>
      </c>
      <c r="AN563" s="1447"/>
      <c r="AO563" s="1447"/>
      <c r="AP563" s="1447"/>
      <c r="AQ563" s="1447"/>
      <c r="AR563" s="1447"/>
      <c r="AS563" s="1448"/>
      <c r="AT563" s="1148" t="str">
        <f t="shared" si="2"/>
        <v/>
      </c>
      <c r="BB563" s="3"/>
      <c r="BC563" s="3"/>
      <c r="BD563" s="3"/>
      <c r="BE563" s="3"/>
      <c r="BF563" s="3"/>
      <c r="BG563" s="3"/>
      <c r="BH563" s="3"/>
      <c r="BI563" s="3"/>
    </row>
    <row r="564" spans="1:61" ht="12.95" customHeight="1">
      <c r="B564" s="52" t="s">
        <v>361</v>
      </c>
      <c r="C564" s="1752" t="s">
        <v>2705</v>
      </c>
      <c r="D564" s="1753"/>
      <c r="E564" s="1753"/>
      <c r="F564" s="1753"/>
      <c r="G564" s="1753"/>
      <c r="H564" s="1753"/>
      <c r="I564" s="1753"/>
      <c r="J564" s="1753"/>
      <c r="K564" s="1753"/>
      <c r="L564" s="1754"/>
      <c r="M564" s="1674" t="s">
        <v>2111</v>
      </c>
      <c r="N564" s="1674"/>
      <c r="O564" s="1674"/>
      <c r="P564" s="1674"/>
      <c r="Q564" s="1675"/>
      <c r="R564" s="1676"/>
      <c r="S564" s="1677"/>
      <c r="T564" s="1675"/>
      <c r="U564" s="1676"/>
      <c r="V564" s="1677"/>
      <c r="W564" s="1454"/>
      <c r="X564" s="1455"/>
      <c r="Y564" s="1456"/>
      <c r="Z564" s="1678" t="s">
        <v>1184</v>
      </c>
      <c r="AA564" s="1678"/>
      <c r="AB564" s="1678"/>
      <c r="AC564" s="1678"/>
      <c r="AD564" s="1678"/>
      <c r="AE564" s="1462"/>
      <c r="AF564" s="1463"/>
      <c r="AG564" s="1463"/>
      <c r="AH564" s="1464"/>
      <c r="AI564" s="1465"/>
      <c r="AJ564" s="1466"/>
      <c r="AK564" s="1466"/>
      <c r="AL564" s="1467"/>
      <c r="AM564" s="1446">
        <v>4814572</v>
      </c>
      <c r="AN564" s="1447"/>
      <c r="AO564" s="1447"/>
      <c r="AP564" s="1447"/>
      <c r="AQ564" s="1447"/>
      <c r="AR564" s="1447"/>
      <c r="AS564" s="1448"/>
      <c r="AT564" s="1148" t="str">
        <f t="shared" si="2"/>
        <v/>
      </c>
      <c r="BB564" s="3"/>
      <c r="BC564" s="3"/>
      <c r="BD564" s="3"/>
      <c r="BE564" s="3"/>
      <c r="BF564" s="3"/>
      <c r="BG564" s="3"/>
      <c r="BH564" s="3"/>
      <c r="BI564" s="3"/>
    </row>
    <row r="565" spans="1:61" ht="12.95" customHeight="1">
      <c r="B565" s="52" t="s">
        <v>362</v>
      </c>
      <c r="C565" s="1752"/>
      <c r="D565" s="1753"/>
      <c r="E565" s="1753"/>
      <c r="F565" s="1753"/>
      <c r="G565" s="1753"/>
      <c r="H565" s="1753"/>
      <c r="I565" s="1753"/>
      <c r="J565" s="1753"/>
      <c r="K565" s="1753"/>
      <c r="L565" s="1754"/>
      <c r="M565" s="1674" t="s">
        <v>1184</v>
      </c>
      <c r="N565" s="1674"/>
      <c r="O565" s="1674"/>
      <c r="P565" s="1674"/>
      <c r="Q565" s="1675"/>
      <c r="R565" s="1676"/>
      <c r="S565" s="1677"/>
      <c r="T565" s="1675"/>
      <c r="U565" s="1676"/>
      <c r="V565" s="1677"/>
      <c r="W565" s="1454"/>
      <c r="X565" s="1455"/>
      <c r="Y565" s="1456"/>
      <c r="Z565" s="1678" t="s">
        <v>1184</v>
      </c>
      <c r="AA565" s="1678"/>
      <c r="AB565" s="1678"/>
      <c r="AC565" s="1678"/>
      <c r="AD565" s="1678"/>
      <c r="AE565" s="1462"/>
      <c r="AF565" s="1463"/>
      <c r="AG565" s="1463"/>
      <c r="AH565" s="1464"/>
      <c r="AI565" s="1465"/>
      <c r="AJ565" s="1466"/>
      <c r="AK565" s="1466"/>
      <c r="AL565" s="1467"/>
      <c r="AM565" s="1446"/>
      <c r="AN565" s="1447"/>
      <c r="AO565" s="1447"/>
      <c r="AP565" s="1447"/>
      <c r="AQ565" s="1447"/>
      <c r="AR565" s="1447"/>
      <c r="AS565" s="1448"/>
      <c r="AT565" s="1148" t="str">
        <f t="shared" si="2"/>
        <v/>
      </c>
      <c r="BB565" s="3"/>
      <c r="BC565" s="3"/>
      <c r="BD565" s="3"/>
      <c r="BE565" s="3"/>
      <c r="BF565" s="3"/>
      <c r="BG565" s="3"/>
      <c r="BH565" s="3"/>
      <c r="BI565" s="3"/>
    </row>
    <row r="566" spans="1:61" ht="12.95" customHeight="1">
      <c r="B566" s="1654" t="s">
        <v>127</v>
      </c>
      <c r="C566" s="1655"/>
      <c r="D566" s="1655"/>
      <c r="E566" s="1655"/>
      <c r="F566" s="1655"/>
      <c r="G566" s="1655"/>
      <c r="H566" s="1655"/>
      <c r="I566" s="1655"/>
      <c r="J566" s="1655"/>
      <c r="K566" s="1655"/>
      <c r="L566" s="1655"/>
      <c r="M566" s="1655"/>
      <c r="N566" s="1655"/>
      <c r="O566" s="1655"/>
      <c r="P566" s="1655"/>
      <c r="Q566" s="1655"/>
      <c r="R566" s="1655"/>
      <c r="S566" s="1655"/>
      <c r="T566" s="1655"/>
      <c r="U566" s="1669"/>
      <c r="V566" s="1655"/>
      <c r="W566" s="1655"/>
      <c r="X566" s="1655"/>
      <c r="Y566" s="1655"/>
      <c r="Z566" s="1655"/>
      <c r="AA566" s="1655"/>
      <c r="AB566" s="1655"/>
      <c r="AC566" s="1655"/>
      <c r="AD566" s="1655"/>
      <c r="AE566" s="1655"/>
      <c r="AF566" s="1655"/>
      <c r="AG566" s="1655"/>
      <c r="AH566" s="1655"/>
      <c r="AI566" s="1655"/>
      <c r="AJ566" s="1655"/>
      <c r="AK566" s="1655"/>
      <c r="AL566" s="1656"/>
      <c r="AM566" s="1617">
        <f>SUM(AM554:AS565)</f>
        <v>38063179</v>
      </c>
      <c r="AN566" s="1618"/>
      <c r="AO566" s="1618"/>
      <c r="AP566" s="1618"/>
      <c r="AQ566" s="1618"/>
      <c r="AR566" s="1618"/>
      <c r="AS566" s="1619"/>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Yes</v>
      </c>
    </row>
    <row r="568" spans="1:61" ht="12.95" customHeight="1">
      <c r="A568" s="55" t="s">
        <v>112</v>
      </c>
      <c r="B568" t="s">
        <v>463</v>
      </c>
      <c r="G568" s="1358" t="str">
        <f>C554</f>
        <v>Construction Loan</v>
      </c>
      <c r="H568" s="1358"/>
      <c r="I568" s="1358"/>
      <c r="J568" s="1358"/>
      <c r="K568" s="1358"/>
      <c r="L568" s="1358"/>
      <c r="M568" s="1358"/>
      <c r="N568" s="1358"/>
      <c r="O568" s="1358"/>
      <c r="P568" s="1358"/>
      <c r="Q568" s="1358"/>
      <c r="R568" s="1358"/>
      <c r="S568" s="8"/>
      <c r="T568" s="55" t="s">
        <v>113</v>
      </c>
      <c r="U568" t="s">
        <v>463</v>
      </c>
      <c r="Z568" s="1358" t="str">
        <f>C555</f>
        <v>Taxable Construction Loan</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2736</v>
      </c>
      <c r="H569" s="1371"/>
      <c r="I569" s="1371"/>
      <c r="J569" s="1371"/>
      <c r="K569" s="1371"/>
      <c r="L569" s="1371"/>
      <c r="M569" s="1371"/>
      <c r="N569" s="1371"/>
      <c r="O569" s="1371"/>
      <c r="P569" s="1371"/>
      <c r="Q569" s="1371"/>
      <c r="R569" s="1371"/>
      <c r="S569" s="8"/>
      <c r="T569" s="22"/>
      <c r="U569" t="s">
        <v>85</v>
      </c>
      <c r="Z569" s="1371" t="s">
        <v>2736</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580</v>
      </c>
      <c r="G570" s="1371" t="s">
        <v>2737</v>
      </c>
      <c r="H570" s="1371"/>
      <c r="I570" s="1371"/>
      <c r="J570" s="1371"/>
      <c r="K570" s="1371"/>
      <c r="L570" s="1371"/>
      <c r="M570" s="1371"/>
      <c r="N570" s="1371"/>
      <c r="O570" s="1371"/>
      <c r="P570" s="1371"/>
      <c r="Q570" s="1371"/>
      <c r="R570" s="1371"/>
      <c r="T570" s="22"/>
      <c r="U570" t="s">
        <v>580</v>
      </c>
      <c r="Z570" s="1348" t="s">
        <v>2737</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2738</v>
      </c>
      <c r="H571" s="1371"/>
      <c r="I571" s="1371"/>
      <c r="J571" s="1371"/>
      <c r="K571" s="1371"/>
      <c r="L571" s="1371"/>
      <c r="M571" s="1371"/>
      <c r="N571" s="1371"/>
      <c r="O571" s="1371"/>
      <c r="P571" s="1371"/>
      <c r="Q571" s="1371"/>
      <c r="R571" s="1371"/>
      <c r="S571" s="8"/>
      <c r="T571" s="22"/>
      <c r="U571" t="s">
        <v>17</v>
      </c>
      <c r="Z571" s="1348" t="s">
        <v>2738</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315</v>
      </c>
      <c r="G572" s="1346" t="s">
        <v>2739</v>
      </c>
      <c r="H572" s="1346"/>
      <c r="I572" s="1346"/>
      <c r="J572" s="1346"/>
      <c r="K572" s="1346"/>
      <c r="L572" s="1346"/>
      <c r="O572" s="33" t="s">
        <v>205</v>
      </c>
      <c r="P572" s="1436"/>
      <c r="Q572" s="1436"/>
      <c r="R572" s="1436"/>
      <c r="S572" s="10"/>
      <c r="T572" s="22"/>
      <c r="U572" t="s">
        <v>315</v>
      </c>
      <c r="Z572" s="1346" t="s">
        <v>2739</v>
      </c>
      <c r="AA572" s="1346"/>
      <c r="AB572" s="1346"/>
      <c r="AC572" s="1346"/>
      <c r="AD572" s="1346"/>
      <c r="AE572" s="1346"/>
      <c r="AH572" s="33" t="s">
        <v>205</v>
      </c>
      <c r="AI572" s="1436"/>
      <c r="AJ572" s="1436"/>
      <c r="AK572" s="1436"/>
      <c r="BB572" s="3"/>
      <c r="BC572" s="3"/>
      <c r="BD572" s="3"/>
      <c r="BE572" s="3"/>
      <c r="BF572" s="3"/>
      <c r="BG572" s="3"/>
      <c r="BH572" s="3"/>
      <c r="BI572" s="3"/>
    </row>
    <row r="573" spans="1:61" ht="12.95" customHeight="1">
      <c r="A573" s="22"/>
      <c r="B573" t="s">
        <v>18</v>
      </c>
      <c r="H573" s="1371" t="s">
        <v>2740</v>
      </c>
      <c r="I573" s="1371"/>
      <c r="J573" s="1371"/>
      <c r="K573" s="1371"/>
      <c r="L573" s="1371"/>
      <c r="M573" s="1371"/>
      <c r="N573" s="1371"/>
      <c r="O573" s="1371"/>
      <c r="P573" s="1371"/>
      <c r="Q573" s="1371"/>
      <c r="R573" s="1371"/>
      <c r="S573" s="8"/>
      <c r="T573" s="22"/>
      <c r="U573" t="s">
        <v>18</v>
      </c>
      <c r="AA573" s="1371" t="s">
        <v>2740</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1185</v>
      </c>
      <c r="H574" s="8"/>
      <c r="I574" s="8"/>
      <c r="J574" s="8"/>
      <c r="K574" s="8"/>
      <c r="L574" s="8"/>
      <c r="M574" s="1692" t="s">
        <v>2756</v>
      </c>
      <c r="N574" s="1693"/>
      <c r="O574" s="1693"/>
      <c r="P574" s="1693"/>
      <c r="Q574" s="1693"/>
      <c r="R574" s="1693"/>
      <c r="S574" s="8"/>
      <c r="T574" s="22"/>
      <c r="U574" s="320" t="s">
        <v>1185</v>
      </c>
      <c r="AA574" s="8"/>
      <c r="AB574" s="8"/>
      <c r="AC574" s="8"/>
      <c r="AD574" s="8"/>
      <c r="AE574" s="8"/>
      <c r="AF574" s="1692" t="s">
        <v>2756</v>
      </c>
      <c r="AG574" s="1693"/>
      <c r="AH574" s="1693"/>
      <c r="AI574" s="1693"/>
      <c r="AJ574" s="1693"/>
      <c r="AK574" s="1693"/>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Alliance Housing Fund</v>
      </c>
      <c r="H577" s="1358"/>
      <c r="I577" s="1358"/>
      <c r="J577" s="1358"/>
      <c r="K577" s="1358"/>
      <c r="L577" s="1358"/>
      <c r="M577" s="1358"/>
      <c r="N577" s="1358"/>
      <c r="O577" s="1358"/>
      <c r="P577" s="1358"/>
      <c r="Q577" s="1358"/>
      <c r="R577" s="1358"/>
      <c r="T577" s="55" t="s">
        <v>581</v>
      </c>
      <c r="U577" t="s">
        <v>463</v>
      </c>
      <c r="Z577" s="1358" t="str">
        <f>C557</f>
        <v>REAP: Regional Competitiveness Grant</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2707</v>
      </c>
      <c r="H578" s="1371"/>
      <c r="I578" s="1371"/>
      <c r="J578" s="1371"/>
      <c r="K578" s="1371"/>
      <c r="L578" s="1371"/>
      <c r="M578" s="1371"/>
      <c r="N578" s="1371"/>
      <c r="O578" s="1371"/>
      <c r="P578" s="1371"/>
      <c r="Q578" s="1371"/>
      <c r="R578" s="1371"/>
      <c r="T578" s="22"/>
      <c r="U578" t="s">
        <v>85</v>
      </c>
      <c r="Z578" s="1371" t="s">
        <v>2648</v>
      </c>
      <c r="AA578" s="1371"/>
      <c r="AB578" s="1371"/>
      <c r="AC578" s="1371"/>
      <c r="AD578" s="1371"/>
      <c r="AE578" s="1371"/>
      <c r="AF578" s="1371"/>
      <c r="AG578" s="1371"/>
      <c r="AH578" s="1371"/>
      <c r="AI578" s="1371"/>
      <c r="AJ578" s="1371"/>
      <c r="AK578" s="1371"/>
      <c r="BB578" s="3"/>
      <c r="BC578" s="3"/>
    </row>
    <row r="579" spans="1:55" ht="12.95" customHeight="1">
      <c r="A579" s="22"/>
      <c r="B579" t="s">
        <v>580</v>
      </c>
      <c r="G579" s="1348" t="s">
        <v>55</v>
      </c>
      <c r="H579" s="1348"/>
      <c r="I579" s="1348"/>
      <c r="J579" s="1348"/>
      <c r="K579" s="1348"/>
      <c r="L579" s="1348"/>
      <c r="M579" s="1348"/>
      <c r="N579" s="1348"/>
      <c r="O579" s="1348"/>
      <c r="P579" s="1348"/>
      <c r="Q579" s="1348"/>
      <c r="R579" s="1348"/>
      <c r="T579" s="22"/>
      <c r="U579" t="s">
        <v>580</v>
      </c>
      <c r="Z579" s="1348" t="s">
        <v>55</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2708</v>
      </c>
      <c r="H580" s="1348"/>
      <c r="I580" s="1348"/>
      <c r="J580" s="1348"/>
      <c r="K580" s="1348"/>
      <c r="L580" s="1348"/>
      <c r="M580" s="1348"/>
      <c r="N580" s="1348"/>
      <c r="O580" s="1348"/>
      <c r="P580" s="1348"/>
      <c r="Q580" s="1348"/>
      <c r="R580" s="1348"/>
      <c r="T580" s="22"/>
      <c r="U580" t="s">
        <v>17</v>
      </c>
      <c r="Z580" s="1443" t="s">
        <v>2647</v>
      </c>
      <c r="AA580" s="1348"/>
      <c r="AB580" s="1348"/>
      <c r="AC580" s="1348"/>
      <c r="AD580" s="1348"/>
      <c r="AE580" s="1348"/>
      <c r="AF580" s="1348"/>
      <c r="AG580" s="1348"/>
      <c r="AH580" s="1348"/>
      <c r="AI580" s="1348"/>
      <c r="AJ580" s="1348"/>
      <c r="AK580" s="1348"/>
      <c r="BB580" s="3"/>
      <c r="BC580" s="3"/>
    </row>
    <row r="581" spans="1:55" ht="12.95" customHeight="1">
      <c r="A581" s="22"/>
      <c r="B581" t="s">
        <v>315</v>
      </c>
      <c r="G581" s="1346" t="s">
        <v>2709</v>
      </c>
      <c r="H581" s="1346"/>
      <c r="I581" s="1346"/>
      <c r="J581" s="1346"/>
      <c r="K581" s="1346"/>
      <c r="L581" s="1346"/>
      <c r="O581" s="33" t="s">
        <v>205</v>
      </c>
      <c r="P581" s="1436"/>
      <c r="Q581" s="1436"/>
      <c r="R581" s="1436"/>
      <c r="T581" s="22"/>
      <c r="U581" t="s">
        <v>315</v>
      </c>
      <c r="Z581" s="1346" t="s">
        <v>2649</v>
      </c>
      <c r="AA581" s="1346"/>
      <c r="AB581" s="1346"/>
      <c r="AC581" s="1346"/>
      <c r="AD581" s="1346"/>
      <c r="AE581" s="1346"/>
      <c r="AH581" s="33" t="s">
        <v>205</v>
      </c>
      <c r="AI581" s="1436"/>
      <c r="AJ581" s="1436"/>
      <c r="AK581" s="1436"/>
      <c r="BB581" s="3"/>
      <c r="BC581" s="3"/>
    </row>
    <row r="582" spans="1:55" ht="12.95" customHeight="1">
      <c r="A582" s="22"/>
      <c r="B582" t="s">
        <v>18</v>
      </c>
      <c r="H582" s="1371" t="s">
        <v>2710</v>
      </c>
      <c r="I582" s="1371"/>
      <c r="J582" s="1371"/>
      <c r="K582" s="1371"/>
      <c r="L582" s="1371"/>
      <c r="M582" s="1371"/>
      <c r="N582" s="1371"/>
      <c r="O582" s="1371"/>
      <c r="P582" s="1371"/>
      <c r="Q582" s="1371"/>
      <c r="R582" s="1371"/>
      <c r="T582" s="22"/>
      <c r="U582" t="s">
        <v>18</v>
      </c>
      <c r="AA582" s="1371" t="s">
        <v>2710</v>
      </c>
      <c r="AB582" s="1371"/>
      <c r="AC582" s="1371"/>
      <c r="AD582" s="1371"/>
      <c r="AE582" s="1371"/>
      <c r="AF582" s="1371"/>
      <c r="AG582" s="1371"/>
      <c r="AH582" s="1371"/>
      <c r="AI582" s="1371"/>
      <c r="AJ582" s="1371"/>
      <c r="AK582" s="1371"/>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8" t="str">
        <f>C558</f>
        <v>City of Merced PLHA</v>
      </c>
      <c r="H585" s="1358"/>
      <c r="I585" s="1358"/>
      <c r="J585" s="1358"/>
      <c r="K585" s="1358"/>
      <c r="L585" s="1358"/>
      <c r="M585" s="1358"/>
      <c r="N585" s="1358"/>
      <c r="O585" s="1358"/>
      <c r="P585" s="1358"/>
      <c r="Q585" s="1358"/>
      <c r="R585" s="1358"/>
      <c r="T585" s="55" t="s">
        <v>584</v>
      </c>
      <c r="U585" t="s">
        <v>463</v>
      </c>
      <c r="Z585" s="1358" t="str">
        <f>C559</f>
        <v>FHLB AHP</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2648</v>
      </c>
      <c r="H586" s="1371"/>
      <c r="I586" s="1371"/>
      <c r="J586" s="1371"/>
      <c r="K586" s="1371"/>
      <c r="L586" s="1371"/>
      <c r="M586" s="1371"/>
      <c r="N586" s="1371"/>
      <c r="O586" s="1371"/>
      <c r="P586" s="1371"/>
      <c r="Q586" s="1371"/>
      <c r="R586" s="1371"/>
      <c r="T586" s="22"/>
      <c r="U586" t="s">
        <v>85</v>
      </c>
      <c r="Z586" s="1371" t="s">
        <v>2711</v>
      </c>
      <c r="AA586" s="1371"/>
      <c r="AB586" s="1371"/>
      <c r="AC586" s="1371"/>
      <c r="AD586" s="1371"/>
      <c r="AE586" s="1371"/>
      <c r="AF586" s="1371"/>
      <c r="AG586" s="1371"/>
      <c r="AH586" s="1371"/>
      <c r="AI586" s="1371"/>
      <c r="AJ586" s="1371"/>
      <c r="AK586" s="1371"/>
      <c r="BB586" s="3"/>
      <c r="BC586" s="3"/>
    </row>
    <row r="587" spans="1:55" ht="12.95" customHeight="1">
      <c r="A587" s="22"/>
      <c r="B587" t="s">
        <v>580</v>
      </c>
      <c r="G587" s="1371" t="s">
        <v>55</v>
      </c>
      <c r="H587" s="1371"/>
      <c r="I587" s="1371"/>
      <c r="J587" s="1371"/>
      <c r="K587" s="1371"/>
      <c r="L587" s="1371"/>
      <c r="M587" s="1371"/>
      <c r="N587" s="1371"/>
      <c r="O587" s="1371"/>
      <c r="P587" s="1371"/>
      <c r="Q587" s="1371"/>
      <c r="R587" s="1371"/>
      <c r="T587" s="22"/>
      <c r="U587" t="s">
        <v>580</v>
      </c>
      <c r="Z587" s="1348" t="s">
        <v>730</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2647</v>
      </c>
      <c r="H588" s="1371"/>
      <c r="I588" s="1371"/>
      <c r="J588" s="1371"/>
      <c r="K588" s="1371"/>
      <c r="L588" s="1371"/>
      <c r="M588" s="1371"/>
      <c r="N588" s="1371"/>
      <c r="O588" s="1371"/>
      <c r="P588" s="1371"/>
      <c r="Q588" s="1371"/>
      <c r="R588" s="1371"/>
      <c r="T588" s="22"/>
      <c r="U588" t="s">
        <v>17</v>
      </c>
      <c r="Z588" s="1348" t="s">
        <v>2712</v>
      </c>
      <c r="AA588" s="1348"/>
      <c r="AB588" s="1348"/>
      <c r="AC588" s="1348"/>
      <c r="AD588" s="1348"/>
      <c r="AE588" s="1348"/>
      <c r="AF588" s="1348"/>
      <c r="AG588" s="1348"/>
      <c r="AH588" s="1348"/>
      <c r="AI588" s="1348"/>
      <c r="AJ588" s="1348"/>
      <c r="AK588" s="1348"/>
    </row>
    <row r="589" spans="1:55" ht="12.95" customHeight="1">
      <c r="A589" s="22"/>
      <c r="B589" t="s">
        <v>315</v>
      </c>
      <c r="G589" s="1346" t="s">
        <v>2649</v>
      </c>
      <c r="H589" s="1346"/>
      <c r="I589" s="1346"/>
      <c r="J589" s="1346"/>
      <c r="K589" s="1346"/>
      <c r="L589" s="1346"/>
      <c r="O589" s="33" t="s">
        <v>205</v>
      </c>
      <c r="P589" s="1436"/>
      <c r="Q589" s="1436"/>
      <c r="R589" s="1436"/>
      <c r="T589" s="22"/>
      <c r="U589" t="s">
        <v>315</v>
      </c>
      <c r="Z589" s="1346" t="s">
        <v>2713</v>
      </c>
      <c r="AA589" s="1346"/>
      <c r="AB589" s="1346"/>
      <c r="AC589" s="1346"/>
      <c r="AD589" s="1346"/>
      <c r="AE589" s="1346"/>
      <c r="AH589" s="33" t="s">
        <v>205</v>
      </c>
      <c r="AI589" s="1436"/>
      <c r="AJ589" s="1436"/>
      <c r="AK589" s="1436"/>
      <c r="AZ589" s="3"/>
      <c r="BA589" s="3"/>
      <c r="BB589" s="3"/>
      <c r="BC589" s="3"/>
    </row>
    <row r="590" spans="1:55" ht="12.95" customHeight="1">
      <c r="A590" s="22"/>
      <c r="B590" t="s">
        <v>18</v>
      </c>
      <c r="H590" s="1371" t="s">
        <v>2710</v>
      </c>
      <c r="I590" s="1371"/>
      <c r="J590" s="1371"/>
      <c r="K590" s="1371"/>
      <c r="L590" s="1371"/>
      <c r="M590" s="1371"/>
      <c r="N590" s="1371"/>
      <c r="O590" s="1371"/>
      <c r="P590" s="1371"/>
      <c r="Q590" s="1371"/>
      <c r="R590" s="1371"/>
      <c r="T590" s="22"/>
      <c r="U590" t="s">
        <v>18</v>
      </c>
      <c r="AA590" s="1371" t="s">
        <v>2118</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545</v>
      </c>
      <c r="O591" s="1332"/>
      <c r="T591" s="22"/>
      <c r="U591" t="s">
        <v>20</v>
      </c>
      <c r="AG591" s="1332" t="s">
        <v>545</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t="str">
        <f>C560</f>
        <v>Impact Fee Waiver</v>
      </c>
      <c r="H593" s="1358"/>
      <c r="I593" s="1358"/>
      <c r="J593" s="1358"/>
      <c r="K593" s="1358"/>
      <c r="L593" s="1358"/>
      <c r="M593" s="1358"/>
      <c r="N593" s="1358"/>
      <c r="O593" s="1358"/>
      <c r="P593" s="1358"/>
      <c r="Q593" s="1358"/>
      <c r="R593" s="1358"/>
      <c r="T593" s="55" t="s">
        <v>456</v>
      </c>
      <c r="U593" t="s">
        <v>463</v>
      </c>
      <c r="Z593" s="1358" t="str">
        <f>C561</f>
        <v>Donated Land</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t="s">
        <v>2648</v>
      </c>
      <c r="H594" s="1371"/>
      <c r="I594" s="1371"/>
      <c r="J594" s="1371"/>
      <c r="K594" s="1371"/>
      <c r="L594" s="1371"/>
      <c r="M594" s="1371"/>
      <c r="N594" s="1371"/>
      <c r="O594" s="1371"/>
      <c r="P594" s="1371"/>
      <c r="Q594" s="1371"/>
      <c r="R594" s="1371"/>
      <c r="S594"/>
      <c r="T594" s="22"/>
      <c r="U594" t="s">
        <v>85</v>
      </c>
      <c r="V594"/>
      <c r="W594"/>
      <c r="X594"/>
      <c r="Y594"/>
      <c r="Z594" s="1371" t="s">
        <v>2648</v>
      </c>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1" t="s">
        <v>55</v>
      </c>
      <c r="H595" s="1371"/>
      <c r="I595" s="1371"/>
      <c r="J595" s="1371"/>
      <c r="K595" s="1371"/>
      <c r="L595" s="1371"/>
      <c r="M595" s="1371"/>
      <c r="N595" s="1371"/>
      <c r="O595" s="1371"/>
      <c r="P595" s="1371"/>
      <c r="Q595" s="1371"/>
      <c r="R595" s="1371"/>
      <c r="S595"/>
      <c r="T595" s="22"/>
      <c r="U595" t="s">
        <v>580</v>
      </c>
      <c r="V595"/>
      <c r="W595"/>
      <c r="X595"/>
      <c r="Y595"/>
      <c r="Z595" s="1348" t="s">
        <v>55</v>
      </c>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t="s">
        <v>2647</v>
      </c>
      <c r="H596" s="1371"/>
      <c r="I596" s="1371"/>
      <c r="J596" s="1371"/>
      <c r="K596" s="1371"/>
      <c r="L596" s="1371"/>
      <c r="M596" s="1371"/>
      <c r="N596" s="1371"/>
      <c r="O596" s="1371"/>
      <c r="P596" s="1371"/>
      <c r="Q596" s="1371"/>
      <c r="R596" s="1371"/>
      <c r="S596"/>
      <c r="T596" s="22"/>
      <c r="U596" t="s">
        <v>17</v>
      </c>
      <c r="V596"/>
      <c r="W596"/>
      <c r="X596"/>
      <c r="Y596"/>
      <c r="Z596" s="1348" t="s">
        <v>2647</v>
      </c>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6" t="s">
        <v>2649</v>
      </c>
      <c r="H597" s="1346"/>
      <c r="I597" s="1346"/>
      <c r="J597" s="1346"/>
      <c r="K597" s="1346"/>
      <c r="L597" s="1346"/>
      <c r="M597"/>
      <c r="N597"/>
      <c r="O597" s="33" t="s">
        <v>205</v>
      </c>
      <c r="P597" s="1436"/>
      <c r="Q597" s="1436"/>
      <c r="R597" s="1436"/>
      <c r="S597"/>
      <c r="T597" s="22"/>
      <c r="U597" t="s">
        <v>315</v>
      </c>
      <c r="V597"/>
      <c r="W597"/>
      <c r="X597"/>
      <c r="Y597"/>
      <c r="Z597" s="1346" t="s">
        <v>2649</v>
      </c>
      <c r="AA597" s="1346"/>
      <c r="AB597" s="1346"/>
      <c r="AC597" s="1346"/>
      <c r="AD597" s="1346"/>
      <c r="AE597" s="1346"/>
      <c r="AF597"/>
      <c r="AG597"/>
      <c r="AH597" s="33" t="s">
        <v>205</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2129</v>
      </c>
      <c r="I598" s="1371"/>
      <c r="J598" s="1371"/>
      <c r="K598" s="1371"/>
      <c r="L598" s="1371"/>
      <c r="M598" s="1371"/>
      <c r="N598" s="1371"/>
      <c r="O598" s="1371"/>
      <c r="P598" s="1371"/>
      <c r="Q598" s="1371"/>
      <c r="R598" s="1371"/>
      <c r="S598"/>
      <c r="T598" s="22"/>
      <c r="U598" t="s">
        <v>18</v>
      </c>
      <c r="V598"/>
      <c r="W598"/>
      <c r="X598"/>
      <c r="Y598"/>
      <c r="Z598"/>
      <c r="AA598" s="1371" t="s">
        <v>2127</v>
      </c>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545</v>
      </c>
      <c r="O599" s="1332"/>
      <c r="T599" s="22"/>
      <c r="U599" t="s">
        <v>20</v>
      </c>
      <c r="AG599" s="1332" t="s">
        <v>545</v>
      </c>
      <c r="AH599" s="1332"/>
      <c r="BB599" s="3"/>
      <c r="BC599" s="3"/>
    </row>
    <row r="600" spans="1:55" ht="12.95" customHeight="1">
      <c r="A600" s="22"/>
      <c r="T600" s="22"/>
      <c r="BB600" s="3"/>
      <c r="BC600" s="3"/>
    </row>
    <row r="601" spans="1:55" ht="12.95" customHeight="1">
      <c r="A601" s="55" t="s">
        <v>461</v>
      </c>
      <c r="B601" t="s">
        <v>463</v>
      </c>
      <c r="G601" s="1358" t="str">
        <f>C562</f>
        <v>Cost Deferred Until Completion</v>
      </c>
      <c r="H601" s="1358"/>
      <c r="I601" s="1358"/>
      <c r="J601" s="1358"/>
      <c r="K601" s="1358"/>
      <c r="L601" s="1358"/>
      <c r="M601" s="1358"/>
      <c r="N601" s="1358"/>
      <c r="O601" s="1358"/>
      <c r="P601" s="1358"/>
      <c r="Q601" s="1358"/>
      <c r="R601" s="1358"/>
      <c r="T601" s="55" t="s">
        <v>646</v>
      </c>
      <c r="U601" t="s">
        <v>463</v>
      </c>
      <c r="Z601" s="1358" t="str">
        <f>C563</f>
        <v>Deferred Developer Fee</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t="s">
        <v>2717</v>
      </c>
      <c r="H602" s="1371"/>
      <c r="I602" s="1371"/>
      <c r="J602" s="1371"/>
      <c r="K602" s="1371"/>
      <c r="L602" s="1371"/>
      <c r="M602" s="1371"/>
      <c r="N602" s="1371"/>
      <c r="O602" s="1371"/>
      <c r="P602" s="1371"/>
      <c r="Q602" s="1371"/>
      <c r="R602" s="1371"/>
      <c r="T602" s="22"/>
      <c r="U602" t="s">
        <v>85</v>
      </c>
      <c r="Z602" s="1371" t="s">
        <v>2717</v>
      </c>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580</v>
      </c>
      <c r="G603" s="1371" t="s">
        <v>2617</v>
      </c>
      <c r="H603" s="1371"/>
      <c r="I603" s="1371"/>
      <c r="J603" s="1371"/>
      <c r="K603" s="1371"/>
      <c r="L603" s="1371"/>
      <c r="M603" s="1371"/>
      <c r="N603" s="1371"/>
      <c r="O603" s="1371"/>
      <c r="P603" s="1371"/>
      <c r="Q603" s="1371"/>
      <c r="R603" s="1371"/>
      <c r="T603" s="22"/>
      <c r="U603" t="s">
        <v>580</v>
      </c>
      <c r="Z603" s="1348" t="s">
        <v>2617</v>
      </c>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t="s">
        <v>2618</v>
      </c>
      <c r="H604" s="1371"/>
      <c r="I604" s="1371"/>
      <c r="J604" s="1371"/>
      <c r="K604" s="1371"/>
      <c r="L604" s="1371"/>
      <c r="M604" s="1371"/>
      <c r="N604" s="1371"/>
      <c r="O604" s="1371"/>
      <c r="P604" s="1371"/>
      <c r="Q604" s="1371"/>
      <c r="R604" s="1371"/>
      <c r="T604" s="22"/>
      <c r="U604" t="s">
        <v>17</v>
      </c>
      <c r="Z604" s="1348" t="s">
        <v>2618</v>
      </c>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315</v>
      </c>
      <c r="C605"/>
      <c r="D605"/>
      <c r="E605"/>
      <c r="F605"/>
      <c r="G605" s="1346" t="s">
        <v>2718</v>
      </c>
      <c r="H605" s="1346"/>
      <c r="I605" s="1346"/>
      <c r="J605" s="1346"/>
      <c r="K605" s="1346"/>
      <c r="L605" s="1346"/>
      <c r="M605"/>
      <c r="N605"/>
      <c r="O605" s="33" t="s">
        <v>205</v>
      </c>
      <c r="P605" s="1436"/>
      <c r="Q605" s="1436"/>
      <c r="R605" s="1436"/>
      <c r="S605"/>
      <c r="T605" s="22"/>
      <c r="U605" t="s">
        <v>315</v>
      </c>
      <c r="V605"/>
      <c r="W605"/>
      <c r="X605"/>
      <c r="Y605"/>
      <c r="Z605" s="1346" t="s">
        <v>2718</v>
      </c>
      <c r="AA605" s="1346"/>
      <c r="AB605" s="1346"/>
      <c r="AC605" s="1346"/>
      <c r="AD605" s="1346"/>
      <c r="AE605" s="1346"/>
      <c r="AF605"/>
      <c r="AG605"/>
      <c r="AH605" s="33" t="s">
        <v>205</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t="s">
        <v>2719</v>
      </c>
      <c r="I606" s="1371"/>
      <c r="J606" s="1371"/>
      <c r="K606" s="1371"/>
      <c r="L606" s="1371"/>
      <c r="M606" s="1371"/>
      <c r="N606" s="1371"/>
      <c r="O606" s="1371"/>
      <c r="P606" s="1371"/>
      <c r="Q606" s="1371"/>
      <c r="R606" s="1371"/>
      <c r="S606"/>
      <c r="T606" s="22"/>
      <c r="U606" t="s">
        <v>18</v>
      </c>
      <c r="V606"/>
      <c r="W606"/>
      <c r="X606"/>
      <c r="Y606"/>
      <c r="Z606"/>
      <c r="AA606" s="1371" t="s">
        <v>2322</v>
      </c>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545</v>
      </c>
      <c r="O607" s="1332"/>
      <c r="P607"/>
      <c r="Q607"/>
      <c r="R607"/>
      <c r="S607"/>
      <c r="T607" s="22"/>
      <c r="U607" t="s">
        <v>20</v>
      </c>
      <c r="V607"/>
      <c r="W607"/>
      <c r="X607"/>
      <c r="Y607"/>
      <c r="Z607"/>
      <c r="AA607"/>
      <c r="AB607"/>
      <c r="AC607"/>
      <c r="AD607"/>
      <c r="AE607"/>
      <c r="AF607"/>
      <c r="AG607" s="1332" t="s">
        <v>545</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t="str">
        <f>C564</f>
        <v>Tax Credit Equity</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t="s">
        <v>2714</v>
      </c>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580</v>
      </c>
      <c r="G611" s="1371" t="s">
        <v>2715</v>
      </c>
      <c r="H611" s="1371"/>
      <c r="I611" s="1371"/>
      <c r="J611" s="1371"/>
      <c r="K611" s="1371"/>
      <c r="L611" s="1371"/>
      <c r="M611" s="1371"/>
      <c r="N611" s="1371"/>
      <c r="O611" s="1371"/>
      <c r="P611" s="1371"/>
      <c r="Q611" s="1371"/>
      <c r="R611" s="1371"/>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t="s">
        <v>2671</v>
      </c>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315</v>
      </c>
      <c r="G613" s="1346" t="s">
        <v>2716</v>
      </c>
      <c r="H613" s="1346"/>
      <c r="I613" s="1346"/>
      <c r="J613" s="1346"/>
      <c r="K613" s="1346"/>
      <c r="L613" s="1346"/>
      <c r="O613" s="33" t="s">
        <v>205</v>
      </c>
      <c r="P613" s="1436"/>
      <c r="Q613" s="1436"/>
      <c r="R613" s="1436"/>
      <c r="U613" t="s">
        <v>315</v>
      </c>
      <c r="Z613" s="1346"/>
      <c r="AA613" s="1346"/>
      <c r="AB613" s="1346"/>
      <c r="AC613" s="1346"/>
      <c r="AD613" s="1346"/>
      <c r="AE613" s="1346"/>
      <c r="AH613" s="33" t="s">
        <v>205</v>
      </c>
      <c r="AI613" s="1436"/>
      <c r="AJ613" s="1436"/>
      <c r="AK613" s="1436"/>
      <c r="AZ613" s="3"/>
      <c r="BA613" s="3"/>
      <c r="BB613" s="3"/>
      <c r="BC613" s="3"/>
    </row>
    <row r="614" spans="1:55" ht="12.95" customHeight="1">
      <c r="B614" t="s">
        <v>18</v>
      </c>
      <c r="H614" s="1371" t="s">
        <v>2705</v>
      </c>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545</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66" t="s">
        <v>2103</v>
      </c>
      <c r="C624" s="1666"/>
      <c r="D624" s="1666"/>
      <c r="E624" s="1666"/>
      <c r="F624" s="1666"/>
      <c r="G624" s="1666"/>
      <c r="H624" s="1666"/>
      <c r="I624" s="1666"/>
      <c r="J624" s="1666"/>
      <c r="K624" s="1666"/>
      <c r="L624" s="1666"/>
      <c r="M624" s="1442" t="s">
        <v>2104</v>
      </c>
      <c r="N624" s="1442"/>
      <c r="O624" s="1442"/>
      <c r="P624" s="1442"/>
      <c r="Q624" s="1442" t="s">
        <v>1853</v>
      </c>
      <c r="R624" s="1442"/>
      <c r="S624" s="1442"/>
      <c r="T624" s="1442" t="s">
        <v>1851</v>
      </c>
      <c r="U624" s="1442"/>
      <c r="V624" s="1442"/>
      <c r="W624" s="1691" t="s">
        <v>453</v>
      </c>
      <c r="X624" s="1691"/>
      <c r="Y624" s="1691"/>
      <c r="Z624" s="1430" t="s">
        <v>2133</v>
      </c>
      <c r="AA624" s="1430"/>
      <c r="AB624" s="1431"/>
      <c r="AC624" s="1679" t="s">
        <v>1676</v>
      </c>
      <c r="AD624" s="1680"/>
      <c r="AE624" s="1681"/>
      <c r="AF624" s="1688" t="s">
        <v>1931</v>
      </c>
      <c r="AG624" s="1430"/>
      <c r="AH624" s="1430"/>
      <c r="AI624" s="1430"/>
      <c r="AJ624" s="1431"/>
      <c r="AK624" s="1703" t="s">
        <v>1932</v>
      </c>
      <c r="AL624" s="1704"/>
      <c r="AM624" s="1704"/>
      <c r="AN624" s="1705"/>
      <c r="AO624" s="1442" t="s">
        <v>454</v>
      </c>
      <c r="AP624" s="1442"/>
      <c r="AQ624" s="1442"/>
      <c r="AR624" s="1442"/>
      <c r="AS624" s="1442"/>
      <c r="AU624" s="3"/>
      <c r="AZ624" s="3"/>
      <c r="BA624" s="3"/>
      <c r="BB624" s="3"/>
      <c r="BC624" s="3"/>
    </row>
    <row r="625" spans="2:157" ht="12.95" customHeight="1">
      <c r="B625" s="1666"/>
      <c r="C625" s="1666"/>
      <c r="D625" s="1666"/>
      <c r="E625" s="1666"/>
      <c r="F625" s="1666"/>
      <c r="G625" s="1666"/>
      <c r="H625" s="1666"/>
      <c r="I625" s="1666"/>
      <c r="J625" s="1666"/>
      <c r="K625" s="1666"/>
      <c r="L625" s="1666"/>
      <c r="M625" s="1442"/>
      <c r="N625" s="1442"/>
      <c r="O625" s="1442"/>
      <c r="P625" s="1442"/>
      <c r="Q625" s="1442"/>
      <c r="R625" s="1442"/>
      <c r="S625" s="1442"/>
      <c r="T625" s="1442"/>
      <c r="U625" s="1442"/>
      <c r="V625" s="1442"/>
      <c r="W625" s="1691"/>
      <c r="X625" s="1691"/>
      <c r="Y625" s="1691"/>
      <c r="Z625" s="1432"/>
      <c r="AA625" s="1432"/>
      <c r="AB625" s="1433"/>
      <c r="AC625" s="1682"/>
      <c r="AD625" s="1683"/>
      <c r="AE625" s="1684"/>
      <c r="AF625" s="1689"/>
      <c r="AG625" s="1432"/>
      <c r="AH625" s="1432"/>
      <c r="AI625" s="1432"/>
      <c r="AJ625" s="1433"/>
      <c r="AK625" s="1706"/>
      <c r="AL625" s="1707"/>
      <c r="AM625" s="1707"/>
      <c r="AN625" s="1708"/>
      <c r="AO625" s="1442"/>
      <c r="AP625" s="1442"/>
      <c r="AQ625" s="1442"/>
      <c r="AR625" s="1442"/>
      <c r="AS625" s="1442"/>
      <c r="AU625" s="3"/>
      <c r="AZ625" s="3"/>
      <c r="BA625" s="3"/>
      <c r="BB625" s="3"/>
      <c r="BC625" s="3"/>
      <c r="BD625" s="3"/>
    </row>
    <row r="626" spans="2:157" ht="12.95" customHeight="1">
      <c r="B626" s="1666"/>
      <c r="C626" s="1666"/>
      <c r="D626" s="1666"/>
      <c r="E626" s="1666"/>
      <c r="F626" s="1666"/>
      <c r="G626" s="1666"/>
      <c r="H626" s="1666"/>
      <c r="I626" s="1666"/>
      <c r="J626" s="1666"/>
      <c r="K626" s="1666"/>
      <c r="L626" s="1666"/>
      <c r="M626" s="1442"/>
      <c r="N626" s="1442"/>
      <c r="O626" s="1442"/>
      <c r="P626" s="1442"/>
      <c r="Q626" s="1442"/>
      <c r="R626" s="1442"/>
      <c r="S626" s="1442"/>
      <c r="T626" s="1442"/>
      <c r="U626" s="1442"/>
      <c r="V626" s="1442"/>
      <c r="W626" s="1691"/>
      <c r="X626" s="1691"/>
      <c r="Y626" s="1691"/>
      <c r="Z626" s="1434"/>
      <c r="AA626" s="1434"/>
      <c r="AB626" s="1435"/>
      <c r="AC626" s="1685"/>
      <c r="AD626" s="1686"/>
      <c r="AE626" s="1687"/>
      <c r="AF626" s="1690"/>
      <c r="AG626" s="1434"/>
      <c r="AH626" s="1434"/>
      <c r="AI626" s="1434"/>
      <c r="AJ626" s="1435"/>
      <c r="AK626" s="1709"/>
      <c r="AL626" s="1710"/>
      <c r="AM626" s="1710"/>
      <c r="AN626" s="1711"/>
      <c r="AO626" s="1442"/>
      <c r="AP626" s="1442"/>
      <c r="AQ626" s="1442"/>
      <c r="AR626" s="1442"/>
      <c r="AS626" s="1442"/>
      <c r="AT626" s="3"/>
      <c r="AU626" s="3"/>
      <c r="AZ626" s="3"/>
      <c r="BA626" s="3"/>
      <c r="BB626" s="3"/>
      <c r="BC626" s="3"/>
      <c r="BD626" s="3"/>
    </row>
    <row r="627" spans="2:157" ht="12.95" customHeight="1">
      <c r="B627" s="51" t="s">
        <v>112</v>
      </c>
      <c r="C627" s="1441" t="s">
        <v>2720</v>
      </c>
      <c r="D627" s="1441"/>
      <c r="E627" s="1441"/>
      <c r="F627" s="1441"/>
      <c r="G627" s="1441"/>
      <c r="H627" s="1441"/>
      <c r="I627" s="1441"/>
      <c r="J627" s="1441"/>
      <c r="K627" s="1441"/>
      <c r="L627" s="1441"/>
      <c r="M627" s="1460" t="s">
        <v>2120</v>
      </c>
      <c r="N627" s="1460"/>
      <c r="O627" s="1460"/>
      <c r="P627" s="1460"/>
      <c r="Q627" s="1425">
        <f>15*12</f>
        <v>180</v>
      </c>
      <c r="R627" s="1425"/>
      <c r="S627" s="1426"/>
      <c r="T627" s="1424">
        <f>35*12</f>
        <v>420</v>
      </c>
      <c r="U627" s="1425"/>
      <c r="V627" s="1426"/>
      <c r="W627" s="1437">
        <v>6.7400000000000002E-2</v>
      </c>
      <c r="X627" s="1438"/>
      <c r="Y627" s="1439"/>
      <c r="Z627" s="1484" t="s">
        <v>2132</v>
      </c>
      <c r="AA627" s="1485"/>
      <c r="AB627" s="1486"/>
      <c r="AC627" s="1457">
        <v>1</v>
      </c>
      <c r="AD627" s="1458"/>
      <c r="AE627" s="1459"/>
      <c r="AF627" s="1449">
        <v>167670</v>
      </c>
      <c r="AG627" s="1450"/>
      <c r="AH627" s="1450"/>
      <c r="AI627" s="1450"/>
      <c r="AJ627" s="1451"/>
      <c r="AK627" s="1427"/>
      <c r="AL627" s="1428"/>
      <c r="AM627" s="1428"/>
      <c r="AN627" s="1429"/>
      <c r="AO627" s="1487">
        <v>2251000</v>
      </c>
      <c r="AP627" s="1487"/>
      <c r="AQ627" s="1487"/>
      <c r="AR627" s="1487"/>
      <c r="AS627" s="1487"/>
      <c r="AT627" s="3"/>
      <c r="AU627" s="3"/>
      <c r="AZ627" s="3"/>
      <c r="BA627" s="3"/>
      <c r="BB627" s="3"/>
      <c r="BC627" s="3"/>
      <c r="BD627" s="3"/>
    </row>
    <row r="628" spans="2:157" ht="12.95" customHeight="1">
      <c r="B628" s="52" t="s">
        <v>113</v>
      </c>
      <c r="C628" s="1441" t="str">
        <f>C556</f>
        <v>Alliance Housing Fund</v>
      </c>
      <c r="D628" s="1441"/>
      <c r="E628" s="1441"/>
      <c r="F628" s="1441"/>
      <c r="G628" s="1441"/>
      <c r="H628" s="1441"/>
      <c r="I628" s="1441"/>
      <c r="J628" s="1441"/>
      <c r="K628" s="1441"/>
      <c r="L628" s="1441"/>
      <c r="M628" s="1460" t="s">
        <v>2116</v>
      </c>
      <c r="N628" s="1460"/>
      <c r="O628" s="1460"/>
      <c r="P628" s="1460"/>
      <c r="Q628" s="1424">
        <f>55*12</f>
        <v>660</v>
      </c>
      <c r="R628" s="1425"/>
      <c r="S628" s="1426"/>
      <c r="T628" s="1424"/>
      <c r="U628" s="1425"/>
      <c r="V628" s="1426"/>
      <c r="W628" s="1437">
        <v>0.03</v>
      </c>
      <c r="X628" s="1438"/>
      <c r="Y628" s="1439"/>
      <c r="Z628" s="1484" t="s">
        <v>457</v>
      </c>
      <c r="AA628" s="1485"/>
      <c r="AB628" s="1486"/>
      <c r="AC628" s="1457">
        <v>2</v>
      </c>
      <c r="AD628" s="1458"/>
      <c r="AE628" s="1459"/>
      <c r="AF628" s="1449"/>
      <c r="AG628" s="1450"/>
      <c r="AH628" s="1450"/>
      <c r="AI628" s="1450"/>
      <c r="AJ628" s="1451"/>
      <c r="AK628" s="1427"/>
      <c r="AL628" s="1428"/>
      <c r="AM628" s="1428"/>
      <c r="AN628" s="1429"/>
      <c r="AO628" s="1474">
        <v>3392621</v>
      </c>
      <c r="AP628" s="1475"/>
      <c r="AQ628" s="1475"/>
      <c r="AR628" s="1475"/>
      <c r="AS628" s="1476"/>
      <c r="AT628" s="1148" t="str">
        <f>IF(AND(NOT(C627=""),C628="",NOT(C629="")),"!","")</f>
        <v/>
      </c>
      <c r="AU628" s="3"/>
      <c r="AZ628" s="3"/>
      <c r="BA628" s="3"/>
      <c r="BB628" s="3"/>
      <c r="BC628" s="3"/>
      <c r="BD628" s="3"/>
    </row>
    <row r="629" spans="2:157" ht="12.95" customHeight="1">
      <c r="B629" s="52" t="s">
        <v>119</v>
      </c>
      <c r="C629" s="1441" t="str">
        <f t="shared" ref="C629:C633" si="3">C557</f>
        <v>REAP: Regional Competitiveness Grant</v>
      </c>
      <c r="D629" s="1441"/>
      <c r="E629" s="1441"/>
      <c r="F629" s="1441"/>
      <c r="G629" s="1441"/>
      <c r="H629" s="1441"/>
      <c r="I629" s="1441"/>
      <c r="J629" s="1441"/>
      <c r="K629" s="1441"/>
      <c r="L629" s="1441"/>
      <c r="M629" s="1460" t="s">
        <v>2116</v>
      </c>
      <c r="N629" s="1460"/>
      <c r="O629" s="1460"/>
      <c r="P629" s="1460"/>
      <c r="Q629" s="1424">
        <f t="shared" ref="Q629:Q630" si="4">55*12</f>
        <v>660</v>
      </c>
      <c r="R629" s="1425"/>
      <c r="S629" s="1426"/>
      <c r="T629" s="1424"/>
      <c r="U629" s="1425"/>
      <c r="V629" s="1426"/>
      <c r="W629" s="1437">
        <v>0.03</v>
      </c>
      <c r="X629" s="1438"/>
      <c r="Y629" s="1439"/>
      <c r="Z629" s="1484" t="s">
        <v>457</v>
      </c>
      <c r="AA629" s="1485"/>
      <c r="AB629" s="1486"/>
      <c r="AC629" s="1457">
        <v>3</v>
      </c>
      <c r="AD629" s="1458"/>
      <c r="AE629" s="1459"/>
      <c r="AF629" s="1449"/>
      <c r="AG629" s="1450"/>
      <c r="AH629" s="1450"/>
      <c r="AI629" s="1450"/>
      <c r="AJ629" s="1451"/>
      <c r="AK629" s="1427"/>
      <c r="AL629" s="1428"/>
      <c r="AM629" s="1428"/>
      <c r="AN629" s="1429"/>
      <c r="AO629" s="1474">
        <v>2497538</v>
      </c>
      <c r="AP629" s="1475"/>
      <c r="AQ629" s="1475"/>
      <c r="AR629" s="1475"/>
      <c r="AS629" s="1476"/>
      <c r="AT629" s="1148" t="str">
        <f t="shared" ref="AT629:AT638" si="5">IF(AND(NOT(C628=""),C629="",NOT(C630="")),"!","")</f>
        <v/>
      </c>
      <c r="AU629" s="3"/>
      <c r="AZ629" s="3"/>
      <c r="BA629" s="3"/>
      <c r="BB629" s="3"/>
      <c r="BC629" s="3"/>
      <c r="BD629" s="3"/>
    </row>
    <row r="630" spans="2:157" ht="12.95" customHeight="1">
      <c r="B630" s="52" t="s">
        <v>581</v>
      </c>
      <c r="C630" s="1347" t="str">
        <f t="shared" si="3"/>
        <v>City of Merced PLHA</v>
      </c>
      <c r="D630" s="1347"/>
      <c r="E630" s="1347"/>
      <c r="F630" s="1347"/>
      <c r="G630" s="1347"/>
      <c r="H630" s="1347"/>
      <c r="I630" s="1347"/>
      <c r="J630" s="1347"/>
      <c r="K630" s="1347"/>
      <c r="L630" s="1347"/>
      <c r="M630" s="1460" t="s">
        <v>2116</v>
      </c>
      <c r="N630" s="1460"/>
      <c r="O630" s="1460"/>
      <c r="P630" s="1460"/>
      <c r="Q630" s="1424">
        <f t="shared" si="4"/>
        <v>660</v>
      </c>
      <c r="R630" s="1425"/>
      <c r="S630" s="1426"/>
      <c r="T630" s="1424"/>
      <c r="U630" s="1425"/>
      <c r="V630" s="1426"/>
      <c r="W630" s="1437">
        <v>0.03</v>
      </c>
      <c r="X630" s="1438"/>
      <c r="Y630" s="1439"/>
      <c r="Z630" s="1484" t="s">
        <v>457</v>
      </c>
      <c r="AA630" s="1485"/>
      <c r="AB630" s="1486"/>
      <c r="AC630" s="1457">
        <v>4</v>
      </c>
      <c r="AD630" s="1458"/>
      <c r="AE630" s="1459"/>
      <c r="AF630" s="1449"/>
      <c r="AG630" s="1450"/>
      <c r="AH630" s="1450"/>
      <c r="AI630" s="1450"/>
      <c r="AJ630" s="1451"/>
      <c r="AK630" s="1427"/>
      <c r="AL630" s="1428"/>
      <c r="AM630" s="1428"/>
      <c r="AN630" s="1429"/>
      <c r="AO630" s="1474">
        <v>1608830</v>
      </c>
      <c r="AP630" s="1475"/>
      <c r="AQ630" s="1475"/>
      <c r="AR630" s="1475"/>
      <c r="AS630" s="1476"/>
      <c r="AT630" s="1148" t="str">
        <f t="shared" si="5"/>
        <v/>
      </c>
      <c r="AU630" s="3"/>
      <c r="AZ630" s="3"/>
      <c r="BA630" s="3"/>
      <c r="BB630" s="3"/>
      <c r="BC630" s="3"/>
      <c r="BD630" s="3"/>
    </row>
    <row r="631" spans="2:157" ht="12.95" customHeight="1">
      <c r="B631" s="52" t="s">
        <v>763</v>
      </c>
      <c r="C631" s="1347" t="str">
        <f t="shared" si="3"/>
        <v>FHLB AHP</v>
      </c>
      <c r="D631" s="1347"/>
      <c r="E631" s="1347"/>
      <c r="F631" s="1347"/>
      <c r="G631" s="1347"/>
      <c r="H631" s="1347"/>
      <c r="I631" s="1347"/>
      <c r="J631" s="1347"/>
      <c r="K631" s="1347"/>
      <c r="L631" s="1347"/>
      <c r="M631" s="1460" t="s">
        <v>2113</v>
      </c>
      <c r="N631" s="1460"/>
      <c r="O631" s="1460"/>
      <c r="P631" s="1460"/>
      <c r="Q631" s="1424">
        <f>55*12</f>
        <v>660</v>
      </c>
      <c r="R631" s="1425"/>
      <c r="S631" s="1426"/>
      <c r="T631" s="1424"/>
      <c r="U631" s="1425"/>
      <c r="V631" s="1426"/>
      <c r="W631" s="1437">
        <v>0</v>
      </c>
      <c r="X631" s="1438"/>
      <c r="Y631" s="1439"/>
      <c r="Z631" s="1484" t="s">
        <v>457</v>
      </c>
      <c r="AA631" s="1485"/>
      <c r="AB631" s="1486"/>
      <c r="AC631" s="1457">
        <v>5</v>
      </c>
      <c r="AD631" s="1458"/>
      <c r="AE631" s="1459"/>
      <c r="AF631" s="1449"/>
      <c r="AG631" s="1450"/>
      <c r="AH631" s="1450"/>
      <c r="AI631" s="1450"/>
      <c r="AJ631" s="1451"/>
      <c r="AK631" s="1427"/>
      <c r="AL631" s="1428"/>
      <c r="AM631" s="1428"/>
      <c r="AN631" s="1429"/>
      <c r="AO631" s="1474">
        <v>795000</v>
      </c>
      <c r="AP631" s="1475"/>
      <c r="AQ631" s="1475"/>
      <c r="AR631" s="1475"/>
      <c r="AS631" s="1476"/>
      <c r="AT631" s="1148" t="str">
        <f t="shared" si="5"/>
        <v/>
      </c>
      <c r="AU631" s="3"/>
      <c r="AZ631" s="3"/>
      <c r="BA631" s="3"/>
      <c r="BB631" s="3"/>
      <c r="BC631" s="3"/>
      <c r="BD631" s="3"/>
    </row>
    <row r="632" spans="2:157" ht="12.95" customHeight="1">
      <c r="B632" s="52" t="s">
        <v>584</v>
      </c>
      <c r="C632" s="1347" t="str">
        <f t="shared" si="3"/>
        <v>Impact Fee Waiver</v>
      </c>
      <c r="D632" s="1347"/>
      <c r="E632" s="1347"/>
      <c r="F632" s="1347"/>
      <c r="G632" s="1347"/>
      <c r="H632" s="1347"/>
      <c r="I632" s="1347"/>
      <c r="J632" s="1347"/>
      <c r="K632" s="1347"/>
      <c r="L632" s="1347"/>
      <c r="M632" s="1460" t="s">
        <v>2129</v>
      </c>
      <c r="N632" s="1460"/>
      <c r="O632" s="1460"/>
      <c r="P632" s="1460"/>
      <c r="Q632" s="1424"/>
      <c r="R632" s="1425"/>
      <c r="S632" s="1426"/>
      <c r="T632" s="1424"/>
      <c r="U632" s="1425"/>
      <c r="V632" s="1426"/>
      <c r="W632" s="1437"/>
      <c r="X632" s="1438"/>
      <c r="Y632" s="1439"/>
      <c r="Z632" s="1484" t="s">
        <v>1184</v>
      </c>
      <c r="AA632" s="1485"/>
      <c r="AB632" s="1486"/>
      <c r="AC632" s="1457"/>
      <c r="AD632" s="1458"/>
      <c r="AE632" s="1459"/>
      <c r="AF632" s="1449"/>
      <c r="AG632" s="1450"/>
      <c r="AH632" s="1450"/>
      <c r="AI632" s="1450"/>
      <c r="AJ632" s="1451"/>
      <c r="AK632" s="1427"/>
      <c r="AL632" s="1428"/>
      <c r="AM632" s="1428"/>
      <c r="AN632" s="1429"/>
      <c r="AO632" s="1474">
        <v>416034</v>
      </c>
      <c r="AP632" s="1475"/>
      <c r="AQ632" s="1475"/>
      <c r="AR632" s="1475"/>
      <c r="AS632" s="1476"/>
      <c r="AT632" s="1148" t="str">
        <f t="shared" si="5"/>
        <v/>
      </c>
      <c r="AU632" s="3"/>
      <c r="AZ632" s="3"/>
      <c r="BA632" s="3"/>
      <c r="BB632" s="3"/>
      <c r="BC632" s="3"/>
      <c r="BD632" s="3"/>
    </row>
    <row r="633" spans="2:157" ht="12.95" customHeight="1">
      <c r="B633" s="52" t="s">
        <v>455</v>
      </c>
      <c r="C633" s="1347" t="str">
        <f t="shared" si="3"/>
        <v>Donated Land</v>
      </c>
      <c r="D633" s="1347"/>
      <c r="E633" s="1347"/>
      <c r="F633" s="1347"/>
      <c r="G633" s="1347"/>
      <c r="H633" s="1347"/>
      <c r="I633" s="1347"/>
      <c r="J633" s="1347"/>
      <c r="K633" s="1347"/>
      <c r="L633" s="1347"/>
      <c r="M633" s="1460" t="s">
        <v>2127</v>
      </c>
      <c r="N633" s="1460"/>
      <c r="O633" s="1460"/>
      <c r="P633" s="1460"/>
      <c r="Q633" s="1424"/>
      <c r="R633" s="1425"/>
      <c r="S633" s="1426"/>
      <c r="T633" s="1424"/>
      <c r="U633" s="1425"/>
      <c r="V633" s="1426"/>
      <c r="W633" s="1437"/>
      <c r="X633" s="1438"/>
      <c r="Y633" s="1439"/>
      <c r="Z633" s="1484" t="s">
        <v>1184</v>
      </c>
      <c r="AA633" s="1485"/>
      <c r="AB633" s="1486"/>
      <c r="AC633" s="1457"/>
      <c r="AD633" s="1458"/>
      <c r="AE633" s="1459"/>
      <c r="AF633" s="1449"/>
      <c r="AG633" s="1450"/>
      <c r="AH633" s="1450"/>
      <c r="AI633" s="1450"/>
      <c r="AJ633" s="1451"/>
      <c r="AK633" s="1427"/>
      <c r="AL633" s="1428"/>
      <c r="AM633" s="1428"/>
      <c r="AN633" s="1429"/>
      <c r="AO633" s="1474">
        <v>400000</v>
      </c>
      <c r="AP633" s="1475"/>
      <c r="AQ633" s="1475"/>
      <c r="AR633" s="1475"/>
      <c r="AS633" s="1476"/>
      <c r="AT633" s="1148" t="str">
        <f t="shared" si="5"/>
        <v/>
      </c>
      <c r="AU633" s="3"/>
      <c r="AV633" s="3"/>
      <c r="AW633" s="3"/>
      <c r="AX633" s="3"/>
      <c r="AY633" s="3"/>
      <c r="AZ633" s="3"/>
      <c r="BA633" s="3"/>
      <c r="BB633" s="3"/>
      <c r="BC633" s="3"/>
      <c r="BD633" s="3"/>
    </row>
    <row r="634" spans="2:157" ht="12.95" customHeight="1">
      <c r="B634" s="52" t="s">
        <v>456</v>
      </c>
      <c r="C634" s="1441" t="s">
        <v>2322</v>
      </c>
      <c r="D634" s="1347"/>
      <c r="E634" s="1347"/>
      <c r="F634" s="1347"/>
      <c r="G634" s="1347"/>
      <c r="H634" s="1347"/>
      <c r="I634" s="1347"/>
      <c r="J634" s="1347"/>
      <c r="K634" s="1347"/>
      <c r="L634" s="1347"/>
      <c r="M634" s="1460" t="s">
        <v>2107</v>
      </c>
      <c r="N634" s="1460"/>
      <c r="O634" s="1460"/>
      <c r="P634" s="1460"/>
      <c r="Q634" s="1424"/>
      <c r="R634" s="1425"/>
      <c r="S634" s="1426"/>
      <c r="T634" s="1424"/>
      <c r="U634" s="1425"/>
      <c r="V634" s="1426"/>
      <c r="W634" s="1437"/>
      <c r="X634" s="1438"/>
      <c r="Y634" s="1439"/>
      <c r="Z634" s="1484" t="s">
        <v>1184</v>
      </c>
      <c r="AA634" s="1485"/>
      <c r="AB634" s="1486"/>
      <c r="AC634" s="1457"/>
      <c r="AD634" s="1458"/>
      <c r="AE634" s="1459"/>
      <c r="AF634" s="1449"/>
      <c r="AG634" s="1450"/>
      <c r="AH634" s="1450"/>
      <c r="AI634" s="1450"/>
      <c r="AJ634" s="1451"/>
      <c r="AK634" s="1427"/>
      <c r="AL634" s="1428"/>
      <c r="AM634" s="1428"/>
      <c r="AN634" s="1429"/>
      <c r="AO634" s="1474">
        <v>1870289</v>
      </c>
      <c r="AP634" s="1475"/>
      <c r="AQ634" s="1475"/>
      <c r="AR634" s="1475"/>
      <c r="AS634" s="1476"/>
      <c r="AT634" s="1148" t="str">
        <f t="shared" si="5"/>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460" t="s">
        <v>1184</v>
      </c>
      <c r="N635" s="1460"/>
      <c r="O635" s="1460"/>
      <c r="P635" s="1460"/>
      <c r="Q635" s="1424"/>
      <c r="R635" s="1425"/>
      <c r="S635" s="1426"/>
      <c r="T635" s="1424"/>
      <c r="U635" s="1425"/>
      <c r="V635" s="1426"/>
      <c r="W635" s="1437"/>
      <c r="X635" s="1438"/>
      <c r="Y635" s="1439"/>
      <c r="Z635" s="1484" t="s">
        <v>1184</v>
      </c>
      <c r="AA635" s="1485"/>
      <c r="AB635" s="1486"/>
      <c r="AC635" s="1457"/>
      <c r="AD635" s="1458"/>
      <c r="AE635" s="1459"/>
      <c r="AF635" s="1449"/>
      <c r="AG635" s="1450"/>
      <c r="AH635" s="1450"/>
      <c r="AI635" s="1450"/>
      <c r="AJ635" s="1451"/>
      <c r="AK635" s="1427"/>
      <c r="AL635" s="1428"/>
      <c r="AM635" s="1428"/>
      <c r="AN635" s="1429"/>
      <c r="AO635" s="1474"/>
      <c r="AP635" s="1475"/>
      <c r="AQ635" s="1475"/>
      <c r="AR635" s="1475"/>
      <c r="AS635" s="1476"/>
      <c r="AT635" s="1148" t="str">
        <f t="shared" si="5"/>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53" t="e">
        <f t="shared" ref="DX635:DX669" si="6">EZ718*(CP718/$CP$753)</f>
        <v>#VALUE!</v>
      </c>
      <c r="DY635" s="1453"/>
      <c r="DZ635" s="1453"/>
      <c r="EA635" s="1453"/>
      <c r="EB635" s="1453"/>
      <c r="EC635" s="1453">
        <f t="shared" ref="EC635:EC669" si="7">FE718*(CU718/$CU$753)</f>
        <v>211.9245283018868</v>
      </c>
      <c r="ED635" s="1453"/>
      <c r="EE635" s="1453"/>
      <c r="EF635" s="1453"/>
      <c r="EG635" s="1453"/>
      <c r="EH635" s="1453" t="e">
        <f t="shared" ref="EH635:EH669" si="8">FJ718*(CZ718/$CZ$753)</f>
        <v>#VALUE!</v>
      </c>
      <c r="EI635" s="1453"/>
      <c r="EJ635" s="1453"/>
      <c r="EK635" s="1453"/>
      <c r="EL635" s="1453"/>
      <c r="EM635" s="1453" t="e">
        <f t="shared" ref="EM635:EM669" si="9">FO718*(DE718/$DE$753)</f>
        <v>#VALUE!</v>
      </c>
      <c r="EN635" s="1453"/>
      <c r="EO635" s="1453"/>
      <c r="EP635" s="1453"/>
      <c r="EQ635" s="1453"/>
      <c r="ER635" s="1453" t="e">
        <f t="shared" ref="ER635:ER669" si="10">FT718*(DJ718/$DJ$753)</f>
        <v>#VALUE!</v>
      </c>
      <c r="ES635" s="1453"/>
      <c r="ET635" s="1453"/>
      <c r="EU635" s="1453"/>
      <c r="EV635" s="1453"/>
      <c r="EW635" s="1453" t="e">
        <f t="shared" ref="EW635:EW669" si="11">FY718*(DO718/$DO$753)</f>
        <v>#VALUE!</v>
      </c>
      <c r="EX635" s="1453"/>
      <c r="EY635" s="1453"/>
      <c r="EZ635" s="1453"/>
      <c r="FA635" s="1453"/>
    </row>
    <row r="636" spans="2:157" ht="12.95" customHeight="1">
      <c r="B636" s="52" t="s">
        <v>646</v>
      </c>
      <c r="C636" s="1347"/>
      <c r="D636" s="1347"/>
      <c r="E636" s="1347"/>
      <c r="F636" s="1347"/>
      <c r="G636" s="1347"/>
      <c r="H636" s="1347"/>
      <c r="I636" s="1347"/>
      <c r="J636" s="1347"/>
      <c r="K636" s="1347"/>
      <c r="L636" s="1347"/>
      <c r="M636" s="1460" t="s">
        <v>1184</v>
      </c>
      <c r="N636" s="1460"/>
      <c r="O636" s="1460"/>
      <c r="P636" s="1460"/>
      <c r="Q636" s="1424"/>
      <c r="R636" s="1425"/>
      <c r="S636" s="1426"/>
      <c r="T636" s="1424"/>
      <c r="U636" s="1425"/>
      <c r="V636" s="1426"/>
      <c r="W636" s="1437"/>
      <c r="X636" s="1438"/>
      <c r="Y636" s="1439"/>
      <c r="Z636" s="1484" t="s">
        <v>1184</v>
      </c>
      <c r="AA636" s="1485"/>
      <c r="AB636" s="1486"/>
      <c r="AC636" s="1457"/>
      <c r="AD636" s="1458"/>
      <c r="AE636" s="1459"/>
      <c r="AF636" s="1449"/>
      <c r="AG636" s="1450"/>
      <c r="AH636" s="1450"/>
      <c r="AI636" s="1450"/>
      <c r="AJ636" s="1451"/>
      <c r="AK636" s="1427"/>
      <c r="AL636" s="1428"/>
      <c r="AM636" s="1428"/>
      <c r="AN636" s="1429"/>
      <c r="AO636" s="1474"/>
      <c r="AP636" s="1475"/>
      <c r="AQ636" s="1475"/>
      <c r="AR636" s="1475"/>
      <c r="AS636" s="1476"/>
      <c r="AT636" s="1148" t="str">
        <f t="shared" si="5"/>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53" t="e">
        <f t="shared" si="6"/>
        <v>#VALUE!</v>
      </c>
      <c r="DY636" s="1453"/>
      <c r="DZ636" s="1453"/>
      <c r="EA636" s="1453"/>
      <c r="EB636" s="1453"/>
      <c r="EC636" s="1453">
        <f t="shared" si="7"/>
        <v>204.0754716981132</v>
      </c>
      <c r="ED636" s="1453"/>
      <c r="EE636" s="1453"/>
      <c r="EF636" s="1453"/>
      <c r="EG636" s="1453"/>
      <c r="EH636" s="1453" t="e">
        <f t="shared" si="8"/>
        <v>#VALUE!</v>
      </c>
      <c r="EI636" s="1453"/>
      <c r="EJ636" s="1453"/>
      <c r="EK636" s="1453"/>
      <c r="EL636" s="1453"/>
      <c r="EM636" s="1453" t="e">
        <f t="shared" si="9"/>
        <v>#VALUE!</v>
      </c>
      <c r="EN636" s="1453"/>
      <c r="EO636" s="1453"/>
      <c r="EP636" s="1453"/>
      <c r="EQ636" s="1453"/>
      <c r="ER636" s="1453" t="e">
        <f t="shared" si="10"/>
        <v>#VALUE!</v>
      </c>
      <c r="ES636" s="1453"/>
      <c r="ET636" s="1453"/>
      <c r="EU636" s="1453"/>
      <c r="EV636" s="1453"/>
      <c r="EW636" s="1453" t="e">
        <f t="shared" si="11"/>
        <v>#VALUE!</v>
      </c>
      <c r="EX636" s="1453"/>
      <c r="EY636" s="1453"/>
      <c r="EZ636" s="1453"/>
      <c r="FA636" s="1453"/>
    </row>
    <row r="637" spans="2:157" ht="12.95" customHeight="1">
      <c r="B637" s="52" t="s">
        <v>361</v>
      </c>
      <c r="C637" s="1347"/>
      <c r="D637" s="1347"/>
      <c r="E637" s="1347"/>
      <c r="F637" s="1347"/>
      <c r="G637" s="1347"/>
      <c r="H637" s="1347"/>
      <c r="I637" s="1347"/>
      <c r="J637" s="1347"/>
      <c r="K637" s="1347"/>
      <c r="L637" s="1347"/>
      <c r="M637" s="1460" t="s">
        <v>1184</v>
      </c>
      <c r="N637" s="1460"/>
      <c r="O637" s="1460"/>
      <c r="P637" s="1460"/>
      <c r="Q637" s="1424"/>
      <c r="R637" s="1425"/>
      <c r="S637" s="1426"/>
      <c r="T637" s="1424"/>
      <c r="U637" s="1425"/>
      <c r="V637" s="1426"/>
      <c r="W637" s="1437"/>
      <c r="X637" s="1438"/>
      <c r="Y637" s="1439"/>
      <c r="Z637" s="1484" t="s">
        <v>1184</v>
      </c>
      <c r="AA637" s="1485"/>
      <c r="AB637" s="1486"/>
      <c r="AC637" s="1457"/>
      <c r="AD637" s="1458"/>
      <c r="AE637" s="1459"/>
      <c r="AF637" s="1449"/>
      <c r="AG637" s="1450"/>
      <c r="AH637" s="1450"/>
      <c r="AI637" s="1450"/>
      <c r="AJ637" s="1451"/>
      <c r="AK637" s="1427"/>
      <c r="AL637" s="1428"/>
      <c r="AM637" s="1428"/>
      <c r="AN637" s="1429"/>
      <c r="AO637" s="1474"/>
      <c r="AP637" s="1475"/>
      <c r="AQ637" s="1475"/>
      <c r="AR637" s="1475"/>
      <c r="AS637" s="1476"/>
      <c r="AT637" s="1148" t="str">
        <f t="shared" si="5"/>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53" t="e">
        <f t="shared" si="6"/>
        <v>#VALUE!</v>
      </c>
      <c r="DY637" s="1453"/>
      <c r="DZ637" s="1453"/>
      <c r="EA637" s="1453"/>
      <c r="EB637" s="1453"/>
      <c r="EC637" s="1453" t="e">
        <f t="shared" si="7"/>
        <v>#VALUE!</v>
      </c>
      <c r="ED637" s="1453"/>
      <c r="EE637" s="1453"/>
      <c r="EF637" s="1453"/>
      <c r="EG637" s="1453"/>
      <c r="EH637" s="1453" t="e">
        <f t="shared" si="8"/>
        <v>#VALUE!</v>
      </c>
      <c r="EI637" s="1453"/>
      <c r="EJ637" s="1453"/>
      <c r="EK637" s="1453"/>
      <c r="EL637" s="1453"/>
      <c r="EM637" s="1453" t="e">
        <f t="shared" si="9"/>
        <v>#VALUE!</v>
      </c>
      <c r="EN637" s="1453"/>
      <c r="EO637" s="1453"/>
      <c r="EP637" s="1453"/>
      <c r="EQ637" s="1453"/>
      <c r="ER637" s="1453" t="e">
        <f t="shared" si="10"/>
        <v>#VALUE!</v>
      </c>
      <c r="ES637" s="1453"/>
      <c r="ET637" s="1453"/>
      <c r="EU637" s="1453"/>
      <c r="EV637" s="1453"/>
      <c r="EW637" s="1453" t="e">
        <f t="shared" si="11"/>
        <v>#VALUE!</v>
      </c>
      <c r="EX637" s="1453"/>
      <c r="EY637" s="1453"/>
      <c r="EZ637" s="1453"/>
      <c r="FA637" s="1453"/>
    </row>
    <row r="638" spans="2:157" ht="12.95" customHeight="1">
      <c r="B638" s="52" t="s">
        <v>362</v>
      </c>
      <c r="C638" s="1347"/>
      <c r="D638" s="1347"/>
      <c r="E638" s="1347"/>
      <c r="F638" s="1347"/>
      <c r="G638" s="1347"/>
      <c r="H638" s="1347"/>
      <c r="I638" s="1347"/>
      <c r="J638" s="1347"/>
      <c r="K638" s="1347"/>
      <c r="L638" s="1347"/>
      <c r="M638" s="1460" t="s">
        <v>1184</v>
      </c>
      <c r="N638" s="1460"/>
      <c r="O638" s="1460"/>
      <c r="P638" s="1460"/>
      <c r="Q638" s="1424"/>
      <c r="R638" s="1425"/>
      <c r="S638" s="1426"/>
      <c r="T638" s="1424"/>
      <c r="U638" s="1425"/>
      <c r="V638" s="1426"/>
      <c r="W638" s="1437"/>
      <c r="X638" s="1438"/>
      <c r="Y638" s="1439"/>
      <c r="Z638" s="1484" t="s">
        <v>1184</v>
      </c>
      <c r="AA638" s="1485"/>
      <c r="AB638" s="1486"/>
      <c r="AC638" s="1457"/>
      <c r="AD638" s="1458"/>
      <c r="AE638" s="1459"/>
      <c r="AF638" s="1449"/>
      <c r="AG638" s="1450"/>
      <c r="AH638" s="1450"/>
      <c r="AI638" s="1450"/>
      <c r="AJ638" s="1451"/>
      <c r="AK638" s="1427"/>
      <c r="AL638" s="1428"/>
      <c r="AM638" s="1428"/>
      <c r="AN638" s="1429"/>
      <c r="AO638" s="1474"/>
      <c r="AP638" s="1475"/>
      <c r="AQ638" s="1475"/>
      <c r="AR638" s="1475"/>
      <c r="AS638" s="1476"/>
      <c r="AT638" s="1148" t="str">
        <f t="shared" si="5"/>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53" t="e">
        <f t="shared" si="6"/>
        <v>#VALUE!</v>
      </c>
      <c r="DY638" s="1453"/>
      <c r="DZ638" s="1453"/>
      <c r="EA638" s="1453"/>
      <c r="EB638" s="1453"/>
      <c r="EC638" s="1453" t="e">
        <f t="shared" si="7"/>
        <v>#VALUE!</v>
      </c>
      <c r="ED638" s="1453"/>
      <c r="EE638" s="1453"/>
      <c r="EF638" s="1453"/>
      <c r="EG638" s="1453"/>
      <c r="EH638" s="1453" t="e">
        <f t="shared" si="8"/>
        <v>#VALUE!</v>
      </c>
      <c r="EI638" s="1453"/>
      <c r="EJ638" s="1453"/>
      <c r="EK638" s="1453"/>
      <c r="EL638" s="1453"/>
      <c r="EM638" s="1453" t="e">
        <f t="shared" si="9"/>
        <v>#VALUE!</v>
      </c>
      <c r="EN638" s="1453"/>
      <c r="EO638" s="1453"/>
      <c r="EP638" s="1453"/>
      <c r="EQ638" s="1453"/>
      <c r="ER638" s="1453" t="e">
        <f t="shared" si="10"/>
        <v>#VALUE!</v>
      </c>
      <c r="ES638" s="1453"/>
      <c r="ET638" s="1453"/>
      <c r="EU638" s="1453"/>
      <c r="EV638" s="1453"/>
      <c r="EW638" s="1453" t="e">
        <f t="shared" si="11"/>
        <v>#VALUE!</v>
      </c>
      <c r="EX638" s="1453"/>
      <c r="EY638" s="1453"/>
      <c r="EZ638" s="1453"/>
      <c r="FA638" s="1453"/>
    </row>
    <row r="639" spans="2:157" ht="12.95" customHeight="1">
      <c r="B639" s="1654" t="s">
        <v>128</v>
      </c>
      <c r="C639" s="1655"/>
      <c r="D639" s="1655"/>
      <c r="E639" s="1655"/>
      <c r="F639" s="1655"/>
      <c r="G639" s="1655"/>
      <c r="H639" s="1655"/>
      <c r="I639" s="1655"/>
      <c r="J639" s="1655"/>
      <c r="K639" s="1655"/>
      <c r="L639" s="1655"/>
      <c r="M639" s="1655"/>
      <c r="N639" s="1655"/>
      <c r="O639" s="1655"/>
      <c r="P639" s="1655"/>
      <c r="Q639" s="1655"/>
      <c r="R639" s="1655"/>
      <c r="S639" s="1655"/>
      <c r="T639" s="1655"/>
      <c r="U639" s="1655"/>
      <c r="V639" s="1655"/>
      <c r="W639" s="1655"/>
      <c r="X639" s="1655"/>
      <c r="Y639" s="1655"/>
      <c r="Z639" s="1655"/>
      <c r="AA639" s="1655"/>
      <c r="AB639" s="1655"/>
      <c r="AC639" s="1655"/>
      <c r="AD639" s="1655"/>
      <c r="AE639" s="1655"/>
      <c r="AF639" s="1655"/>
      <c r="AG639" s="1655"/>
      <c r="AH639" s="1655"/>
      <c r="AI639" s="1655"/>
      <c r="AJ639" s="1655"/>
      <c r="AK639" s="1655"/>
      <c r="AL639" s="1655"/>
      <c r="AM639" s="1655"/>
      <c r="AN639" s="1656"/>
      <c r="AO639" s="1617">
        <f>SUM(AO627:AR638)</f>
        <v>13231312</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53" t="e">
        <f t="shared" si="6"/>
        <v>#VALUE!</v>
      </c>
      <c r="DY639" s="1453"/>
      <c r="DZ639" s="1453"/>
      <c r="EA639" s="1453"/>
      <c r="EB639" s="1453"/>
      <c r="EC639" s="1453" t="e">
        <f t="shared" si="7"/>
        <v>#VALUE!</v>
      </c>
      <c r="ED639" s="1453"/>
      <c r="EE639" s="1453"/>
      <c r="EF639" s="1453"/>
      <c r="EG639" s="1453"/>
      <c r="EH639" s="1453" t="e">
        <f t="shared" si="8"/>
        <v>#VALUE!</v>
      </c>
      <c r="EI639" s="1453"/>
      <c r="EJ639" s="1453"/>
      <c r="EK639" s="1453"/>
      <c r="EL639" s="1453"/>
      <c r="EM639" s="1453" t="e">
        <f t="shared" si="9"/>
        <v>#VALUE!</v>
      </c>
      <c r="EN639" s="1453"/>
      <c r="EO639" s="1453"/>
      <c r="EP639" s="1453"/>
      <c r="EQ639" s="1453"/>
      <c r="ER639" s="1453" t="e">
        <f t="shared" si="10"/>
        <v>#VALUE!</v>
      </c>
      <c r="ES639" s="1453"/>
      <c r="ET639" s="1453"/>
      <c r="EU639" s="1453"/>
      <c r="EV639" s="1453"/>
      <c r="EW639" s="1453" t="e">
        <f t="shared" si="11"/>
        <v>#VALUE!</v>
      </c>
      <c r="EX639" s="1453"/>
      <c r="EY639" s="1453"/>
      <c r="EZ639" s="1453"/>
      <c r="FA639" s="1453"/>
    </row>
    <row r="640" spans="2:157" ht="12.95" customHeight="1">
      <c r="B640" s="1654" t="s">
        <v>266</v>
      </c>
      <c r="C640" s="1655"/>
      <c r="D640" s="1655"/>
      <c r="E640" s="1655"/>
      <c r="F640" s="1655"/>
      <c r="G640" s="1655"/>
      <c r="H640" s="1655"/>
      <c r="I640" s="1655"/>
      <c r="J640" s="1655"/>
      <c r="K640" s="1655"/>
      <c r="L640" s="1655"/>
      <c r="M640" s="1655"/>
      <c r="N640" s="1655"/>
      <c r="O640" s="1655"/>
      <c r="P640" s="1655"/>
      <c r="Q640" s="1655"/>
      <c r="R640" s="1655"/>
      <c r="S640" s="1655"/>
      <c r="T640" s="1655"/>
      <c r="U640" s="1655"/>
      <c r="V640" s="1655"/>
      <c r="W640" s="1655"/>
      <c r="X640" s="1655"/>
      <c r="Y640" s="1655"/>
      <c r="Z640" s="1655"/>
      <c r="AA640" s="1655"/>
      <c r="AB640" s="1655"/>
      <c r="AC640" s="1655"/>
      <c r="AD640" s="1655"/>
      <c r="AE640" s="1655"/>
      <c r="AF640" s="1655"/>
      <c r="AG640" s="1655"/>
      <c r="AH640" s="1655"/>
      <c r="AI640" s="1655"/>
      <c r="AJ640" s="1655"/>
      <c r="AK640" s="1655"/>
      <c r="AL640" s="1655"/>
      <c r="AM640" s="1655"/>
      <c r="AN640" s="1656"/>
      <c r="AO640" s="1474">
        <f>25021617-189750</f>
        <v>24831867</v>
      </c>
      <c r="AP640" s="1475"/>
      <c r="AQ640" s="1475"/>
      <c r="AR640" s="1475"/>
      <c r="AS640" s="1476"/>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53" t="e">
        <f t="shared" si="6"/>
        <v>#VALUE!</v>
      </c>
      <c r="DY640" s="1453"/>
      <c r="DZ640" s="1453"/>
      <c r="EA640" s="1453"/>
      <c r="EB640" s="1453"/>
      <c r="EC640" s="1453" t="e">
        <f t="shared" si="7"/>
        <v>#VALUE!</v>
      </c>
      <c r="ED640" s="1453"/>
      <c r="EE640" s="1453"/>
      <c r="EF640" s="1453"/>
      <c r="EG640" s="1453"/>
      <c r="EH640" s="1453" t="e">
        <f t="shared" si="8"/>
        <v>#VALUE!</v>
      </c>
      <c r="EI640" s="1453"/>
      <c r="EJ640" s="1453"/>
      <c r="EK640" s="1453"/>
      <c r="EL640" s="1453"/>
      <c r="EM640" s="1453" t="e">
        <f t="shared" si="9"/>
        <v>#VALUE!</v>
      </c>
      <c r="EN640" s="1453"/>
      <c r="EO640" s="1453"/>
      <c r="EP640" s="1453"/>
      <c r="EQ640" s="1453"/>
      <c r="ER640" s="1453" t="e">
        <f t="shared" si="10"/>
        <v>#VALUE!</v>
      </c>
      <c r="ES640" s="1453"/>
      <c r="ET640" s="1453"/>
      <c r="EU640" s="1453"/>
      <c r="EV640" s="1453"/>
      <c r="EW640" s="1453" t="e">
        <f t="shared" si="11"/>
        <v>#VALUE!</v>
      </c>
      <c r="EX640" s="1453"/>
      <c r="EY640" s="1453"/>
      <c r="EZ640" s="1453"/>
      <c r="FA640" s="1453"/>
    </row>
    <row r="641" spans="1:157" ht="12.95" customHeight="1">
      <c r="B641" s="1668" t="s">
        <v>267</v>
      </c>
      <c r="C641" s="1669"/>
      <c r="D641" s="1669"/>
      <c r="E641" s="1669"/>
      <c r="F641" s="1669"/>
      <c r="G641" s="1669"/>
      <c r="H641" s="1669"/>
      <c r="I641" s="1669"/>
      <c r="J641" s="1669"/>
      <c r="K641" s="1669"/>
      <c r="L641" s="1669"/>
      <c r="M641" s="1669"/>
      <c r="N641" s="1669"/>
      <c r="O641" s="1669"/>
      <c r="P641" s="1669"/>
      <c r="Q641" s="1669"/>
      <c r="R641" s="1669"/>
      <c r="S641" s="1669"/>
      <c r="T641" s="1669"/>
      <c r="U641" s="1669"/>
      <c r="V641" s="1669"/>
      <c r="W641" s="1669"/>
      <c r="X641" s="1669"/>
      <c r="Y641" s="1669"/>
      <c r="Z641" s="1669"/>
      <c r="AA641" s="1669"/>
      <c r="AB641" s="1669"/>
      <c r="AC641" s="1669"/>
      <c r="AD641" s="1669"/>
      <c r="AE641" s="1669"/>
      <c r="AF641" s="1669"/>
      <c r="AG641" s="1669"/>
      <c r="AH641" s="1669"/>
      <c r="AI641" s="1669"/>
      <c r="AJ641" s="1669"/>
      <c r="AK641" s="1669"/>
      <c r="AL641" s="1669"/>
      <c r="AM641" s="1669"/>
      <c r="AN641" s="1670"/>
      <c r="AO641" s="1617">
        <f>AO639+AO640</f>
        <v>38063179</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53" t="e">
        <f t="shared" si="6"/>
        <v>#VALUE!</v>
      </c>
      <c r="DY641" s="1453"/>
      <c r="DZ641" s="1453"/>
      <c r="EA641" s="1453"/>
      <c r="EB641" s="1453"/>
      <c r="EC641" s="1453" t="e">
        <f t="shared" si="7"/>
        <v>#VALUE!</v>
      </c>
      <c r="ED641" s="1453"/>
      <c r="EE641" s="1453"/>
      <c r="EF641" s="1453"/>
      <c r="EG641" s="1453"/>
      <c r="EH641" s="1453" t="e">
        <f t="shared" si="8"/>
        <v>#VALUE!</v>
      </c>
      <c r="EI641" s="1453"/>
      <c r="EJ641" s="1453"/>
      <c r="EK641" s="1453"/>
      <c r="EL641" s="1453"/>
      <c r="EM641" s="1453" t="e">
        <f t="shared" si="9"/>
        <v>#VALUE!</v>
      </c>
      <c r="EN641" s="1453"/>
      <c r="EO641" s="1453"/>
      <c r="EP641" s="1453"/>
      <c r="EQ641" s="1453"/>
      <c r="ER641" s="1453" t="e">
        <f t="shared" si="10"/>
        <v>#VALUE!</v>
      </c>
      <c r="ES641" s="1453"/>
      <c r="ET641" s="1453"/>
      <c r="EU641" s="1453"/>
      <c r="EV641" s="1453"/>
      <c r="EW641" s="1453" t="e">
        <f t="shared" si="11"/>
        <v>#VALUE!</v>
      </c>
      <c r="EX641" s="1453"/>
      <c r="EY641" s="1453"/>
      <c r="EZ641" s="1453"/>
      <c r="FA641" s="1453"/>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53" t="e">
        <f t="shared" si="6"/>
        <v>#VALUE!</v>
      </c>
      <c r="DY642" s="1453"/>
      <c r="DZ642" s="1453"/>
      <c r="EA642" s="1453"/>
      <c r="EB642" s="1453"/>
      <c r="EC642" s="1453" t="e">
        <f t="shared" si="7"/>
        <v>#VALUE!</v>
      </c>
      <c r="ED642" s="1453"/>
      <c r="EE642" s="1453"/>
      <c r="EF642" s="1453"/>
      <c r="EG642" s="1453"/>
      <c r="EH642" s="1453" t="e">
        <f t="shared" si="8"/>
        <v>#VALUE!</v>
      </c>
      <c r="EI642" s="1453"/>
      <c r="EJ642" s="1453"/>
      <c r="EK642" s="1453"/>
      <c r="EL642" s="1453"/>
      <c r="EM642" s="1453" t="e">
        <f t="shared" si="9"/>
        <v>#VALUE!</v>
      </c>
      <c r="EN642" s="1453"/>
      <c r="EO642" s="1453"/>
      <c r="EP642" s="1453"/>
      <c r="EQ642" s="1453"/>
      <c r="ER642" s="1453" t="e">
        <f t="shared" si="10"/>
        <v>#VALUE!</v>
      </c>
      <c r="ES642" s="1453"/>
      <c r="ET642" s="1453"/>
      <c r="EU642" s="1453"/>
      <c r="EV642" s="1453"/>
      <c r="EW642" s="1453" t="e">
        <f t="shared" si="11"/>
        <v>#VALUE!</v>
      </c>
      <c r="EX642" s="1453"/>
      <c r="EY642" s="1453"/>
      <c r="EZ642" s="1453"/>
      <c r="FA642" s="1453"/>
    </row>
    <row r="643" spans="1:157" ht="12.95" customHeight="1">
      <c r="A643" s="55" t="s">
        <v>112</v>
      </c>
      <c r="B643" t="s">
        <v>463</v>
      </c>
      <c r="G643" s="1358" t="str">
        <f>C627</f>
        <v>Permanent Loan</v>
      </c>
      <c r="H643" s="1358"/>
      <c r="I643" s="1358"/>
      <c r="J643" s="1358"/>
      <c r="K643" s="1358"/>
      <c r="L643" s="1358"/>
      <c r="M643" s="1358"/>
      <c r="N643" s="1358"/>
      <c r="O643" s="1358"/>
      <c r="P643" s="1358"/>
      <c r="Q643" s="1358"/>
      <c r="R643" s="1358"/>
      <c r="S643" s="8"/>
      <c r="T643" s="55" t="s">
        <v>113</v>
      </c>
      <c r="U643" t="s">
        <v>463</v>
      </c>
      <c r="Z643" s="1358" t="str">
        <f>C628</f>
        <v>Alliance Housing Fund</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53" t="e">
        <f t="shared" si="6"/>
        <v>#VALUE!</v>
      </c>
      <c r="DY643" s="1453"/>
      <c r="DZ643" s="1453"/>
      <c r="EA643" s="1453"/>
      <c r="EB643" s="1453"/>
      <c r="EC643" s="1453" t="e">
        <f t="shared" si="7"/>
        <v>#VALUE!</v>
      </c>
      <c r="ED643" s="1453"/>
      <c r="EE643" s="1453"/>
      <c r="EF643" s="1453"/>
      <c r="EG643" s="1453"/>
      <c r="EH643" s="1453" t="e">
        <f t="shared" si="8"/>
        <v>#VALUE!</v>
      </c>
      <c r="EI643" s="1453"/>
      <c r="EJ643" s="1453"/>
      <c r="EK643" s="1453"/>
      <c r="EL643" s="1453"/>
      <c r="EM643" s="1453" t="e">
        <f t="shared" si="9"/>
        <v>#VALUE!</v>
      </c>
      <c r="EN643" s="1453"/>
      <c r="EO643" s="1453"/>
      <c r="EP643" s="1453"/>
      <c r="EQ643" s="1453"/>
      <c r="ER643" s="1453" t="e">
        <f t="shared" si="10"/>
        <v>#VALUE!</v>
      </c>
      <c r="ES643" s="1453"/>
      <c r="ET643" s="1453"/>
      <c r="EU643" s="1453"/>
      <c r="EV643" s="1453"/>
      <c r="EW643" s="1453" t="e">
        <f t="shared" si="11"/>
        <v>#VALUE!</v>
      </c>
      <c r="EX643" s="1453"/>
      <c r="EY643" s="1453"/>
      <c r="EZ643" s="1453"/>
      <c r="FA643" s="1453"/>
    </row>
    <row r="644" spans="1:157" ht="12.95" customHeight="1">
      <c r="A644" s="22"/>
      <c r="B644" t="s">
        <v>85</v>
      </c>
      <c r="G644" s="1371" t="str">
        <f>G569</f>
        <v>300 South Grand Avenue suite 3110</v>
      </c>
      <c r="H644" s="1371"/>
      <c r="I644" s="1371"/>
      <c r="J644" s="1371"/>
      <c r="K644" s="1371"/>
      <c r="L644" s="1371"/>
      <c r="M644" s="1371"/>
      <c r="N644" s="1371"/>
      <c r="O644" s="1371"/>
      <c r="P644" s="1371"/>
      <c r="Q644" s="1371"/>
      <c r="R644" s="1371"/>
      <c r="S644" s="8"/>
      <c r="T644" s="22"/>
      <c r="U644" t="s">
        <v>85</v>
      </c>
      <c r="Z644" s="1371" t="s">
        <v>2707</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53" t="e">
        <f t="shared" si="6"/>
        <v>#VALUE!</v>
      </c>
      <c r="DY644" s="1453"/>
      <c r="DZ644" s="1453"/>
      <c r="EA644" s="1453"/>
      <c r="EB644" s="1453"/>
      <c r="EC644" s="1453" t="e">
        <f t="shared" si="7"/>
        <v>#VALUE!</v>
      </c>
      <c r="ED644" s="1453"/>
      <c r="EE644" s="1453"/>
      <c r="EF644" s="1453"/>
      <c r="EG644" s="1453"/>
      <c r="EH644" s="1453" t="e">
        <f t="shared" si="8"/>
        <v>#VALUE!</v>
      </c>
      <c r="EI644" s="1453"/>
      <c r="EJ644" s="1453"/>
      <c r="EK644" s="1453"/>
      <c r="EL644" s="1453"/>
      <c r="EM644" s="1453" t="e">
        <f t="shared" si="9"/>
        <v>#VALUE!</v>
      </c>
      <c r="EN644" s="1453"/>
      <c r="EO644" s="1453"/>
      <c r="EP644" s="1453"/>
      <c r="EQ644" s="1453"/>
      <c r="ER644" s="1453" t="e">
        <f t="shared" si="10"/>
        <v>#VALUE!</v>
      </c>
      <c r="ES644" s="1453"/>
      <c r="ET644" s="1453"/>
      <c r="EU644" s="1453"/>
      <c r="EV644" s="1453"/>
      <c r="EW644" s="1453" t="e">
        <f t="shared" si="11"/>
        <v>#VALUE!</v>
      </c>
      <c r="EX644" s="1453"/>
      <c r="EY644" s="1453"/>
      <c r="EZ644" s="1453"/>
      <c r="FA644" s="1453"/>
    </row>
    <row r="645" spans="1:157" ht="12.95" customHeight="1">
      <c r="A645" s="22"/>
      <c r="B645" t="s">
        <v>580</v>
      </c>
      <c r="G645" s="1371" t="str">
        <f t="shared" ref="G645:G646" si="12">G570</f>
        <v xml:space="preserve">Los Angeles </v>
      </c>
      <c r="H645" s="1371"/>
      <c r="I645" s="1371"/>
      <c r="J645" s="1371"/>
      <c r="K645" s="1371"/>
      <c r="L645" s="1371"/>
      <c r="M645" s="1371"/>
      <c r="N645" s="1371"/>
      <c r="O645" s="1371"/>
      <c r="P645" s="1371"/>
      <c r="Q645" s="1371"/>
      <c r="R645" s="1371"/>
      <c r="T645" s="22"/>
      <c r="U645" t="s">
        <v>580</v>
      </c>
      <c r="Z645" s="1348" t="s">
        <v>55</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53" t="e">
        <f t="shared" si="6"/>
        <v>#VALUE!</v>
      </c>
      <c r="DY645" s="1453"/>
      <c r="DZ645" s="1453"/>
      <c r="EA645" s="1453"/>
      <c r="EB645" s="1453"/>
      <c r="EC645" s="1453" t="e">
        <f t="shared" si="7"/>
        <v>#VALUE!</v>
      </c>
      <c r="ED645" s="1453"/>
      <c r="EE645" s="1453"/>
      <c r="EF645" s="1453"/>
      <c r="EG645" s="1453"/>
      <c r="EH645" s="1453" t="e">
        <f t="shared" si="8"/>
        <v>#VALUE!</v>
      </c>
      <c r="EI645" s="1453"/>
      <c r="EJ645" s="1453"/>
      <c r="EK645" s="1453"/>
      <c r="EL645" s="1453"/>
      <c r="EM645" s="1453" t="e">
        <f t="shared" si="9"/>
        <v>#VALUE!</v>
      </c>
      <c r="EN645" s="1453"/>
      <c r="EO645" s="1453"/>
      <c r="EP645" s="1453"/>
      <c r="EQ645" s="1453"/>
      <c r="ER645" s="1453" t="e">
        <f t="shared" si="10"/>
        <v>#VALUE!</v>
      </c>
      <c r="ES645" s="1453"/>
      <c r="ET645" s="1453"/>
      <c r="EU645" s="1453"/>
      <c r="EV645" s="1453"/>
      <c r="EW645" s="1453" t="e">
        <f t="shared" si="11"/>
        <v>#VALUE!</v>
      </c>
      <c r="EX645" s="1453"/>
      <c r="EY645" s="1453"/>
      <c r="EZ645" s="1453"/>
      <c r="FA645" s="1453"/>
    </row>
    <row r="646" spans="1:157" ht="12.95" customHeight="1">
      <c r="A646" s="22"/>
      <c r="B646" t="s">
        <v>17</v>
      </c>
      <c r="G646" s="1371" t="str">
        <f t="shared" si="12"/>
        <v xml:space="preserve">Hao Li </v>
      </c>
      <c r="H646" s="1371"/>
      <c r="I646" s="1371"/>
      <c r="J646" s="1371"/>
      <c r="K646" s="1371"/>
      <c r="L646" s="1371"/>
      <c r="M646" s="1371"/>
      <c r="N646" s="1371"/>
      <c r="O646" s="1371"/>
      <c r="P646" s="1371"/>
      <c r="Q646" s="1371"/>
      <c r="R646" s="1371"/>
      <c r="S646" s="8"/>
      <c r="T646" s="22"/>
      <c r="U646" t="s">
        <v>17</v>
      </c>
      <c r="Z646" s="1348" t="s">
        <v>2708</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53" t="e">
        <f t="shared" si="6"/>
        <v>#VALUE!</v>
      </c>
      <c r="DY646" s="1453"/>
      <c r="DZ646" s="1453"/>
      <c r="EA646" s="1453"/>
      <c r="EB646" s="1453"/>
      <c r="EC646" s="1453" t="e">
        <f t="shared" si="7"/>
        <v>#VALUE!</v>
      </c>
      <c r="ED646" s="1453"/>
      <c r="EE646" s="1453"/>
      <c r="EF646" s="1453"/>
      <c r="EG646" s="1453"/>
      <c r="EH646" s="1453" t="e">
        <f t="shared" si="8"/>
        <v>#VALUE!</v>
      </c>
      <c r="EI646" s="1453"/>
      <c r="EJ646" s="1453"/>
      <c r="EK646" s="1453"/>
      <c r="EL646" s="1453"/>
      <c r="EM646" s="1453" t="e">
        <f t="shared" si="9"/>
        <v>#VALUE!</v>
      </c>
      <c r="EN646" s="1453"/>
      <c r="EO646" s="1453"/>
      <c r="EP646" s="1453"/>
      <c r="EQ646" s="1453"/>
      <c r="ER646" s="1453" t="e">
        <f t="shared" si="10"/>
        <v>#VALUE!</v>
      </c>
      <c r="ES646" s="1453"/>
      <c r="ET646" s="1453"/>
      <c r="EU646" s="1453"/>
      <c r="EV646" s="1453"/>
      <c r="EW646" s="1453" t="e">
        <f t="shared" si="11"/>
        <v>#VALUE!</v>
      </c>
      <c r="EX646" s="1453"/>
      <c r="EY646" s="1453"/>
      <c r="EZ646" s="1453"/>
      <c r="FA646" s="1453"/>
    </row>
    <row r="647" spans="1:157" ht="12.95" customHeight="1">
      <c r="A647" s="22"/>
      <c r="B647" t="s">
        <v>315</v>
      </c>
      <c r="G647" s="1346" t="s">
        <v>2739</v>
      </c>
      <c r="H647" s="1346"/>
      <c r="I647" s="1346"/>
      <c r="J647" s="1346"/>
      <c r="K647" s="1346"/>
      <c r="L647" s="1346"/>
      <c r="O647" s="33" t="s">
        <v>205</v>
      </c>
      <c r="P647" s="1436"/>
      <c r="Q647" s="1436"/>
      <c r="R647" s="1436"/>
      <c r="S647" s="10"/>
      <c r="T647" s="22"/>
      <c r="U647" t="s">
        <v>315</v>
      </c>
      <c r="Z647" s="1346" t="s">
        <v>2709</v>
      </c>
      <c r="AA647" s="1346"/>
      <c r="AB647" s="1346"/>
      <c r="AC647" s="1346"/>
      <c r="AD647" s="1346"/>
      <c r="AE647" s="1346"/>
      <c r="AH647" s="33" t="s">
        <v>205</v>
      </c>
      <c r="AI647" s="1436"/>
      <c r="AJ647" s="1436"/>
      <c r="AK647" s="1436"/>
      <c r="AZ647" s="34"/>
      <c r="BA647" s="34"/>
      <c r="BB647" s="34"/>
      <c r="BC647" s="34"/>
      <c r="BD647" s="34"/>
      <c r="BE647" s="34"/>
      <c r="BF647" s="34"/>
      <c r="BG647" s="34"/>
      <c r="BH647" s="34"/>
      <c r="BI647" s="34"/>
      <c r="BJ647" s="34"/>
      <c r="BK647" s="34"/>
      <c r="BL647" s="34"/>
      <c r="BM647" s="34"/>
      <c r="DX647" s="1453" t="e">
        <f t="shared" si="6"/>
        <v>#VALUE!</v>
      </c>
      <c r="DY647" s="1453"/>
      <c r="DZ647" s="1453"/>
      <c r="EA647" s="1453"/>
      <c r="EB647" s="1453"/>
      <c r="EC647" s="1453" t="e">
        <f t="shared" si="7"/>
        <v>#VALUE!</v>
      </c>
      <c r="ED647" s="1453"/>
      <c r="EE647" s="1453"/>
      <c r="EF647" s="1453"/>
      <c r="EG647" s="1453"/>
      <c r="EH647" s="1453" t="e">
        <f t="shared" si="8"/>
        <v>#VALUE!</v>
      </c>
      <c r="EI647" s="1453"/>
      <c r="EJ647" s="1453"/>
      <c r="EK647" s="1453"/>
      <c r="EL647" s="1453"/>
      <c r="EM647" s="1453" t="e">
        <f t="shared" si="9"/>
        <v>#VALUE!</v>
      </c>
      <c r="EN647" s="1453"/>
      <c r="EO647" s="1453"/>
      <c r="EP647" s="1453"/>
      <c r="EQ647" s="1453"/>
      <c r="ER647" s="1453" t="e">
        <f t="shared" si="10"/>
        <v>#VALUE!</v>
      </c>
      <c r="ES647" s="1453"/>
      <c r="ET647" s="1453"/>
      <c r="EU647" s="1453"/>
      <c r="EV647" s="1453"/>
      <c r="EW647" s="1453" t="e">
        <f t="shared" si="11"/>
        <v>#VALUE!</v>
      </c>
      <c r="EX647" s="1453"/>
      <c r="EY647" s="1453"/>
      <c r="EZ647" s="1453"/>
      <c r="FA647" s="1453"/>
    </row>
    <row r="648" spans="1:157" ht="12.95" customHeight="1">
      <c r="A648" s="22"/>
      <c r="B648" t="s">
        <v>18</v>
      </c>
      <c r="H648" s="1416" t="s">
        <v>2721</v>
      </c>
      <c r="I648" s="1371"/>
      <c r="J648" s="1371"/>
      <c r="K648" s="1371"/>
      <c r="L648" s="1371"/>
      <c r="M648" s="1371"/>
      <c r="N648" s="1371"/>
      <c r="O648" s="1371"/>
      <c r="P648" s="1371"/>
      <c r="Q648" s="1371"/>
      <c r="R648" s="1371"/>
      <c r="S648" s="8"/>
      <c r="T648" s="22"/>
      <c r="U648" t="s">
        <v>18</v>
      </c>
      <c r="AA648" s="1371" t="str">
        <f>M556</f>
        <v>Loan, Residual Receipts</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53" t="e">
        <f t="shared" si="6"/>
        <v>#VALUE!</v>
      </c>
      <c r="DY648" s="1453"/>
      <c r="DZ648" s="1453"/>
      <c r="EA648" s="1453"/>
      <c r="EB648" s="1453"/>
      <c r="EC648" s="1453" t="e">
        <f t="shared" si="7"/>
        <v>#VALUE!</v>
      </c>
      <c r="ED648" s="1453"/>
      <c r="EE648" s="1453"/>
      <c r="EF648" s="1453"/>
      <c r="EG648" s="1453"/>
      <c r="EH648" s="1453" t="e">
        <f t="shared" si="8"/>
        <v>#VALUE!</v>
      </c>
      <c r="EI648" s="1453"/>
      <c r="EJ648" s="1453"/>
      <c r="EK648" s="1453"/>
      <c r="EL648" s="1453"/>
      <c r="EM648" s="1453" t="e">
        <f t="shared" si="9"/>
        <v>#VALUE!</v>
      </c>
      <c r="EN648" s="1453"/>
      <c r="EO648" s="1453"/>
      <c r="EP648" s="1453"/>
      <c r="EQ648" s="1453"/>
      <c r="ER648" s="1453" t="e">
        <f t="shared" si="10"/>
        <v>#VALUE!</v>
      </c>
      <c r="ES648" s="1453"/>
      <c r="ET648" s="1453"/>
      <c r="EU648" s="1453"/>
      <c r="EV648" s="1453"/>
      <c r="EW648" s="1453" t="e">
        <f t="shared" si="11"/>
        <v>#VALUE!</v>
      </c>
      <c r="EX648" s="1453"/>
      <c r="EY648" s="1453"/>
      <c r="EZ648" s="1453"/>
      <c r="FA648" s="1453"/>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53" t="e">
        <f t="shared" si="6"/>
        <v>#VALUE!</v>
      </c>
      <c r="DY649" s="1453"/>
      <c r="DZ649" s="1453"/>
      <c r="EA649" s="1453"/>
      <c r="EB649" s="1453"/>
      <c r="EC649" s="1453" t="e">
        <f t="shared" si="7"/>
        <v>#VALUE!</v>
      </c>
      <c r="ED649" s="1453"/>
      <c r="EE649" s="1453"/>
      <c r="EF649" s="1453"/>
      <c r="EG649" s="1453"/>
      <c r="EH649" s="1453" t="e">
        <f t="shared" si="8"/>
        <v>#VALUE!</v>
      </c>
      <c r="EI649" s="1453"/>
      <c r="EJ649" s="1453"/>
      <c r="EK649" s="1453"/>
      <c r="EL649" s="1453"/>
      <c r="EM649" s="1453" t="e">
        <f t="shared" si="9"/>
        <v>#VALUE!</v>
      </c>
      <c r="EN649" s="1453"/>
      <c r="EO649" s="1453"/>
      <c r="EP649" s="1453"/>
      <c r="EQ649" s="1453"/>
      <c r="ER649" s="1453" t="e">
        <f t="shared" si="10"/>
        <v>#VALUE!</v>
      </c>
      <c r="ES649" s="1453"/>
      <c r="ET649" s="1453"/>
      <c r="EU649" s="1453"/>
      <c r="EV649" s="1453"/>
      <c r="EW649" s="1453" t="e">
        <f t="shared" si="11"/>
        <v>#VALUE!</v>
      </c>
      <c r="EX649" s="1453"/>
      <c r="EY649" s="1453"/>
      <c r="EZ649" s="1453"/>
      <c r="FA649" s="1453"/>
    </row>
    <row r="650" spans="1:157" ht="12.95" customHeight="1">
      <c r="A650" s="22"/>
      <c r="T650" s="22"/>
      <c r="AZ650" s="34"/>
      <c r="BA650" s="34"/>
      <c r="BB650" s="34"/>
      <c r="BC650" s="34"/>
      <c r="BD650" s="34"/>
      <c r="BE650" s="34"/>
      <c r="BF650" s="34"/>
      <c r="BG650" s="34"/>
      <c r="BH650" s="34"/>
      <c r="BI650" s="34"/>
      <c r="BJ650" s="34"/>
      <c r="BK650" s="34"/>
      <c r="BL650" s="34"/>
      <c r="BM650" s="34"/>
      <c r="DX650" s="1453" t="e">
        <f t="shared" si="6"/>
        <v>#VALUE!</v>
      </c>
      <c r="DY650" s="1453"/>
      <c r="DZ650" s="1453"/>
      <c r="EA650" s="1453"/>
      <c r="EB650" s="1453"/>
      <c r="EC650" s="1453" t="e">
        <f t="shared" si="7"/>
        <v>#VALUE!</v>
      </c>
      <c r="ED650" s="1453"/>
      <c r="EE650" s="1453"/>
      <c r="EF650" s="1453"/>
      <c r="EG650" s="1453"/>
      <c r="EH650" s="1453" t="e">
        <f t="shared" si="8"/>
        <v>#VALUE!</v>
      </c>
      <c r="EI650" s="1453"/>
      <c r="EJ650" s="1453"/>
      <c r="EK650" s="1453"/>
      <c r="EL650" s="1453"/>
      <c r="EM650" s="1453" t="e">
        <f t="shared" si="9"/>
        <v>#VALUE!</v>
      </c>
      <c r="EN650" s="1453"/>
      <c r="EO650" s="1453"/>
      <c r="EP650" s="1453"/>
      <c r="EQ650" s="1453"/>
      <c r="ER650" s="1453" t="e">
        <f t="shared" si="10"/>
        <v>#VALUE!</v>
      </c>
      <c r="ES650" s="1453"/>
      <c r="ET650" s="1453"/>
      <c r="EU650" s="1453"/>
      <c r="EV650" s="1453"/>
      <c r="EW650" s="1453" t="e">
        <f t="shared" si="11"/>
        <v>#VALUE!</v>
      </c>
      <c r="EX650" s="1453"/>
      <c r="EY650" s="1453"/>
      <c r="EZ650" s="1453"/>
      <c r="FA650" s="1453"/>
    </row>
    <row r="651" spans="1:157" ht="12.95" customHeight="1">
      <c r="A651" s="55" t="s">
        <v>119</v>
      </c>
      <c r="B651" t="s">
        <v>463</v>
      </c>
      <c r="G651" s="1358" t="str">
        <f>C629</f>
        <v>REAP: Regional Competitiveness Grant</v>
      </c>
      <c r="H651" s="1358"/>
      <c r="I651" s="1358"/>
      <c r="J651" s="1358"/>
      <c r="K651" s="1358"/>
      <c r="L651" s="1358"/>
      <c r="M651" s="1358"/>
      <c r="N651" s="1358"/>
      <c r="O651" s="1358"/>
      <c r="P651" s="1358"/>
      <c r="Q651" s="1358"/>
      <c r="R651" s="1358"/>
      <c r="T651" s="55" t="s">
        <v>581</v>
      </c>
      <c r="U651" t="s">
        <v>463</v>
      </c>
      <c r="Z651" s="1358" t="str">
        <f>C630</f>
        <v>City of Merced PLHA</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53" t="e">
        <f t="shared" si="6"/>
        <v>#VALUE!</v>
      </c>
      <c r="DY651" s="1453"/>
      <c r="DZ651" s="1453"/>
      <c r="EA651" s="1453"/>
      <c r="EB651" s="1453"/>
      <c r="EC651" s="1453" t="e">
        <f t="shared" si="7"/>
        <v>#VALUE!</v>
      </c>
      <c r="ED651" s="1453"/>
      <c r="EE651" s="1453"/>
      <c r="EF651" s="1453"/>
      <c r="EG651" s="1453"/>
      <c r="EH651" s="1453" t="e">
        <f t="shared" si="8"/>
        <v>#VALUE!</v>
      </c>
      <c r="EI651" s="1453"/>
      <c r="EJ651" s="1453"/>
      <c r="EK651" s="1453"/>
      <c r="EL651" s="1453"/>
      <c r="EM651" s="1453" t="e">
        <f t="shared" si="9"/>
        <v>#VALUE!</v>
      </c>
      <c r="EN651" s="1453"/>
      <c r="EO651" s="1453"/>
      <c r="EP651" s="1453"/>
      <c r="EQ651" s="1453"/>
      <c r="ER651" s="1453" t="e">
        <f t="shared" si="10"/>
        <v>#VALUE!</v>
      </c>
      <c r="ES651" s="1453"/>
      <c r="ET651" s="1453"/>
      <c r="EU651" s="1453"/>
      <c r="EV651" s="1453"/>
      <c r="EW651" s="1453" t="e">
        <f t="shared" si="11"/>
        <v>#VALUE!</v>
      </c>
      <c r="EX651" s="1453"/>
      <c r="EY651" s="1453"/>
      <c r="EZ651" s="1453"/>
      <c r="FA651" s="1453"/>
    </row>
    <row r="652" spans="1:157" ht="12.95" customHeight="1">
      <c r="A652" s="22"/>
      <c r="B652" t="s">
        <v>85</v>
      </c>
      <c r="G652" s="1371" t="s">
        <v>2648</v>
      </c>
      <c r="H652" s="1371"/>
      <c r="I652" s="1371"/>
      <c r="J652" s="1371"/>
      <c r="K652" s="1371"/>
      <c r="L652" s="1371"/>
      <c r="M652" s="1371"/>
      <c r="N652" s="1371"/>
      <c r="O652" s="1371"/>
      <c r="P652" s="1371"/>
      <c r="Q652" s="1371"/>
      <c r="R652" s="1371"/>
      <c r="T652" s="22"/>
      <c r="U652" t="s">
        <v>85</v>
      </c>
      <c r="Z652" s="1371" t="s">
        <v>2648</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53" t="e">
        <f t="shared" si="6"/>
        <v>#VALUE!</v>
      </c>
      <c r="DY652" s="1453"/>
      <c r="DZ652" s="1453"/>
      <c r="EA652" s="1453"/>
      <c r="EB652" s="1453"/>
      <c r="EC652" s="1453" t="e">
        <f t="shared" si="7"/>
        <v>#VALUE!</v>
      </c>
      <c r="ED652" s="1453"/>
      <c r="EE652" s="1453"/>
      <c r="EF652" s="1453"/>
      <c r="EG652" s="1453"/>
      <c r="EH652" s="1453" t="e">
        <f t="shared" si="8"/>
        <v>#VALUE!</v>
      </c>
      <c r="EI652" s="1453"/>
      <c r="EJ652" s="1453"/>
      <c r="EK652" s="1453"/>
      <c r="EL652" s="1453"/>
      <c r="EM652" s="1453" t="e">
        <f t="shared" si="9"/>
        <v>#VALUE!</v>
      </c>
      <c r="EN652" s="1453"/>
      <c r="EO652" s="1453"/>
      <c r="EP652" s="1453"/>
      <c r="EQ652" s="1453"/>
      <c r="ER652" s="1453" t="e">
        <f t="shared" si="10"/>
        <v>#VALUE!</v>
      </c>
      <c r="ES652" s="1453"/>
      <c r="ET652" s="1453"/>
      <c r="EU652" s="1453"/>
      <c r="EV652" s="1453"/>
      <c r="EW652" s="1453" t="e">
        <f t="shared" si="11"/>
        <v>#VALUE!</v>
      </c>
      <c r="EX652" s="1453"/>
      <c r="EY652" s="1453"/>
      <c r="EZ652" s="1453"/>
      <c r="FA652" s="1453"/>
    </row>
    <row r="653" spans="1:157" ht="12.95" customHeight="1">
      <c r="A653" s="22"/>
      <c r="B653" t="s">
        <v>580</v>
      </c>
      <c r="G653" s="1348" t="s">
        <v>55</v>
      </c>
      <c r="H653" s="1348"/>
      <c r="I653" s="1348"/>
      <c r="J653" s="1348"/>
      <c r="K653" s="1348"/>
      <c r="L653" s="1348"/>
      <c r="M653" s="1348"/>
      <c r="N653" s="1348"/>
      <c r="O653" s="1348"/>
      <c r="P653" s="1348"/>
      <c r="Q653" s="1348"/>
      <c r="R653" s="1348"/>
      <c r="T653" s="22"/>
      <c r="U653" t="s">
        <v>580</v>
      </c>
      <c r="Z653" s="1348" t="s">
        <v>55</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53" t="e">
        <f t="shared" si="6"/>
        <v>#VALUE!</v>
      </c>
      <c r="DY653" s="1453"/>
      <c r="DZ653" s="1453"/>
      <c r="EA653" s="1453"/>
      <c r="EB653" s="1453"/>
      <c r="EC653" s="1453" t="e">
        <f t="shared" si="7"/>
        <v>#VALUE!</v>
      </c>
      <c r="ED653" s="1453"/>
      <c r="EE653" s="1453"/>
      <c r="EF653" s="1453"/>
      <c r="EG653" s="1453"/>
      <c r="EH653" s="1453" t="e">
        <f t="shared" si="8"/>
        <v>#VALUE!</v>
      </c>
      <c r="EI653" s="1453"/>
      <c r="EJ653" s="1453"/>
      <c r="EK653" s="1453"/>
      <c r="EL653" s="1453"/>
      <c r="EM653" s="1453" t="e">
        <f t="shared" si="9"/>
        <v>#VALUE!</v>
      </c>
      <c r="EN653" s="1453"/>
      <c r="EO653" s="1453"/>
      <c r="EP653" s="1453"/>
      <c r="EQ653" s="1453"/>
      <c r="ER653" s="1453" t="e">
        <f t="shared" si="10"/>
        <v>#VALUE!</v>
      </c>
      <c r="ES653" s="1453"/>
      <c r="ET653" s="1453"/>
      <c r="EU653" s="1453"/>
      <c r="EV653" s="1453"/>
      <c r="EW653" s="1453" t="e">
        <f t="shared" si="11"/>
        <v>#VALUE!</v>
      </c>
      <c r="EX653" s="1453"/>
      <c r="EY653" s="1453"/>
      <c r="EZ653" s="1453"/>
      <c r="FA653" s="1453"/>
    </row>
    <row r="654" spans="1:157" ht="12.95" customHeight="1">
      <c r="A654" s="22"/>
      <c r="B654" t="s">
        <v>17</v>
      </c>
      <c r="G654" s="1348" t="s">
        <v>2647</v>
      </c>
      <c r="H654" s="1348"/>
      <c r="I654" s="1348"/>
      <c r="J654" s="1348"/>
      <c r="K654" s="1348"/>
      <c r="L654" s="1348"/>
      <c r="M654" s="1348"/>
      <c r="N654" s="1348"/>
      <c r="O654" s="1348"/>
      <c r="P654" s="1348"/>
      <c r="Q654" s="1348"/>
      <c r="R654" s="1348"/>
      <c r="T654" s="22"/>
      <c r="U654" t="s">
        <v>17</v>
      </c>
      <c r="Z654" s="1348" t="s">
        <v>2647</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53" t="e">
        <f t="shared" si="6"/>
        <v>#VALUE!</v>
      </c>
      <c r="DY654" s="1453"/>
      <c r="DZ654" s="1453"/>
      <c r="EA654" s="1453"/>
      <c r="EB654" s="1453"/>
      <c r="EC654" s="1453" t="e">
        <f t="shared" si="7"/>
        <v>#VALUE!</v>
      </c>
      <c r="ED654" s="1453"/>
      <c r="EE654" s="1453"/>
      <c r="EF654" s="1453"/>
      <c r="EG654" s="1453"/>
      <c r="EH654" s="1453" t="e">
        <f t="shared" si="8"/>
        <v>#VALUE!</v>
      </c>
      <c r="EI654" s="1453"/>
      <c r="EJ654" s="1453"/>
      <c r="EK654" s="1453"/>
      <c r="EL654" s="1453"/>
      <c r="EM654" s="1453" t="e">
        <f t="shared" si="9"/>
        <v>#VALUE!</v>
      </c>
      <c r="EN654" s="1453"/>
      <c r="EO654" s="1453"/>
      <c r="EP654" s="1453"/>
      <c r="EQ654" s="1453"/>
      <c r="ER654" s="1453" t="e">
        <f t="shared" si="10"/>
        <v>#VALUE!</v>
      </c>
      <c r="ES654" s="1453"/>
      <c r="ET654" s="1453"/>
      <c r="EU654" s="1453"/>
      <c r="EV654" s="1453"/>
      <c r="EW654" s="1453" t="e">
        <f t="shared" si="11"/>
        <v>#VALUE!</v>
      </c>
      <c r="EX654" s="1453"/>
      <c r="EY654" s="1453"/>
      <c r="EZ654" s="1453"/>
      <c r="FA654" s="1453"/>
    </row>
    <row r="655" spans="1:157" ht="12.95" customHeight="1">
      <c r="A655" s="22"/>
      <c r="B655" t="s">
        <v>315</v>
      </c>
      <c r="G655" s="1346" t="str">
        <f>G581</f>
        <v>(209) 381-5300</v>
      </c>
      <c r="H655" s="1346"/>
      <c r="I655" s="1346"/>
      <c r="J655" s="1346"/>
      <c r="K655" s="1346"/>
      <c r="L655" s="1346"/>
      <c r="O655" s="33" t="s">
        <v>205</v>
      </c>
      <c r="P655" s="1436"/>
      <c r="Q655" s="1436"/>
      <c r="R655" s="1436"/>
      <c r="T655" s="22"/>
      <c r="U655" t="s">
        <v>315</v>
      </c>
      <c r="Z655" s="1346" t="str">
        <f>Z581</f>
        <v>(209) 385-6834</v>
      </c>
      <c r="AA655" s="1346"/>
      <c r="AB655" s="1346"/>
      <c r="AC655" s="1346"/>
      <c r="AD655" s="1346"/>
      <c r="AE655" s="1346"/>
      <c r="AH655" s="33" t="s">
        <v>205</v>
      </c>
      <c r="AI655" s="1436"/>
      <c r="AJ655" s="1436"/>
      <c r="AK655" s="1436"/>
      <c r="AZ655" s="34"/>
      <c r="BA655" s="34"/>
      <c r="BB655" s="34"/>
      <c r="BC655" s="34"/>
      <c r="BD655" s="34"/>
      <c r="BE655" s="34"/>
      <c r="BF655" s="34"/>
      <c r="BG655" s="34"/>
      <c r="BH655" s="34"/>
      <c r="BI655" s="34"/>
      <c r="BJ655" s="34"/>
      <c r="BK655" s="34"/>
      <c r="BL655" s="34"/>
      <c r="BM655" s="34"/>
      <c r="DX655" s="1453" t="e">
        <f t="shared" si="6"/>
        <v>#VALUE!</v>
      </c>
      <c r="DY655" s="1453"/>
      <c r="DZ655" s="1453"/>
      <c r="EA655" s="1453"/>
      <c r="EB655" s="1453"/>
      <c r="EC655" s="1453" t="e">
        <f t="shared" si="7"/>
        <v>#VALUE!</v>
      </c>
      <c r="ED655" s="1453"/>
      <c r="EE655" s="1453"/>
      <c r="EF655" s="1453"/>
      <c r="EG655" s="1453"/>
      <c r="EH655" s="1453" t="e">
        <f t="shared" si="8"/>
        <v>#VALUE!</v>
      </c>
      <c r="EI655" s="1453"/>
      <c r="EJ655" s="1453"/>
      <c r="EK655" s="1453"/>
      <c r="EL655" s="1453"/>
      <c r="EM655" s="1453" t="e">
        <f t="shared" si="9"/>
        <v>#VALUE!</v>
      </c>
      <c r="EN655" s="1453"/>
      <c r="EO655" s="1453"/>
      <c r="EP655" s="1453"/>
      <c r="EQ655" s="1453"/>
      <c r="ER655" s="1453" t="e">
        <f t="shared" si="10"/>
        <v>#VALUE!</v>
      </c>
      <c r="ES655" s="1453"/>
      <c r="ET655" s="1453"/>
      <c r="EU655" s="1453"/>
      <c r="EV655" s="1453"/>
      <c r="EW655" s="1453" t="e">
        <f t="shared" si="11"/>
        <v>#VALUE!</v>
      </c>
      <c r="EX655" s="1453"/>
      <c r="EY655" s="1453"/>
      <c r="EZ655" s="1453"/>
      <c r="FA655" s="1453"/>
    </row>
    <row r="656" spans="1:157" ht="12.95" customHeight="1">
      <c r="A656" s="22"/>
      <c r="B656" t="s">
        <v>18</v>
      </c>
      <c r="H656" s="1371" t="s">
        <v>2710</v>
      </c>
      <c r="I656" s="1371"/>
      <c r="J656" s="1371"/>
      <c r="K656" s="1371"/>
      <c r="L656" s="1371"/>
      <c r="M656" s="1371"/>
      <c r="N656" s="1371"/>
      <c r="O656" s="1371"/>
      <c r="P656" s="1371"/>
      <c r="Q656" s="1371"/>
      <c r="R656" s="1371"/>
      <c r="T656" s="22"/>
      <c r="U656" t="s">
        <v>18</v>
      </c>
      <c r="AA656" s="1371" t="s">
        <v>2710</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53" t="e">
        <f t="shared" si="6"/>
        <v>#VALUE!</v>
      </c>
      <c r="DY656" s="1453"/>
      <c r="DZ656" s="1453"/>
      <c r="EA656" s="1453"/>
      <c r="EB656" s="1453"/>
      <c r="EC656" s="1453" t="e">
        <f t="shared" si="7"/>
        <v>#VALUE!</v>
      </c>
      <c r="ED656" s="1453"/>
      <c r="EE656" s="1453"/>
      <c r="EF656" s="1453"/>
      <c r="EG656" s="1453"/>
      <c r="EH656" s="1453" t="e">
        <f t="shared" si="8"/>
        <v>#VALUE!</v>
      </c>
      <c r="EI656" s="1453"/>
      <c r="EJ656" s="1453"/>
      <c r="EK656" s="1453"/>
      <c r="EL656" s="1453"/>
      <c r="EM656" s="1453" t="e">
        <f t="shared" si="9"/>
        <v>#VALUE!</v>
      </c>
      <c r="EN656" s="1453"/>
      <c r="EO656" s="1453"/>
      <c r="EP656" s="1453"/>
      <c r="EQ656" s="1453"/>
      <c r="ER656" s="1453" t="e">
        <f t="shared" si="10"/>
        <v>#VALUE!</v>
      </c>
      <c r="ES656" s="1453"/>
      <c r="ET656" s="1453"/>
      <c r="EU656" s="1453"/>
      <c r="EV656" s="1453"/>
      <c r="EW656" s="1453" t="e">
        <f t="shared" si="11"/>
        <v>#VALUE!</v>
      </c>
      <c r="EX656" s="1453"/>
      <c r="EY656" s="1453"/>
      <c r="EZ656" s="1453"/>
      <c r="FA656" s="1453"/>
    </row>
    <row r="657" spans="1:157" ht="12.95"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53" t="e">
        <f t="shared" si="6"/>
        <v>#VALUE!</v>
      </c>
      <c r="DY657" s="1453"/>
      <c r="DZ657" s="1453"/>
      <c r="EA657" s="1453"/>
      <c r="EB657" s="1453"/>
      <c r="EC657" s="1453" t="e">
        <f t="shared" si="7"/>
        <v>#VALUE!</v>
      </c>
      <c r="ED657" s="1453"/>
      <c r="EE657" s="1453"/>
      <c r="EF657" s="1453"/>
      <c r="EG657" s="1453"/>
      <c r="EH657" s="1453" t="e">
        <f t="shared" si="8"/>
        <v>#VALUE!</v>
      </c>
      <c r="EI657" s="1453"/>
      <c r="EJ657" s="1453"/>
      <c r="EK657" s="1453"/>
      <c r="EL657" s="1453"/>
      <c r="EM657" s="1453" t="e">
        <f t="shared" si="9"/>
        <v>#VALUE!</v>
      </c>
      <c r="EN657" s="1453"/>
      <c r="EO657" s="1453"/>
      <c r="EP657" s="1453"/>
      <c r="EQ657" s="1453"/>
      <c r="ER657" s="1453" t="e">
        <f t="shared" si="10"/>
        <v>#VALUE!</v>
      </c>
      <c r="ES657" s="1453"/>
      <c r="ET657" s="1453"/>
      <c r="EU657" s="1453"/>
      <c r="EV657" s="1453"/>
      <c r="EW657" s="1453" t="e">
        <f t="shared" si="11"/>
        <v>#VALUE!</v>
      </c>
      <c r="EX657" s="1453"/>
      <c r="EY657" s="1453"/>
      <c r="EZ657" s="1453"/>
      <c r="FA657" s="1453"/>
    </row>
    <row r="658" spans="1:157" ht="12.95" customHeight="1">
      <c r="A658" s="22"/>
      <c r="T658" s="22"/>
      <c r="AZ658" s="34"/>
      <c r="BA658" s="34"/>
      <c r="BB658" s="34"/>
      <c r="BC658" s="34"/>
      <c r="BD658" s="34"/>
      <c r="BE658" s="34"/>
      <c r="BF658" s="34"/>
      <c r="BG658" s="34"/>
      <c r="BH658" s="34"/>
      <c r="BI658" s="34"/>
      <c r="BJ658" s="34"/>
      <c r="BK658" s="34"/>
      <c r="BL658" s="34"/>
      <c r="BM658" s="34"/>
      <c r="DX658" s="1453" t="e">
        <f t="shared" si="6"/>
        <v>#VALUE!</v>
      </c>
      <c r="DY658" s="1453"/>
      <c r="DZ658" s="1453"/>
      <c r="EA658" s="1453"/>
      <c r="EB658" s="1453"/>
      <c r="EC658" s="1453" t="e">
        <f t="shared" si="7"/>
        <v>#VALUE!</v>
      </c>
      <c r="ED658" s="1453"/>
      <c r="EE658" s="1453"/>
      <c r="EF658" s="1453"/>
      <c r="EG658" s="1453"/>
      <c r="EH658" s="1453" t="e">
        <f t="shared" si="8"/>
        <v>#VALUE!</v>
      </c>
      <c r="EI658" s="1453"/>
      <c r="EJ658" s="1453"/>
      <c r="EK658" s="1453"/>
      <c r="EL658" s="1453"/>
      <c r="EM658" s="1453" t="e">
        <f t="shared" si="9"/>
        <v>#VALUE!</v>
      </c>
      <c r="EN658" s="1453"/>
      <c r="EO658" s="1453"/>
      <c r="EP658" s="1453"/>
      <c r="EQ658" s="1453"/>
      <c r="ER658" s="1453" t="e">
        <f t="shared" si="10"/>
        <v>#VALUE!</v>
      </c>
      <c r="ES658" s="1453"/>
      <c r="ET658" s="1453"/>
      <c r="EU658" s="1453"/>
      <c r="EV658" s="1453"/>
      <c r="EW658" s="1453" t="e">
        <f t="shared" si="11"/>
        <v>#VALUE!</v>
      </c>
      <c r="EX658" s="1453"/>
      <c r="EY658" s="1453"/>
      <c r="EZ658" s="1453"/>
      <c r="FA658" s="1453"/>
    </row>
    <row r="659" spans="1:157" ht="12.95" customHeight="1">
      <c r="A659" s="55" t="s">
        <v>763</v>
      </c>
      <c r="B659" t="s">
        <v>463</v>
      </c>
      <c r="G659" s="1358" t="str">
        <f>C631</f>
        <v>FHLB AHP</v>
      </c>
      <c r="H659" s="1358"/>
      <c r="I659" s="1358"/>
      <c r="J659" s="1358"/>
      <c r="K659" s="1358"/>
      <c r="L659" s="1358"/>
      <c r="M659" s="1358"/>
      <c r="N659" s="1358"/>
      <c r="O659" s="1358"/>
      <c r="P659" s="1358"/>
      <c r="Q659" s="1358"/>
      <c r="R659" s="1358"/>
      <c r="T659" s="55" t="s">
        <v>584</v>
      </c>
      <c r="U659" t="s">
        <v>463</v>
      </c>
      <c r="Z659" s="1358" t="str">
        <f>C632</f>
        <v>Impact Fee Waiver</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53" t="e">
        <f t="shared" si="6"/>
        <v>#VALUE!</v>
      </c>
      <c r="DY659" s="1453"/>
      <c r="DZ659" s="1453"/>
      <c r="EA659" s="1453"/>
      <c r="EB659" s="1453"/>
      <c r="EC659" s="1453" t="e">
        <f t="shared" si="7"/>
        <v>#VALUE!</v>
      </c>
      <c r="ED659" s="1453"/>
      <c r="EE659" s="1453"/>
      <c r="EF659" s="1453"/>
      <c r="EG659" s="1453"/>
      <c r="EH659" s="1453" t="e">
        <f t="shared" si="8"/>
        <v>#VALUE!</v>
      </c>
      <c r="EI659" s="1453"/>
      <c r="EJ659" s="1453"/>
      <c r="EK659" s="1453"/>
      <c r="EL659" s="1453"/>
      <c r="EM659" s="1453" t="e">
        <f t="shared" si="9"/>
        <v>#VALUE!</v>
      </c>
      <c r="EN659" s="1453"/>
      <c r="EO659" s="1453"/>
      <c r="EP659" s="1453"/>
      <c r="EQ659" s="1453"/>
      <c r="ER659" s="1453" t="e">
        <f t="shared" si="10"/>
        <v>#VALUE!</v>
      </c>
      <c r="ES659" s="1453"/>
      <c r="ET659" s="1453"/>
      <c r="EU659" s="1453"/>
      <c r="EV659" s="1453"/>
      <c r="EW659" s="1453" t="e">
        <f t="shared" si="11"/>
        <v>#VALUE!</v>
      </c>
      <c r="EX659" s="1453"/>
      <c r="EY659" s="1453"/>
      <c r="EZ659" s="1453"/>
      <c r="FA659" s="1453"/>
    </row>
    <row r="660" spans="1:157" ht="12.95" customHeight="1">
      <c r="A660" s="22"/>
      <c r="B660" t="s">
        <v>85</v>
      </c>
      <c r="G660" s="1371" t="s">
        <v>2711</v>
      </c>
      <c r="H660" s="1371"/>
      <c r="I660" s="1371"/>
      <c r="J660" s="1371"/>
      <c r="K660" s="1371"/>
      <c r="L660" s="1371"/>
      <c r="M660" s="1371"/>
      <c r="N660" s="1371"/>
      <c r="O660" s="1371"/>
      <c r="P660" s="1371"/>
      <c r="Q660" s="1371"/>
      <c r="R660" s="1371"/>
      <c r="T660" s="22"/>
      <c r="U660" t="s">
        <v>85</v>
      </c>
      <c r="Z660" s="1371" t="s">
        <v>2648</v>
      </c>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53" t="e">
        <f t="shared" si="6"/>
        <v>#VALUE!</v>
      </c>
      <c r="DY660" s="1453"/>
      <c r="DZ660" s="1453"/>
      <c r="EA660" s="1453"/>
      <c r="EB660" s="1453"/>
      <c r="EC660" s="1453" t="e">
        <f t="shared" si="7"/>
        <v>#VALUE!</v>
      </c>
      <c r="ED660" s="1453"/>
      <c r="EE660" s="1453"/>
      <c r="EF660" s="1453"/>
      <c r="EG660" s="1453"/>
      <c r="EH660" s="1453" t="e">
        <f t="shared" si="8"/>
        <v>#VALUE!</v>
      </c>
      <c r="EI660" s="1453"/>
      <c r="EJ660" s="1453"/>
      <c r="EK660" s="1453"/>
      <c r="EL660" s="1453"/>
      <c r="EM660" s="1453" t="e">
        <f t="shared" si="9"/>
        <v>#VALUE!</v>
      </c>
      <c r="EN660" s="1453"/>
      <c r="EO660" s="1453"/>
      <c r="EP660" s="1453"/>
      <c r="EQ660" s="1453"/>
      <c r="ER660" s="1453" t="e">
        <f t="shared" si="10"/>
        <v>#VALUE!</v>
      </c>
      <c r="ES660" s="1453"/>
      <c r="ET660" s="1453"/>
      <c r="EU660" s="1453"/>
      <c r="EV660" s="1453"/>
      <c r="EW660" s="1453" t="e">
        <f t="shared" si="11"/>
        <v>#VALUE!</v>
      </c>
      <c r="EX660" s="1453"/>
      <c r="EY660" s="1453"/>
      <c r="EZ660" s="1453"/>
      <c r="FA660" s="1453"/>
    </row>
    <row r="661" spans="1:157" ht="12.95" customHeight="1">
      <c r="A661" s="22"/>
      <c r="B661" t="s">
        <v>580</v>
      </c>
      <c r="G661" s="1371" t="s">
        <v>730</v>
      </c>
      <c r="H661" s="1371"/>
      <c r="I661" s="1371"/>
      <c r="J661" s="1371"/>
      <c r="K661" s="1371"/>
      <c r="L661" s="1371"/>
      <c r="M661" s="1371"/>
      <c r="N661" s="1371"/>
      <c r="O661" s="1371"/>
      <c r="P661" s="1371"/>
      <c r="Q661" s="1371"/>
      <c r="R661" s="1371"/>
      <c r="T661" s="22"/>
      <c r="U661" t="s">
        <v>580</v>
      </c>
      <c r="Z661" s="1348" t="s">
        <v>55</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53" t="e">
        <f t="shared" si="6"/>
        <v>#VALUE!</v>
      </c>
      <c r="DY661" s="1453"/>
      <c r="DZ661" s="1453"/>
      <c r="EA661" s="1453"/>
      <c r="EB661" s="1453"/>
      <c r="EC661" s="1453" t="e">
        <f t="shared" si="7"/>
        <v>#VALUE!</v>
      </c>
      <c r="ED661" s="1453"/>
      <c r="EE661" s="1453"/>
      <c r="EF661" s="1453"/>
      <c r="EG661" s="1453"/>
      <c r="EH661" s="1453" t="e">
        <f t="shared" si="8"/>
        <v>#VALUE!</v>
      </c>
      <c r="EI661" s="1453"/>
      <c r="EJ661" s="1453"/>
      <c r="EK661" s="1453"/>
      <c r="EL661" s="1453"/>
      <c r="EM661" s="1453" t="e">
        <f t="shared" si="9"/>
        <v>#VALUE!</v>
      </c>
      <c r="EN661" s="1453"/>
      <c r="EO661" s="1453"/>
      <c r="EP661" s="1453"/>
      <c r="EQ661" s="1453"/>
      <c r="ER661" s="1453" t="e">
        <f t="shared" si="10"/>
        <v>#VALUE!</v>
      </c>
      <c r="ES661" s="1453"/>
      <c r="ET661" s="1453"/>
      <c r="EU661" s="1453"/>
      <c r="EV661" s="1453"/>
      <c r="EW661" s="1453" t="e">
        <f t="shared" si="11"/>
        <v>#VALUE!</v>
      </c>
      <c r="EX661" s="1453"/>
      <c r="EY661" s="1453"/>
      <c r="EZ661" s="1453"/>
      <c r="FA661" s="1453"/>
    </row>
    <row r="662" spans="1:157" ht="12.95" customHeight="1">
      <c r="A662" s="22"/>
      <c r="B662" t="s">
        <v>17</v>
      </c>
      <c r="G662" s="1371" t="s">
        <v>2712</v>
      </c>
      <c r="H662" s="1371"/>
      <c r="I662" s="1371"/>
      <c r="J662" s="1371"/>
      <c r="K662" s="1371"/>
      <c r="L662" s="1371"/>
      <c r="M662" s="1371"/>
      <c r="N662" s="1371"/>
      <c r="O662" s="1371"/>
      <c r="P662" s="1371"/>
      <c r="Q662" s="1371"/>
      <c r="R662" s="1371"/>
      <c r="T662" s="22"/>
      <c r="U662" t="s">
        <v>17</v>
      </c>
      <c r="Z662" s="1348" t="s">
        <v>2647</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53" t="e">
        <f t="shared" si="6"/>
        <v>#VALUE!</v>
      </c>
      <c r="DY662" s="1453"/>
      <c r="DZ662" s="1453"/>
      <c r="EA662" s="1453"/>
      <c r="EB662" s="1453"/>
      <c r="EC662" s="1453" t="e">
        <f t="shared" si="7"/>
        <v>#VALUE!</v>
      </c>
      <c r="ED662" s="1453"/>
      <c r="EE662" s="1453"/>
      <c r="EF662" s="1453"/>
      <c r="EG662" s="1453"/>
      <c r="EH662" s="1453" t="e">
        <f t="shared" si="8"/>
        <v>#VALUE!</v>
      </c>
      <c r="EI662" s="1453"/>
      <c r="EJ662" s="1453"/>
      <c r="EK662" s="1453"/>
      <c r="EL662" s="1453"/>
      <c r="EM662" s="1453" t="e">
        <f t="shared" si="9"/>
        <v>#VALUE!</v>
      </c>
      <c r="EN662" s="1453"/>
      <c r="EO662" s="1453"/>
      <c r="EP662" s="1453"/>
      <c r="EQ662" s="1453"/>
      <c r="ER662" s="1453" t="e">
        <f t="shared" si="10"/>
        <v>#VALUE!</v>
      </c>
      <c r="ES662" s="1453"/>
      <c r="ET662" s="1453"/>
      <c r="EU662" s="1453"/>
      <c r="EV662" s="1453"/>
      <c r="EW662" s="1453" t="e">
        <f t="shared" si="11"/>
        <v>#VALUE!</v>
      </c>
      <c r="EX662" s="1453"/>
      <c r="EY662" s="1453"/>
      <c r="EZ662" s="1453"/>
      <c r="FA662" s="1453"/>
    </row>
    <row r="663" spans="1:157" ht="12.95" customHeight="1">
      <c r="A663" s="22"/>
      <c r="B663" t="s">
        <v>315</v>
      </c>
      <c r="G663" s="1346" t="s">
        <v>2713</v>
      </c>
      <c r="H663" s="1346"/>
      <c r="I663" s="1346"/>
      <c r="J663" s="1346"/>
      <c r="K663" s="1346"/>
      <c r="L663" s="1346"/>
      <c r="O663" s="33" t="s">
        <v>205</v>
      </c>
      <c r="P663" s="1436"/>
      <c r="Q663" s="1436"/>
      <c r="R663" s="1436"/>
      <c r="T663" s="22"/>
      <c r="U663" t="s">
        <v>315</v>
      </c>
      <c r="Z663" s="1346" t="str">
        <f>Z589</f>
        <v>(415) 616-2597</v>
      </c>
      <c r="AA663" s="1346"/>
      <c r="AB663" s="1346"/>
      <c r="AC663" s="1346"/>
      <c r="AD663" s="1346"/>
      <c r="AE663" s="1346"/>
      <c r="AH663" s="33" t="s">
        <v>205</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53" t="e">
        <f t="shared" si="6"/>
        <v>#VALUE!</v>
      </c>
      <c r="DY663" s="1453"/>
      <c r="DZ663" s="1453"/>
      <c r="EA663" s="1453"/>
      <c r="EB663" s="1453"/>
      <c r="EC663" s="1453" t="e">
        <f t="shared" si="7"/>
        <v>#VALUE!</v>
      </c>
      <c r="ED663" s="1453"/>
      <c r="EE663" s="1453"/>
      <c r="EF663" s="1453"/>
      <c r="EG663" s="1453"/>
      <c r="EH663" s="1453" t="e">
        <f t="shared" si="8"/>
        <v>#VALUE!</v>
      </c>
      <c r="EI663" s="1453"/>
      <c r="EJ663" s="1453"/>
      <c r="EK663" s="1453"/>
      <c r="EL663" s="1453"/>
      <c r="EM663" s="1453" t="e">
        <f t="shared" si="9"/>
        <v>#VALUE!</v>
      </c>
      <c r="EN663" s="1453"/>
      <c r="EO663" s="1453"/>
      <c r="EP663" s="1453"/>
      <c r="EQ663" s="1453"/>
      <c r="ER663" s="1453" t="e">
        <f t="shared" si="10"/>
        <v>#VALUE!</v>
      </c>
      <c r="ES663" s="1453"/>
      <c r="ET663" s="1453"/>
      <c r="EU663" s="1453"/>
      <c r="EV663" s="1453"/>
      <c r="EW663" s="1453" t="e">
        <f t="shared" si="11"/>
        <v>#VALUE!</v>
      </c>
      <c r="EX663" s="1453"/>
      <c r="EY663" s="1453"/>
      <c r="EZ663" s="1453"/>
      <c r="FA663" s="1453"/>
    </row>
    <row r="664" spans="1:157" ht="12.95" customHeight="1">
      <c r="A664" s="22"/>
      <c r="B664" t="s">
        <v>18</v>
      </c>
      <c r="H664" s="1371" t="s">
        <v>2118</v>
      </c>
      <c r="I664" s="1371"/>
      <c r="J664" s="1371"/>
      <c r="K664" s="1371"/>
      <c r="L664" s="1371"/>
      <c r="M664" s="1371"/>
      <c r="N664" s="1371"/>
      <c r="O664" s="1371"/>
      <c r="P664" s="1371"/>
      <c r="Q664" s="1371"/>
      <c r="R664" s="1371"/>
      <c r="T664" s="22"/>
      <c r="U664" t="s">
        <v>18</v>
      </c>
      <c r="AA664" s="1416" t="s">
        <v>2722</v>
      </c>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53" t="e">
        <f t="shared" si="6"/>
        <v>#VALUE!</v>
      </c>
      <c r="DY664" s="1453"/>
      <c r="DZ664" s="1453"/>
      <c r="EA664" s="1453"/>
      <c r="EB664" s="1453"/>
      <c r="EC664" s="1453" t="e">
        <f t="shared" si="7"/>
        <v>#VALUE!</v>
      </c>
      <c r="ED664" s="1453"/>
      <c r="EE664" s="1453"/>
      <c r="EF664" s="1453"/>
      <c r="EG664" s="1453"/>
      <c r="EH664" s="1453" t="e">
        <f t="shared" si="8"/>
        <v>#VALUE!</v>
      </c>
      <c r="EI664" s="1453"/>
      <c r="EJ664" s="1453"/>
      <c r="EK664" s="1453"/>
      <c r="EL664" s="1453"/>
      <c r="EM664" s="1453" t="e">
        <f t="shared" si="9"/>
        <v>#VALUE!</v>
      </c>
      <c r="EN664" s="1453"/>
      <c r="EO664" s="1453"/>
      <c r="EP664" s="1453"/>
      <c r="EQ664" s="1453"/>
      <c r="ER664" s="1453" t="e">
        <f t="shared" si="10"/>
        <v>#VALUE!</v>
      </c>
      <c r="ES664" s="1453"/>
      <c r="ET664" s="1453"/>
      <c r="EU664" s="1453"/>
      <c r="EV664" s="1453"/>
      <c r="EW664" s="1453" t="e">
        <f t="shared" si="11"/>
        <v>#VALUE!</v>
      </c>
      <c r="EX664" s="1453"/>
      <c r="EY664" s="1453"/>
      <c r="EZ664" s="1453"/>
      <c r="FA664" s="1453"/>
    </row>
    <row r="665" spans="1:157" ht="12.95" customHeight="1">
      <c r="A665" s="22"/>
      <c r="B665" t="s">
        <v>20</v>
      </c>
      <c r="N665" s="1332" t="s">
        <v>545</v>
      </c>
      <c r="O665" s="1332"/>
      <c r="T665" s="22"/>
      <c r="U665" t="s">
        <v>20</v>
      </c>
      <c r="AG665" s="1332" t="s">
        <v>545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53" t="e">
        <f t="shared" si="6"/>
        <v>#VALUE!</v>
      </c>
      <c r="DY665" s="1453"/>
      <c r="DZ665" s="1453"/>
      <c r="EA665" s="1453"/>
      <c r="EB665" s="1453"/>
      <c r="EC665" s="1453" t="e">
        <f t="shared" si="7"/>
        <v>#VALUE!</v>
      </c>
      <c r="ED665" s="1453"/>
      <c r="EE665" s="1453"/>
      <c r="EF665" s="1453"/>
      <c r="EG665" s="1453"/>
      <c r="EH665" s="1453" t="e">
        <f t="shared" si="8"/>
        <v>#VALUE!</v>
      </c>
      <c r="EI665" s="1453"/>
      <c r="EJ665" s="1453"/>
      <c r="EK665" s="1453"/>
      <c r="EL665" s="1453"/>
      <c r="EM665" s="1453" t="e">
        <f t="shared" si="9"/>
        <v>#VALUE!</v>
      </c>
      <c r="EN665" s="1453"/>
      <c r="EO665" s="1453"/>
      <c r="EP665" s="1453"/>
      <c r="EQ665" s="1453"/>
      <c r="ER665" s="1453" t="e">
        <f t="shared" si="10"/>
        <v>#VALUE!</v>
      </c>
      <c r="ES665" s="1453"/>
      <c r="ET665" s="1453"/>
      <c r="EU665" s="1453"/>
      <c r="EV665" s="1453"/>
      <c r="EW665" s="1453" t="e">
        <f t="shared" si="11"/>
        <v>#VALUE!</v>
      </c>
      <c r="EX665" s="1453"/>
      <c r="EY665" s="1453"/>
      <c r="EZ665" s="1453"/>
      <c r="FA665" s="1453"/>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53" t="e">
        <f t="shared" si="6"/>
        <v>#VALUE!</v>
      </c>
      <c r="DY666" s="1453"/>
      <c r="DZ666" s="1453"/>
      <c r="EA666" s="1453"/>
      <c r="EB666" s="1453"/>
      <c r="EC666" s="1453" t="e">
        <f t="shared" si="7"/>
        <v>#VALUE!</v>
      </c>
      <c r="ED666" s="1453"/>
      <c r="EE666" s="1453"/>
      <c r="EF666" s="1453"/>
      <c r="EG666" s="1453"/>
      <c r="EH666" s="1453" t="e">
        <f t="shared" si="8"/>
        <v>#VALUE!</v>
      </c>
      <c r="EI666" s="1453"/>
      <c r="EJ666" s="1453"/>
      <c r="EK666" s="1453"/>
      <c r="EL666" s="1453"/>
      <c r="EM666" s="1453" t="e">
        <f t="shared" si="9"/>
        <v>#VALUE!</v>
      </c>
      <c r="EN666" s="1453"/>
      <c r="EO666" s="1453"/>
      <c r="EP666" s="1453"/>
      <c r="EQ666" s="1453"/>
      <c r="ER666" s="1453" t="e">
        <f t="shared" si="10"/>
        <v>#VALUE!</v>
      </c>
      <c r="ES666" s="1453"/>
      <c r="ET666" s="1453"/>
      <c r="EU666" s="1453"/>
      <c r="EV666" s="1453"/>
      <c r="EW666" s="1453" t="e">
        <f t="shared" si="11"/>
        <v>#VALUE!</v>
      </c>
      <c r="EX666" s="1453"/>
      <c r="EY666" s="1453"/>
      <c r="EZ666" s="1453"/>
      <c r="FA666" s="1453"/>
    </row>
    <row r="667" spans="1:157" ht="12.95" customHeight="1">
      <c r="A667" s="55" t="s">
        <v>455</v>
      </c>
      <c r="B667" t="s">
        <v>463</v>
      </c>
      <c r="G667" s="1358" t="str">
        <f>C633</f>
        <v>Donated Land</v>
      </c>
      <c r="H667" s="1358"/>
      <c r="I667" s="1358"/>
      <c r="J667" s="1358"/>
      <c r="K667" s="1358"/>
      <c r="L667" s="1358"/>
      <c r="M667" s="1358"/>
      <c r="N667" s="1358"/>
      <c r="O667" s="1358"/>
      <c r="P667" s="1358"/>
      <c r="Q667" s="1358"/>
      <c r="R667" s="1358"/>
      <c r="T667" s="55" t="s">
        <v>456</v>
      </c>
      <c r="U667" t="s">
        <v>463</v>
      </c>
      <c r="Z667" s="1358" t="str">
        <f>C634</f>
        <v>Deferred Developer Fee</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53" t="e">
        <f t="shared" si="6"/>
        <v>#VALUE!</v>
      </c>
      <c r="DY667" s="1453"/>
      <c r="DZ667" s="1453"/>
      <c r="EA667" s="1453"/>
      <c r="EB667" s="1453"/>
      <c r="EC667" s="1453" t="e">
        <f t="shared" si="7"/>
        <v>#VALUE!</v>
      </c>
      <c r="ED667" s="1453"/>
      <c r="EE667" s="1453"/>
      <c r="EF667" s="1453"/>
      <c r="EG667" s="1453"/>
      <c r="EH667" s="1453" t="e">
        <f t="shared" si="8"/>
        <v>#VALUE!</v>
      </c>
      <c r="EI667" s="1453"/>
      <c r="EJ667" s="1453"/>
      <c r="EK667" s="1453"/>
      <c r="EL667" s="1453"/>
      <c r="EM667" s="1453" t="e">
        <f t="shared" si="9"/>
        <v>#VALUE!</v>
      </c>
      <c r="EN667" s="1453"/>
      <c r="EO667" s="1453"/>
      <c r="EP667" s="1453"/>
      <c r="EQ667" s="1453"/>
      <c r="ER667" s="1453" t="e">
        <f t="shared" si="10"/>
        <v>#VALUE!</v>
      </c>
      <c r="ES667" s="1453"/>
      <c r="ET667" s="1453"/>
      <c r="EU667" s="1453"/>
      <c r="EV667" s="1453"/>
      <c r="EW667" s="1453" t="e">
        <f t="shared" si="11"/>
        <v>#VALUE!</v>
      </c>
      <c r="EX667" s="1453"/>
      <c r="EY667" s="1453"/>
      <c r="EZ667" s="1453"/>
      <c r="FA667" s="1453"/>
    </row>
    <row r="668" spans="1:157" ht="12.95" customHeight="1">
      <c r="A668" s="22"/>
      <c r="B668" t="s">
        <v>85</v>
      </c>
      <c r="G668" s="1371" t="s">
        <v>2648</v>
      </c>
      <c r="H668" s="1371"/>
      <c r="I668" s="1371"/>
      <c r="J668" s="1371"/>
      <c r="K668" s="1371"/>
      <c r="L668" s="1371"/>
      <c r="M668" s="1371"/>
      <c r="N668" s="1371"/>
      <c r="O668" s="1371"/>
      <c r="P668" s="1371"/>
      <c r="Q668" s="1371"/>
      <c r="R668" s="1371"/>
      <c r="T668" s="22"/>
      <c r="U668" t="s">
        <v>85</v>
      </c>
      <c r="Z668" s="1371" t="s">
        <v>2717</v>
      </c>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53" t="e">
        <f t="shared" si="6"/>
        <v>#VALUE!</v>
      </c>
      <c r="DY668" s="1453"/>
      <c r="DZ668" s="1453"/>
      <c r="EA668" s="1453"/>
      <c r="EB668" s="1453"/>
      <c r="EC668" s="1453" t="e">
        <f t="shared" si="7"/>
        <v>#VALUE!</v>
      </c>
      <c r="ED668" s="1453"/>
      <c r="EE668" s="1453"/>
      <c r="EF668" s="1453"/>
      <c r="EG668" s="1453"/>
      <c r="EH668" s="1453" t="e">
        <f t="shared" si="8"/>
        <v>#VALUE!</v>
      </c>
      <c r="EI668" s="1453"/>
      <c r="EJ668" s="1453"/>
      <c r="EK668" s="1453"/>
      <c r="EL668" s="1453"/>
      <c r="EM668" s="1453" t="e">
        <f t="shared" si="9"/>
        <v>#VALUE!</v>
      </c>
      <c r="EN668" s="1453"/>
      <c r="EO668" s="1453"/>
      <c r="EP668" s="1453"/>
      <c r="EQ668" s="1453"/>
      <c r="ER668" s="1453" t="e">
        <f t="shared" si="10"/>
        <v>#VALUE!</v>
      </c>
      <c r="ES668" s="1453"/>
      <c r="ET668" s="1453"/>
      <c r="EU668" s="1453"/>
      <c r="EV668" s="1453"/>
      <c r="EW668" s="1453" t="e">
        <f t="shared" si="11"/>
        <v>#VALUE!</v>
      </c>
      <c r="EX668" s="1453"/>
      <c r="EY668" s="1453"/>
      <c r="EZ668" s="1453"/>
      <c r="FA668" s="1453"/>
    </row>
    <row r="669" spans="1:157" ht="12.95" customHeight="1">
      <c r="A669" s="22"/>
      <c r="B669" t="s">
        <v>580</v>
      </c>
      <c r="G669" s="1371" t="s">
        <v>55</v>
      </c>
      <c r="H669" s="1371"/>
      <c r="I669" s="1371"/>
      <c r="J669" s="1371"/>
      <c r="K669" s="1371"/>
      <c r="L669" s="1371"/>
      <c r="M669" s="1371"/>
      <c r="N669" s="1371"/>
      <c r="O669" s="1371"/>
      <c r="P669" s="1371"/>
      <c r="Q669" s="1371"/>
      <c r="R669" s="1371"/>
      <c r="T669" s="22"/>
      <c r="U669" t="s">
        <v>580</v>
      </c>
      <c r="Z669" s="1348" t="s">
        <v>2617</v>
      </c>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53" t="e">
        <f t="shared" si="6"/>
        <v>#VALUE!</v>
      </c>
      <c r="DY669" s="1453"/>
      <c r="DZ669" s="1453"/>
      <c r="EA669" s="1453"/>
      <c r="EB669" s="1453"/>
      <c r="EC669" s="1453" t="e">
        <f t="shared" si="7"/>
        <v>#VALUE!</v>
      </c>
      <c r="ED669" s="1453"/>
      <c r="EE669" s="1453"/>
      <c r="EF669" s="1453"/>
      <c r="EG669" s="1453"/>
      <c r="EH669" s="1453" t="e">
        <f t="shared" si="8"/>
        <v>#VALUE!</v>
      </c>
      <c r="EI669" s="1453"/>
      <c r="EJ669" s="1453"/>
      <c r="EK669" s="1453"/>
      <c r="EL669" s="1453"/>
      <c r="EM669" s="1453" t="e">
        <f t="shared" si="9"/>
        <v>#VALUE!</v>
      </c>
      <c r="EN669" s="1453"/>
      <c r="EO669" s="1453"/>
      <c r="EP669" s="1453"/>
      <c r="EQ669" s="1453"/>
      <c r="ER669" s="1453" t="e">
        <f t="shared" si="10"/>
        <v>#VALUE!</v>
      </c>
      <c r="ES669" s="1453"/>
      <c r="ET669" s="1453"/>
      <c r="EU669" s="1453"/>
      <c r="EV669" s="1453"/>
      <c r="EW669" s="1453" t="e">
        <f t="shared" si="11"/>
        <v>#VALUE!</v>
      </c>
      <c r="EX669" s="1453"/>
      <c r="EY669" s="1453"/>
      <c r="EZ669" s="1453"/>
      <c r="FA669" s="1453"/>
    </row>
    <row r="670" spans="1:157" ht="12.95" customHeight="1">
      <c r="A670" s="22"/>
      <c r="B670" t="s">
        <v>17</v>
      </c>
      <c r="G670" s="1371" t="s">
        <v>2647</v>
      </c>
      <c r="H670" s="1371"/>
      <c r="I670" s="1371"/>
      <c r="J670" s="1371"/>
      <c r="K670" s="1371"/>
      <c r="L670" s="1371"/>
      <c r="M670" s="1371"/>
      <c r="N670" s="1371"/>
      <c r="O670" s="1371"/>
      <c r="P670" s="1371"/>
      <c r="Q670" s="1371"/>
      <c r="R670" s="1371"/>
      <c r="T670" s="22"/>
      <c r="U670" t="s">
        <v>17</v>
      </c>
      <c r="Z670" s="1348" t="s">
        <v>2618</v>
      </c>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53">
        <f>SUMIF(DX635:EB669,"&gt;0")</f>
        <v>0</v>
      </c>
      <c r="DY670" s="1453"/>
      <c r="DZ670" s="1453"/>
      <c r="EA670" s="1453"/>
      <c r="EB670" s="1453"/>
      <c r="EC670" s="1453">
        <f>SUMIF(EC635:EG669,"&gt;0")</f>
        <v>416</v>
      </c>
      <c r="ED670" s="1453"/>
      <c r="EE670" s="1453"/>
      <c r="EF670" s="1453"/>
      <c r="EG670" s="1453"/>
      <c r="EH670" s="1453">
        <f>SUMIF(EH635:EL669,"&gt;0")</f>
        <v>0</v>
      </c>
      <c r="EI670" s="1453"/>
      <c r="EJ670" s="1453"/>
      <c r="EK670" s="1453"/>
      <c r="EL670" s="1453"/>
      <c r="EM670" s="1453">
        <f>SUMIF(EM635:EQ669,"&gt;0")</f>
        <v>0</v>
      </c>
      <c r="EN670" s="1453"/>
      <c r="EO670" s="1453"/>
      <c r="EP670" s="1453"/>
      <c r="EQ670" s="1453"/>
      <c r="ER670" s="1453">
        <f>SUMIF(ER635:EV669,"&gt;0")</f>
        <v>0</v>
      </c>
      <c r="ES670" s="1453"/>
      <c r="ET670" s="1453"/>
      <c r="EU670" s="1453"/>
      <c r="EV670" s="1453"/>
      <c r="EW670" s="1453">
        <f>SUMIF(EW635:FA669,"&gt;0")</f>
        <v>0</v>
      </c>
      <c r="EX670" s="1453"/>
      <c r="EY670" s="1453"/>
      <c r="EZ670" s="1453"/>
      <c r="FA670" s="1453"/>
    </row>
    <row r="671" spans="1:157" ht="12.95" customHeight="1">
      <c r="A671" s="22"/>
      <c r="B671" t="s">
        <v>315</v>
      </c>
      <c r="G671" s="1346" t="str">
        <f>G597</f>
        <v>(209) 385-6834</v>
      </c>
      <c r="H671" s="1346"/>
      <c r="I671" s="1346"/>
      <c r="J671" s="1346"/>
      <c r="K671" s="1346"/>
      <c r="L671" s="1346"/>
      <c r="O671" s="33" t="s">
        <v>205</v>
      </c>
      <c r="P671" s="1436"/>
      <c r="Q671" s="1436"/>
      <c r="R671" s="1436"/>
      <c r="T671" s="22"/>
      <c r="U671" t="s">
        <v>315</v>
      </c>
      <c r="Z671" s="1665" t="s">
        <v>2743</v>
      </c>
      <c r="AA671" s="1346"/>
      <c r="AB671" s="1346"/>
      <c r="AC671" s="1346"/>
      <c r="AD671" s="1346"/>
      <c r="AE671" s="1346"/>
      <c r="AH671" s="33" t="s">
        <v>205</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t="s">
        <v>2722</v>
      </c>
      <c r="I672" s="1371"/>
      <c r="J672" s="1371"/>
      <c r="K672" s="1371"/>
      <c r="L672" s="1371"/>
      <c r="M672" s="1371"/>
      <c r="N672" s="1371"/>
      <c r="O672" s="1371"/>
      <c r="P672" s="1371"/>
      <c r="Q672" s="1371"/>
      <c r="R672" s="1371"/>
      <c r="T672" s="22"/>
      <c r="U672" t="s">
        <v>18</v>
      </c>
      <c r="AA672" s="1371" t="s">
        <v>2322</v>
      </c>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545</v>
      </c>
      <c r="O673" s="1332"/>
      <c r="T673" s="22"/>
      <c r="U673" t="s">
        <v>20</v>
      </c>
      <c r="AG673" s="1332" t="s">
        <v>545</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580</v>
      </c>
      <c r="G677" s="1371"/>
      <c r="H677" s="1371"/>
      <c r="I677" s="1371"/>
      <c r="J677" s="1371"/>
      <c r="K677" s="1371"/>
      <c r="L677" s="1371"/>
      <c r="M677" s="1371"/>
      <c r="N677" s="1371"/>
      <c r="O677" s="1371"/>
      <c r="P677" s="1371"/>
      <c r="Q677" s="1371"/>
      <c r="R677" s="1371"/>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315</v>
      </c>
      <c r="G679" s="1346"/>
      <c r="H679" s="1346"/>
      <c r="I679" s="1346"/>
      <c r="J679" s="1346"/>
      <c r="K679" s="1346"/>
      <c r="L679" s="1346"/>
      <c r="O679" s="33" t="s">
        <v>205</v>
      </c>
      <c r="P679" s="1436"/>
      <c r="Q679" s="1436"/>
      <c r="R679" s="1436"/>
      <c r="T679" s="22"/>
      <c r="U679" t="s">
        <v>315</v>
      </c>
      <c r="Z679" s="1346"/>
      <c r="AA679" s="1346"/>
      <c r="AB679" s="1346"/>
      <c r="AC679" s="1346"/>
      <c r="AD679" s="1346"/>
      <c r="AE679" s="1346"/>
      <c r="AH679" s="33" t="s">
        <v>205</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580</v>
      </c>
      <c r="G685" s="1371"/>
      <c r="H685" s="1371"/>
      <c r="I685" s="1371"/>
      <c r="J685" s="1371"/>
      <c r="K685" s="1371"/>
      <c r="L685" s="1371"/>
      <c r="M685" s="1371"/>
      <c r="N685" s="1371"/>
      <c r="O685" s="1371"/>
      <c r="P685" s="1371"/>
      <c r="Q685" s="1371"/>
      <c r="R685" s="1371"/>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315</v>
      </c>
      <c r="G687" s="1346"/>
      <c r="H687" s="1346"/>
      <c r="I687" s="1346"/>
      <c r="J687" s="1346"/>
      <c r="K687" s="1346"/>
      <c r="L687" s="1346"/>
      <c r="O687" s="33" t="s">
        <v>205</v>
      </c>
      <c r="P687" s="1436"/>
      <c r="Q687" s="1436"/>
      <c r="R687" s="1436"/>
      <c r="U687" t="s">
        <v>315</v>
      </c>
      <c r="Z687" s="1346"/>
      <c r="AA687" s="1346"/>
      <c r="AB687" s="1346"/>
      <c r="AC687" s="1346"/>
      <c r="AD687" s="1346"/>
      <c r="AE687" s="1346"/>
      <c r="AH687" s="33" t="s">
        <v>205</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669</v>
      </c>
      <c r="AF694" s="1332"/>
      <c r="AZ694" s="3"/>
    </row>
    <row r="695" spans="1:67" ht="12.95" customHeight="1">
      <c r="B695" s="135"/>
      <c r="C695" s="135"/>
      <c r="D695" s="136" t="s">
        <v>920</v>
      </c>
      <c r="E695" s="135"/>
      <c r="F695" s="135"/>
      <c r="G695" s="135"/>
      <c r="H695" s="135"/>
      <c r="AE695" s="1671">
        <v>45797</v>
      </c>
      <c r="AF695" s="1672"/>
      <c r="AG695" s="1672"/>
      <c r="AH695" s="1672"/>
      <c r="AI695" s="1672"/>
    </row>
    <row r="696" spans="1:67" ht="12.95" customHeight="1">
      <c r="B696" s="135"/>
      <c r="C696" s="135"/>
      <c r="D696" s="317" t="s">
        <v>983</v>
      </c>
      <c r="E696" s="135"/>
      <c r="F696" s="135"/>
      <c r="G696" s="135"/>
      <c r="H696" s="135"/>
      <c r="AE696" s="1712">
        <v>45874</v>
      </c>
      <c r="AF696" s="1712"/>
      <c r="AG696" s="1712"/>
      <c r="AH696" s="1712"/>
      <c r="AI696" s="1712"/>
    </row>
    <row r="697" spans="1:67" ht="12.95" customHeight="1">
      <c r="B697" s="135"/>
      <c r="C697" s="135"/>
    </row>
    <row r="698" spans="1:67" ht="12.95" customHeight="1">
      <c r="B698" s="135"/>
      <c r="C698" s="135"/>
      <c r="D698" s="136" t="s">
        <v>816</v>
      </c>
      <c r="E698" s="135"/>
      <c r="F698" s="135"/>
      <c r="G698" s="135"/>
      <c r="H698" s="135"/>
      <c r="AE698" s="1672">
        <v>46054</v>
      </c>
      <c r="AF698" s="1672"/>
      <c r="AG698" s="1672"/>
      <c r="AH698" s="1672"/>
      <c r="AI698" s="1672"/>
    </row>
    <row r="699" spans="1:67" ht="12.95" customHeight="1">
      <c r="B699" s="135"/>
      <c r="C699" s="135"/>
      <c r="D699" s="136" t="s">
        <v>435</v>
      </c>
      <c r="E699" s="135"/>
      <c r="F699" s="135"/>
      <c r="G699" s="135"/>
      <c r="H699" s="135"/>
      <c r="AE699" s="1667">
        <v>0.52500000000000002</v>
      </c>
      <c r="AF699" s="1667"/>
      <c r="AG699" s="1667"/>
      <c r="AH699" s="1667"/>
      <c r="AI699" s="1667"/>
    </row>
    <row r="700" spans="1:67" ht="12.95" customHeight="1">
      <c r="B700" s="135"/>
      <c r="C700" s="135"/>
      <c r="D700" s="136" t="s">
        <v>436</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1" t="s">
        <v>591</v>
      </c>
      <c r="X703" s="1371"/>
      <c r="Y703" s="1371"/>
      <c r="Z703" s="1371"/>
      <c r="AA703" s="1371"/>
      <c r="AB703" s="1371"/>
      <c r="AC703" s="1371"/>
      <c r="AD703" s="1371"/>
      <c r="AE703" s="1371"/>
      <c r="AF703" s="1371"/>
      <c r="AG703" s="1371"/>
      <c r="AH703" s="1371"/>
      <c r="AI703" s="1371"/>
      <c r="AJ703" s="1371"/>
      <c r="AK703" s="1371"/>
      <c r="AZ703" s="4" t="s">
        <v>324</v>
      </c>
    </row>
    <row r="704" spans="1:67" ht="12.95" customHeight="1">
      <c r="B704" s="135"/>
      <c r="C704" s="135"/>
      <c r="D704" s="136" t="s">
        <v>87</v>
      </c>
      <c r="E704" s="135"/>
      <c r="F704" s="135"/>
      <c r="G704" s="135"/>
      <c r="H704" s="135"/>
      <c r="J704" s="1371" t="s">
        <v>591</v>
      </c>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665" t="s">
        <v>591</v>
      </c>
      <c r="K705" s="1346"/>
      <c r="L705" s="1346"/>
      <c r="M705" s="1346"/>
      <c r="N705" s="1346"/>
      <c r="O705" s="1346"/>
      <c r="P705" s="4" t="s">
        <v>205</v>
      </c>
      <c r="Q705" s="4"/>
      <c r="R705" s="1443" t="s">
        <v>591</v>
      </c>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1" t="s">
        <v>306</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333</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29" t="s">
        <v>1679</v>
      </c>
      <c r="L714" s="1730"/>
      <c r="M714" s="1730"/>
      <c r="N714" s="1731"/>
      <c r="O714" s="1362" t="s">
        <v>447</v>
      </c>
      <c r="P714" s="1363"/>
      <c r="Q714" s="1363"/>
      <c r="R714" s="1363"/>
      <c r="S714" s="1364"/>
      <c r="T714" s="1663" t="s">
        <v>1950</v>
      </c>
      <c r="U714" s="1363"/>
      <c r="V714" s="1363"/>
      <c r="W714" s="1364"/>
      <c r="X714" s="1663" t="s">
        <v>1952</v>
      </c>
      <c r="Y714" s="1363"/>
      <c r="Z714" s="1363"/>
      <c r="AA714" s="1363"/>
      <c r="AB714" s="1364"/>
      <c r="AC714" s="1663" t="s">
        <v>1951</v>
      </c>
      <c r="AD714" s="1363"/>
      <c r="AE714" s="1363"/>
      <c r="AF714" s="1363"/>
      <c r="AG714" s="1364"/>
      <c r="AH714" s="1663" t="s">
        <v>1953</v>
      </c>
      <c r="AI714" s="1363"/>
      <c r="AJ714" s="1364"/>
      <c r="AK714" s="1663"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32"/>
      <c r="L715" s="1733"/>
      <c r="M715" s="1733"/>
      <c r="N715" s="173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32"/>
      <c r="L716" s="1733"/>
      <c r="M716" s="1733"/>
      <c r="N716" s="173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32"/>
      <c r="L717" s="1733"/>
      <c r="M717" s="1733"/>
      <c r="N717" s="173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7"/>
      <c r="CJ717" s="1478"/>
      <c r="CK717" s="121" t="s">
        <v>475</v>
      </c>
      <c r="CL717" s="122"/>
      <c r="CM717" s="1477"/>
      <c r="CN717" s="1478"/>
      <c r="CO717" s="3"/>
      <c r="CP717" s="1386" t="s">
        <v>633</v>
      </c>
      <c r="CQ717" s="1387"/>
      <c r="CR717" s="1387"/>
      <c r="CS717" s="1387"/>
      <c r="CT717" s="1388"/>
      <c r="CU717" s="1452" t="s">
        <v>324</v>
      </c>
      <c r="CV717" s="1452"/>
      <c r="CW717" s="1452"/>
      <c r="CX717" s="1452"/>
      <c r="CY717" s="1452"/>
      <c r="CZ717" s="1452" t="s">
        <v>163</v>
      </c>
      <c r="DA717" s="1452"/>
      <c r="DB717" s="1452"/>
      <c r="DC717" s="1452"/>
      <c r="DD717" s="1452"/>
      <c r="DE717" s="1452" t="s">
        <v>164</v>
      </c>
      <c r="DF717" s="1452"/>
      <c r="DG717" s="1452"/>
      <c r="DH717" s="1452"/>
      <c r="DI717" s="1452"/>
      <c r="DJ717" s="1452" t="s">
        <v>460</v>
      </c>
      <c r="DK717" s="1452"/>
      <c r="DL717" s="1452"/>
      <c r="DM717" s="1452"/>
      <c r="DN717" s="1452"/>
      <c r="DO717" s="1452" t="s">
        <v>30</v>
      </c>
      <c r="DP717" s="1452"/>
      <c r="DQ717" s="1452"/>
      <c r="DR717" s="1452"/>
      <c r="DS717" s="1452"/>
      <c r="DT717" s="89"/>
      <c r="DU717" s="1452" t="s">
        <v>633</v>
      </c>
      <c r="DV717" s="1452"/>
      <c r="DW717" s="1452"/>
      <c r="DX717" s="1452"/>
      <c r="DY717" s="1452"/>
      <c r="DZ717" s="1452" t="s">
        <v>324</v>
      </c>
      <c r="EA717" s="1452"/>
      <c r="EB717" s="1452"/>
      <c r="EC717" s="1452"/>
      <c r="ED717" s="1452"/>
      <c r="EE717" s="1452" t="s">
        <v>163</v>
      </c>
      <c r="EF717" s="1452"/>
      <c r="EG717" s="1452"/>
      <c r="EH717" s="1452"/>
      <c r="EI717" s="1452"/>
      <c r="EJ717" s="1452" t="s">
        <v>164</v>
      </c>
      <c r="EK717" s="1452"/>
      <c r="EL717" s="1452"/>
      <c r="EM717" s="1452"/>
      <c r="EN717" s="1452"/>
      <c r="EO717" s="1452" t="s">
        <v>460</v>
      </c>
      <c r="EP717" s="1452"/>
      <c r="EQ717" s="1452"/>
      <c r="ER717" s="1452"/>
      <c r="ES717" s="1452"/>
      <c r="ET717" s="1452" t="s">
        <v>30</v>
      </c>
      <c r="EU717" s="1452"/>
      <c r="EV717" s="1452"/>
      <c r="EW717" s="1452"/>
      <c r="EX717" s="1452"/>
      <c r="EY717" s="4"/>
      <c r="EZ717" s="1452" t="s">
        <v>633</v>
      </c>
      <c r="FA717" s="1452"/>
      <c r="FB717" s="1452"/>
      <c r="FC717" s="1452"/>
      <c r="FD717" s="1452"/>
      <c r="FE717" s="1452" t="s">
        <v>324</v>
      </c>
      <c r="FF717" s="1452"/>
      <c r="FG717" s="1452"/>
      <c r="FH717" s="1452"/>
      <c r="FI717" s="1452"/>
      <c r="FJ717" s="1452" t="s">
        <v>163</v>
      </c>
      <c r="FK717" s="1452"/>
      <c r="FL717" s="1452"/>
      <c r="FM717" s="1452"/>
      <c r="FN717" s="1452"/>
      <c r="FO717" s="1452" t="s">
        <v>164</v>
      </c>
      <c r="FP717" s="1452"/>
      <c r="FQ717" s="1452"/>
      <c r="FR717" s="1452"/>
      <c r="FS717" s="1452"/>
      <c r="FT717" s="1452" t="s">
        <v>460</v>
      </c>
      <c r="FU717" s="1452"/>
      <c r="FV717" s="1452"/>
      <c r="FW717" s="1452"/>
      <c r="FX717" s="1452"/>
      <c r="FY717" s="1452" t="s">
        <v>30</v>
      </c>
      <c r="FZ717" s="1452"/>
      <c r="GA717" s="1452"/>
      <c r="GB717" s="1452"/>
      <c r="GC717" s="1452"/>
    </row>
    <row r="718" spans="1:185" ht="12.95" customHeight="1">
      <c r="A718" s="4"/>
      <c r="B718" s="1337" t="s">
        <v>324</v>
      </c>
      <c r="C718" s="1338"/>
      <c r="D718" s="1338"/>
      <c r="E718" s="1338"/>
      <c r="F718" s="1339"/>
      <c r="G718" s="1349">
        <v>27</v>
      </c>
      <c r="H718" s="1350"/>
      <c r="I718" s="1350"/>
      <c r="J718" s="1351"/>
      <c r="K718" s="1343">
        <v>615</v>
      </c>
      <c r="L718" s="1344"/>
      <c r="M718" s="1344"/>
      <c r="N718" s="1345"/>
      <c r="O718" s="1340">
        <v>416</v>
      </c>
      <c r="P718" s="1341"/>
      <c r="Q718" s="1341"/>
      <c r="R718" s="1341"/>
      <c r="S718" s="1342"/>
      <c r="T718" s="1340">
        <v>112</v>
      </c>
      <c r="U718" s="1341"/>
      <c r="V718" s="1341"/>
      <c r="W718" s="1342"/>
      <c r="X718" s="1352">
        <f t="shared" ref="X718:X741" si="13">O718+T718</f>
        <v>528</v>
      </c>
      <c r="Y718" s="1353"/>
      <c r="Z718" s="1353"/>
      <c r="AA718" s="1353"/>
      <c r="AB718" s="1354"/>
      <c r="AC718" s="1359">
        <v>0.3</v>
      </c>
      <c r="AD718" s="1360"/>
      <c r="AE718" s="1360"/>
      <c r="AF718" s="1360"/>
      <c r="AG718" s="1361"/>
      <c r="AH718" s="1355">
        <f>IF($AC718&gt;0,($X718/$AZ718), "")</f>
        <v>0.29965947786606129</v>
      </c>
      <c r="AI718" s="1356"/>
      <c r="AJ718" s="1357"/>
      <c r="AK718" s="1337" t="s">
        <v>1043</v>
      </c>
      <c r="AL718" s="1338"/>
      <c r="AM718" s="1338"/>
      <c r="AN718" s="1338"/>
      <c r="AO718" s="1339"/>
      <c r="AP718" s="3"/>
      <c r="AQ718" s="3"/>
      <c r="AR718" s="3"/>
      <c r="AS718" s="3"/>
      <c r="AZ718" s="118">
        <f t="shared" ref="AZ718:AZ752" si="14">IF($G718=0,"N/A",VLOOKUP($T$189,TC_Rent,(MATCH($B718,bedrooms,FALSE)),FALSE))</f>
        <v>1762</v>
      </c>
      <c r="BA718" s="3"/>
      <c r="BB718" s="3"/>
      <c r="BC718" s="3"/>
      <c r="BD718" s="3"/>
      <c r="BE718" s="204"/>
      <c r="BF718" s="293">
        <f t="shared" ref="BF718:BF752" si="15">G718</f>
        <v>27</v>
      </c>
      <c r="BG718" s="297">
        <f t="shared" ref="BG718:BG752" si="16">IF($BF$753=0,0,BF718/$BF$753)</f>
        <v>0.50943396226415094</v>
      </c>
      <c r="BH718" s="298">
        <f t="shared" ref="BH718:BH752" si="17">IF(BG718=0,"",BG718*AC718)</f>
        <v>0.15283018867924528</v>
      </c>
      <c r="BI718" s="3"/>
      <c r="BJ718" s="3"/>
      <c r="BK718" s="3"/>
      <c r="BL718" s="3"/>
      <c r="BM718" s="3"/>
      <c r="BN718" s="3"/>
      <c r="BS718" s="293">
        <f t="shared" ref="BS718:BS752" si="18">G718</f>
        <v>27</v>
      </c>
      <c r="BT718" s="297">
        <f t="shared" ref="BT718:BT752" si="19">IF($BS$753=0,0,BS718/$BS$753)</f>
        <v>0.50943396226415094</v>
      </c>
      <c r="BU718" s="298">
        <f t="shared" ref="BU718:BU752" si="20">IF(BT718=0,"",BT718*AH718)</f>
        <v>0.15265671513931425</v>
      </c>
      <c r="CC718" s="3"/>
      <c r="CD718" s="3"/>
      <c r="CE718" s="3"/>
      <c r="CF718" s="3"/>
      <c r="CG718" s="1469">
        <f>IF(AND(AC718&lt;=0.5,AC718&gt;=0.36),1,0)</f>
        <v>0</v>
      </c>
      <c r="CH718" s="1470"/>
      <c r="CI718" s="1477">
        <f>IF(CG718=1,G718,0)</f>
        <v>0</v>
      </c>
      <c r="CJ718" s="1478"/>
      <c r="CK718" s="1469">
        <f t="shared" ref="CK718:CK752" si="21">IF(AND(AC718&lt;=0.35,AC718&gt;0),1,0)</f>
        <v>1</v>
      </c>
      <c r="CL718" s="1470"/>
      <c r="CM718" s="1477">
        <f t="shared" ref="CM718:CM752" si="22">IF(CK718=1,G718,0)</f>
        <v>27</v>
      </c>
      <c r="CN718" s="1478"/>
      <c r="CO718" s="3"/>
      <c r="CP718" s="1471">
        <f t="shared" ref="CP718:CP752" si="23">IF(B718="SRO/Studio",G718,0)</f>
        <v>0</v>
      </c>
      <c r="CQ718" s="1472"/>
      <c r="CR718" s="1472"/>
      <c r="CS718" s="1472"/>
      <c r="CT718" s="1473"/>
      <c r="CU718" s="1445">
        <f t="shared" ref="CU718:CU752" si="24">IF(B718="1 Bedroom",G718,0)</f>
        <v>27</v>
      </c>
      <c r="CV718" s="1445"/>
      <c r="CW718" s="1445"/>
      <c r="CX718" s="1445"/>
      <c r="CY718" s="1445"/>
      <c r="CZ718" s="1445">
        <f t="shared" ref="CZ718:CZ752" si="25">IF(B718="2 Bedrooms",G718,0)</f>
        <v>0</v>
      </c>
      <c r="DA718" s="1445"/>
      <c r="DB718" s="1445"/>
      <c r="DC718" s="1445"/>
      <c r="DD718" s="1445"/>
      <c r="DE718" s="1445">
        <f t="shared" ref="DE718:DE752" si="26">IF(B718="3 Bedrooms",G718,0)</f>
        <v>0</v>
      </c>
      <c r="DF718" s="1445"/>
      <c r="DG718" s="1445"/>
      <c r="DH718" s="1445"/>
      <c r="DI718" s="1445"/>
      <c r="DJ718" s="1445">
        <f t="shared" ref="DJ718:DJ752" si="27">IF(B718="4 Bedrooms",G718,0)</f>
        <v>0</v>
      </c>
      <c r="DK718" s="1445"/>
      <c r="DL718" s="1445"/>
      <c r="DM718" s="1445"/>
      <c r="DN718" s="1445"/>
      <c r="DO718" s="1445">
        <f t="shared" ref="DO718:DO752" si="28">IF(B718="5 Bedrooms",G718,0)</f>
        <v>0</v>
      </c>
      <c r="DP718" s="1445"/>
      <c r="DQ718" s="1445"/>
      <c r="DR718" s="1445"/>
      <c r="DS718" s="1445"/>
      <c r="DT718" s="6"/>
      <c r="DU718" s="1444">
        <f t="shared" ref="DU718:DU752" si="29">IF(AND(B718="SRO/Studio",AC718&lt;=0.3),G718,0)</f>
        <v>0</v>
      </c>
      <c r="DV718" s="1444"/>
      <c r="DW718" s="1444"/>
      <c r="DX718" s="1444"/>
      <c r="DY718" s="1444"/>
      <c r="DZ718" s="1444">
        <f t="shared" ref="DZ718:DZ752" si="30">IF(AND(B718="1 Bedroom",AC718&lt;=0.3),G718,0)</f>
        <v>27</v>
      </c>
      <c r="EA718" s="1444"/>
      <c r="EB718" s="1444"/>
      <c r="EC718" s="1444"/>
      <c r="ED718" s="1444"/>
      <c r="EE718" s="1444">
        <f t="shared" ref="EE718:EE752" si="31">IF(AND(B718="2 Bedrooms",AC718&lt;=0.3),G718,0)</f>
        <v>0</v>
      </c>
      <c r="EF718" s="1444"/>
      <c r="EG718" s="1444"/>
      <c r="EH718" s="1444"/>
      <c r="EI718" s="1444"/>
      <c r="EJ718" s="1444">
        <f t="shared" ref="EJ718:EJ752" si="32">IF(AND(B718="3 Bedrooms",AC718&lt;=0.3),G718,0)</f>
        <v>0</v>
      </c>
      <c r="EK718" s="1444"/>
      <c r="EL718" s="1444"/>
      <c r="EM718" s="1444"/>
      <c r="EN718" s="1444"/>
      <c r="EO718" s="1444">
        <f t="shared" ref="EO718:EO752" si="33">IF(AND(B718="4 Bedrooms",AC718&lt;=0.3),G718,0)</f>
        <v>0</v>
      </c>
      <c r="EP718" s="1444"/>
      <c r="EQ718" s="1444"/>
      <c r="ER718" s="1444"/>
      <c r="ES718" s="1444"/>
      <c r="ET718" s="1444">
        <f t="shared" ref="ET718:ET752" si="34">IF(AND(B718="5 Bedrooms",AC718&lt;=0.3),G718,0)</f>
        <v>0</v>
      </c>
      <c r="EU718" s="1444"/>
      <c r="EV718" s="1444"/>
      <c r="EW718" s="1444"/>
      <c r="EX718" s="1444"/>
      <c r="EY718" s="4"/>
      <c r="EZ718" s="1469" t="str">
        <f t="shared" ref="EZ718:EZ752" si="35">IF(CP718&gt;0,O718,"")</f>
        <v/>
      </c>
      <c r="FA718" s="1480"/>
      <c r="FB718" s="1480"/>
      <c r="FC718" s="1480"/>
      <c r="FD718" s="1470"/>
      <c r="FE718" s="1469">
        <f t="shared" ref="FE718:FE752" si="36">IF(CU718&gt;0,O718,"")</f>
        <v>416</v>
      </c>
      <c r="FF718" s="1480"/>
      <c r="FG718" s="1480"/>
      <c r="FH718" s="1480"/>
      <c r="FI718" s="1470"/>
      <c r="FJ718" s="1469" t="str">
        <f t="shared" ref="FJ718:FJ752" si="37">IF(CZ718&gt;0,O718,"")</f>
        <v/>
      </c>
      <c r="FK718" s="1480"/>
      <c r="FL718" s="1480"/>
      <c r="FM718" s="1480"/>
      <c r="FN718" s="1470"/>
      <c r="FO718" s="1469" t="str">
        <f t="shared" ref="FO718:FO752" si="38">IF(DE718&gt;0,O718,"")</f>
        <v/>
      </c>
      <c r="FP718" s="1480"/>
      <c r="FQ718" s="1480"/>
      <c r="FR718" s="1480"/>
      <c r="FS718" s="1470"/>
      <c r="FT718" s="1469" t="str">
        <f t="shared" ref="FT718:FT752" si="39">IF(DJ718&gt;0,O718,"")</f>
        <v/>
      </c>
      <c r="FU718" s="1480"/>
      <c r="FV718" s="1480"/>
      <c r="FW718" s="1480"/>
      <c r="FX718" s="1470"/>
      <c r="FY718" s="1469" t="str">
        <f t="shared" ref="FY718:FY752" si="40">IF(DO718&gt;0,O718,"")</f>
        <v/>
      </c>
      <c r="FZ718" s="1480"/>
      <c r="GA718" s="1480"/>
      <c r="GB718" s="1480"/>
      <c r="GC718" s="1470"/>
    </row>
    <row r="719" spans="1:185" ht="12.95" customHeight="1">
      <c r="A719" s="4"/>
      <c r="B719" s="1337" t="s">
        <v>324</v>
      </c>
      <c r="C719" s="1338"/>
      <c r="D719" s="1338"/>
      <c r="E719" s="1338"/>
      <c r="F719" s="1339"/>
      <c r="G719" s="1349">
        <v>26</v>
      </c>
      <c r="H719" s="1350"/>
      <c r="I719" s="1350"/>
      <c r="J719" s="1351"/>
      <c r="K719" s="1343">
        <v>615</v>
      </c>
      <c r="L719" s="1344"/>
      <c r="M719" s="1344"/>
      <c r="N719" s="1345"/>
      <c r="O719" s="1340">
        <v>416</v>
      </c>
      <c r="P719" s="1341"/>
      <c r="Q719" s="1341"/>
      <c r="R719" s="1341"/>
      <c r="S719" s="1342"/>
      <c r="T719" s="1340">
        <v>112</v>
      </c>
      <c r="U719" s="1341"/>
      <c r="V719" s="1341"/>
      <c r="W719" s="1342"/>
      <c r="X719" s="1352">
        <f t="shared" si="13"/>
        <v>528</v>
      </c>
      <c r="Y719" s="1353"/>
      <c r="Z719" s="1353"/>
      <c r="AA719" s="1353"/>
      <c r="AB719" s="1354"/>
      <c r="AC719" s="1359">
        <v>0.3</v>
      </c>
      <c r="AD719" s="1360"/>
      <c r="AE719" s="1360"/>
      <c r="AF719" s="1360"/>
      <c r="AG719" s="1361"/>
      <c r="AH719" s="1355">
        <f t="shared" ref="AH719:AH752" si="41">IF($AC719&gt;0,($X719/$AZ719), "")</f>
        <v>0.29965947786606129</v>
      </c>
      <c r="AI719" s="1356"/>
      <c r="AJ719" s="1357"/>
      <c r="AK719" s="1337" t="s">
        <v>591</v>
      </c>
      <c r="AL719" s="1338"/>
      <c r="AM719" s="1338"/>
      <c r="AN719" s="1338"/>
      <c r="AO719" s="1339"/>
      <c r="AP719" s="3"/>
      <c r="AQ719" s="3"/>
      <c r="AR719" s="3"/>
      <c r="AS719" s="3"/>
      <c r="AZ719" s="118">
        <f t="shared" si="14"/>
        <v>1762</v>
      </c>
      <c r="BA719" s="3"/>
      <c r="BB719" s="3"/>
      <c r="BC719" s="3"/>
      <c r="BD719" s="3"/>
      <c r="BE719" s="204"/>
      <c r="BF719" s="294">
        <f t="shared" si="15"/>
        <v>26</v>
      </c>
      <c r="BG719" s="297">
        <f t="shared" si="16"/>
        <v>0.49056603773584906</v>
      </c>
      <c r="BH719" s="298">
        <f t="shared" si="17"/>
        <v>0.14716981132075471</v>
      </c>
      <c r="BI719" s="3"/>
      <c r="BJ719" s="3"/>
      <c r="BK719" s="3"/>
      <c r="BL719" s="3"/>
      <c r="BM719" s="3"/>
      <c r="BN719" s="3"/>
      <c r="BS719" s="294">
        <f t="shared" si="18"/>
        <v>26</v>
      </c>
      <c r="BT719" s="297">
        <f t="shared" si="19"/>
        <v>0.49056603773584906</v>
      </c>
      <c r="BU719" s="298">
        <f t="shared" si="20"/>
        <v>0.14700276272674703</v>
      </c>
      <c r="CC719" s="3"/>
      <c r="CD719" s="3"/>
      <c r="CE719" s="3"/>
      <c r="CF719" s="3"/>
      <c r="CG719" s="1469">
        <f t="shared" ref="CG719:CG752" si="42">IF(AND(AC719&lt;=0.5,AC719&gt;=0.36),1,0)</f>
        <v>0</v>
      </c>
      <c r="CH719" s="1470"/>
      <c r="CI719" s="1477">
        <f t="shared" ref="CI719:CI752" si="43">IF(CG719=1,G719,0)</f>
        <v>0</v>
      </c>
      <c r="CJ719" s="1478"/>
      <c r="CK719" s="1469">
        <f t="shared" si="21"/>
        <v>1</v>
      </c>
      <c r="CL719" s="1470"/>
      <c r="CM719" s="1477">
        <f t="shared" si="22"/>
        <v>26</v>
      </c>
      <c r="CN719" s="1478"/>
      <c r="CO719" s="3"/>
      <c r="CP719" s="1471">
        <f t="shared" si="23"/>
        <v>0</v>
      </c>
      <c r="CQ719" s="1472"/>
      <c r="CR719" s="1472"/>
      <c r="CS719" s="1472"/>
      <c r="CT719" s="1473"/>
      <c r="CU719" s="1445">
        <f t="shared" si="24"/>
        <v>26</v>
      </c>
      <c r="CV719" s="1445"/>
      <c r="CW719" s="1445"/>
      <c r="CX719" s="1445"/>
      <c r="CY719" s="1445"/>
      <c r="CZ719" s="1445">
        <f t="shared" si="25"/>
        <v>0</v>
      </c>
      <c r="DA719" s="1445"/>
      <c r="DB719" s="1445"/>
      <c r="DC719" s="1445"/>
      <c r="DD719" s="1445"/>
      <c r="DE719" s="1445">
        <f t="shared" si="26"/>
        <v>0</v>
      </c>
      <c r="DF719" s="1445"/>
      <c r="DG719" s="1445"/>
      <c r="DH719" s="1445"/>
      <c r="DI719" s="1445"/>
      <c r="DJ719" s="1445">
        <f t="shared" si="27"/>
        <v>0</v>
      </c>
      <c r="DK719" s="1445"/>
      <c r="DL719" s="1445"/>
      <c r="DM719" s="1445"/>
      <c r="DN719" s="1445"/>
      <c r="DO719" s="1445">
        <f t="shared" si="28"/>
        <v>0</v>
      </c>
      <c r="DP719" s="1445"/>
      <c r="DQ719" s="1445"/>
      <c r="DR719" s="1445"/>
      <c r="DS719" s="1445"/>
      <c r="DT719" s="6"/>
      <c r="DU719" s="1444">
        <f t="shared" si="29"/>
        <v>0</v>
      </c>
      <c r="DV719" s="1444"/>
      <c r="DW719" s="1444"/>
      <c r="DX719" s="1444"/>
      <c r="DY719" s="1444"/>
      <c r="DZ719" s="1444">
        <f t="shared" si="30"/>
        <v>26</v>
      </c>
      <c r="EA719" s="1444"/>
      <c r="EB719" s="1444"/>
      <c r="EC719" s="1444"/>
      <c r="ED719" s="1444"/>
      <c r="EE719" s="1444">
        <f t="shared" si="31"/>
        <v>0</v>
      </c>
      <c r="EF719" s="1444"/>
      <c r="EG719" s="1444"/>
      <c r="EH719" s="1444"/>
      <c r="EI719" s="1444"/>
      <c r="EJ719" s="1444">
        <f t="shared" si="32"/>
        <v>0</v>
      </c>
      <c r="EK719" s="1444"/>
      <c r="EL719" s="1444"/>
      <c r="EM719" s="1444"/>
      <c r="EN719" s="1444"/>
      <c r="EO719" s="1444">
        <f t="shared" si="33"/>
        <v>0</v>
      </c>
      <c r="EP719" s="1444"/>
      <c r="EQ719" s="1444"/>
      <c r="ER719" s="1444"/>
      <c r="ES719" s="1444"/>
      <c r="ET719" s="1444">
        <f t="shared" si="34"/>
        <v>0</v>
      </c>
      <c r="EU719" s="1444"/>
      <c r="EV719" s="1444"/>
      <c r="EW719" s="1444"/>
      <c r="EX719" s="1444"/>
      <c r="EY719" s="4"/>
      <c r="EZ719" s="1469" t="str">
        <f t="shared" si="35"/>
        <v/>
      </c>
      <c r="FA719" s="1480"/>
      <c r="FB719" s="1480"/>
      <c r="FC719" s="1480"/>
      <c r="FD719" s="1470"/>
      <c r="FE719" s="1469">
        <f t="shared" si="36"/>
        <v>416</v>
      </c>
      <c r="FF719" s="1480"/>
      <c r="FG719" s="1480"/>
      <c r="FH719" s="1480"/>
      <c r="FI719" s="1470"/>
      <c r="FJ719" s="1469" t="str">
        <f t="shared" si="37"/>
        <v/>
      </c>
      <c r="FK719" s="1480"/>
      <c r="FL719" s="1480"/>
      <c r="FM719" s="1480"/>
      <c r="FN719" s="1470"/>
      <c r="FO719" s="1469" t="str">
        <f t="shared" si="38"/>
        <v/>
      </c>
      <c r="FP719" s="1480"/>
      <c r="FQ719" s="1480"/>
      <c r="FR719" s="1480"/>
      <c r="FS719" s="1470"/>
      <c r="FT719" s="1469" t="str">
        <f t="shared" si="39"/>
        <v/>
      </c>
      <c r="FU719" s="1480"/>
      <c r="FV719" s="1480"/>
      <c r="FW719" s="1480"/>
      <c r="FX719" s="1470"/>
      <c r="FY719" s="1469" t="str">
        <f t="shared" si="40"/>
        <v/>
      </c>
      <c r="FZ719" s="1480"/>
      <c r="GA719" s="1480"/>
      <c r="GB719" s="1480"/>
      <c r="GC719" s="1470"/>
    </row>
    <row r="720" spans="1:185" ht="12.95" customHeight="1">
      <c r="A720" s="4"/>
      <c r="B720" s="1337"/>
      <c r="C720" s="1338"/>
      <c r="D720" s="1338"/>
      <c r="E720" s="1338"/>
      <c r="F720" s="1339"/>
      <c r="G720" s="1349"/>
      <c r="H720" s="1350"/>
      <c r="I720" s="1350"/>
      <c r="J720" s="1351"/>
      <c r="K720" s="1343"/>
      <c r="L720" s="1344"/>
      <c r="M720" s="1344"/>
      <c r="N720" s="1345"/>
      <c r="O720" s="1340"/>
      <c r="P720" s="1341"/>
      <c r="Q720" s="1341"/>
      <c r="R720" s="1341"/>
      <c r="S720" s="1342"/>
      <c r="T720" s="1340"/>
      <c r="U720" s="1341"/>
      <c r="V720" s="1341"/>
      <c r="W720" s="1342"/>
      <c r="X720" s="1352">
        <f t="shared" si="13"/>
        <v>0</v>
      </c>
      <c r="Y720" s="1353"/>
      <c r="Z720" s="1353"/>
      <c r="AA720" s="1353"/>
      <c r="AB720" s="1354"/>
      <c r="AC720" s="1359"/>
      <c r="AD720" s="1360"/>
      <c r="AE720" s="1360"/>
      <c r="AF720" s="1360"/>
      <c r="AG720" s="1361"/>
      <c r="AH720" s="1355" t="str">
        <f t="shared" si="41"/>
        <v/>
      </c>
      <c r="AI720" s="1356"/>
      <c r="AJ720" s="1357"/>
      <c r="AK720" s="1337" t="s">
        <v>591</v>
      </c>
      <c r="AL720" s="1338"/>
      <c r="AM720" s="1338"/>
      <c r="AN720" s="1338"/>
      <c r="AO720" s="1339"/>
      <c r="AP720" s="3"/>
      <c r="AQ720" s="3"/>
      <c r="AR720" s="3"/>
      <c r="AS720" s="3"/>
      <c r="AZ720" s="118" t="str">
        <f t="shared" si="14"/>
        <v>N/A</v>
      </c>
      <c r="BA720" s="3"/>
      <c r="BB720" s="3"/>
      <c r="BC720" s="3"/>
      <c r="BD720" s="3"/>
      <c r="BE720" s="204"/>
      <c r="BF720" s="294">
        <f t="shared" si="15"/>
        <v>0</v>
      </c>
      <c r="BG720" s="297">
        <f t="shared" si="16"/>
        <v>0</v>
      </c>
      <c r="BH720" s="298" t="str">
        <f t="shared" si="17"/>
        <v/>
      </c>
      <c r="BI720" s="3"/>
      <c r="BJ720" s="3"/>
      <c r="BK720" s="3"/>
      <c r="BL720" s="3"/>
      <c r="BM720" s="3"/>
      <c r="BN720" s="3"/>
      <c r="BS720" s="294">
        <f t="shared" si="18"/>
        <v>0</v>
      </c>
      <c r="BT720" s="297">
        <f t="shared" si="19"/>
        <v>0</v>
      </c>
      <c r="BU720" s="298" t="str">
        <f t="shared" si="20"/>
        <v/>
      </c>
      <c r="CC720" s="3"/>
      <c r="CD720" s="3"/>
      <c r="CE720" s="3"/>
      <c r="CF720" s="3"/>
      <c r="CG720" s="1469">
        <f t="shared" si="42"/>
        <v>0</v>
      </c>
      <c r="CH720" s="1470"/>
      <c r="CI720" s="1477">
        <f t="shared" si="43"/>
        <v>0</v>
      </c>
      <c r="CJ720" s="1478"/>
      <c r="CK720" s="1469">
        <f t="shared" si="21"/>
        <v>0</v>
      </c>
      <c r="CL720" s="1470"/>
      <c r="CM720" s="1477">
        <f t="shared" si="22"/>
        <v>0</v>
      </c>
      <c r="CN720" s="1478"/>
      <c r="CO720" s="3"/>
      <c r="CP720" s="1471">
        <f t="shared" si="23"/>
        <v>0</v>
      </c>
      <c r="CQ720" s="1472"/>
      <c r="CR720" s="1472"/>
      <c r="CS720" s="1472"/>
      <c r="CT720" s="1473"/>
      <c r="CU720" s="1445">
        <f t="shared" si="24"/>
        <v>0</v>
      </c>
      <c r="CV720" s="1445"/>
      <c r="CW720" s="1445"/>
      <c r="CX720" s="1445"/>
      <c r="CY720" s="1445"/>
      <c r="CZ720" s="1445">
        <f t="shared" si="25"/>
        <v>0</v>
      </c>
      <c r="DA720" s="1445"/>
      <c r="DB720" s="1445"/>
      <c r="DC720" s="1445"/>
      <c r="DD720" s="1445"/>
      <c r="DE720" s="1445">
        <f t="shared" si="26"/>
        <v>0</v>
      </c>
      <c r="DF720" s="1445"/>
      <c r="DG720" s="1445"/>
      <c r="DH720" s="1445"/>
      <c r="DI720" s="1445"/>
      <c r="DJ720" s="1445">
        <f t="shared" si="27"/>
        <v>0</v>
      </c>
      <c r="DK720" s="1445"/>
      <c r="DL720" s="1445"/>
      <c r="DM720" s="1445"/>
      <c r="DN720" s="1445"/>
      <c r="DO720" s="1445">
        <f t="shared" si="28"/>
        <v>0</v>
      </c>
      <c r="DP720" s="1445"/>
      <c r="DQ720" s="1445"/>
      <c r="DR720" s="1445"/>
      <c r="DS720" s="1445"/>
      <c r="DT720" s="6"/>
      <c r="DU720" s="1444">
        <f t="shared" si="29"/>
        <v>0</v>
      </c>
      <c r="DV720" s="1444"/>
      <c r="DW720" s="1444"/>
      <c r="DX720" s="1444"/>
      <c r="DY720" s="1444"/>
      <c r="DZ720" s="1444">
        <f t="shared" si="30"/>
        <v>0</v>
      </c>
      <c r="EA720" s="1444"/>
      <c r="EB720" s="1444"/>
      <c r="EC720" s="1444"/>
      <c r="ED720" s="1444"/>
      <c r="EE720" s="1444">
        <f t="shared" si="31"/>
        <v>0</v>
      </c>
      <c r="EF720" s="1444"/>
      <c r="EG720" s="1444"/>
      <c r="EH720" s="1444"/>
      <c r="EI720" s="1444"/>
      <c r="EJ720" s="1444">
        <f t="shared" si="32"/>
        <v>0</v>
      </c>
      <c r="EK720" s="1444"/>
      <c r="EL720" s="1444"/>
      <c r="EM720" s="1444"/>
      <c r="EN720" s="1444"/>
      <c r="EO720" s="1444">
        <f t="shared" si="33"/>
        <v>0</v>
      </c>
      <c r="EP720" s="1444"/>
      <c r="EQ720" s="1444"/>
      <c r="ER720" s="1444"/>
      <c r="ES720" s="1444"/>
      <c r="ET720" s="1444">
        <f t="shared" si="34"/>
        <v>0</v>
      </c>
      <c r="EU720" s="1444"/>
      <c r="EV720" s="1444"/>
      <c r="EW720" s="1444"/>
      <c r="EX720" s="1444"/>
      <c r="EZ720" s="1469" t="str">
        <f t="shared" si="35"/>
        <v/>
      </c>
      <c r="FA720" s="1480"/>
      <c r="FB720" s="1480"/>
      <c r="FC720" s="1480"/>
      <c r="FD720" s="1470"/>
      <c r="FE720" s="1469" t="str">
        <f t="shared" si="36"/>
        <v/>
      </c>
      <c r="FF720" s="1480"/>
      <c r="FG720" s="1480"/>
      <c r="FH720" s="1480"/>
      <c r="FI720" s="1470"/>
      <c r="FJ720" s="1469" t="str">
        <f t="shared" si="37"/>
        <v/>
      </c>
      <c r="FK720" s="1480"/>
      <c r="FL720" s="1480"/>
      <c r="FM720" s="1480"/>
      <c r="FN720" s="1470"/>
      <c r="FO720" s="1469" t="str">
        <f t="shared" si="38"/>
        <v/>
      </c>
      <c r="FP720" s="1480"/>
      <c r="FQ720" s="1480"/>
      <c r="FR720" s="1480"/>
      <c r="FS720" s="1470"/>
      <c r="FT720" s="1469" t="str">
        <f t="shared" si="39"/>
        <v/>
      </c>
      <c r="FU720" s="1480"/>
      <c r="FV720" s="1480"/>
      <c r="FW720" s="1480"/>
      <c r="FX720" s="1470"/>
      <c r="FY720" s="1469" t="str">
        <f t="shared" si="40"/>
        <v/>
      </c>
      <c r="FZ720" s="1480"/>
      <c r="GA720" s="1480"/>
      <c r="GB720" s="1480"/>
      <c r="GC720" s="1470"/>
    </row>
    <row r="721" spans="1:185" ht="12.95" customHeight="1">
      <c r="B721" s="1337"/>
      <c r="C721" s="1338"/>
      <c r="D721" s="1338"/>
      <c r="E721" s="1338"/>
      <c r="F721" s="1339"/>
      <c r="G721" s="1349"/>
      <c r="H721" s="1350"/>
      <c r="I721" s="1350"/>
      <c r="J721" s="1351"/>
      <c r="K721" s="1343"/>
      <c r="L721" s="1344"/>
      <c r="M721" s="1344"/>
      <c r="N721" s="1345"/>
      <c r="O721" s="1340"/>
      <c r="P721" s="1341"/>
      <c r="Q721" s="1341"/>
      <c r="R721" s="1341"/>
      <c r="S721" s="1342"/>
      <c r="T721" s="1340"/>
      <c r="U721" s="1341"/>
      <c r="V721" s="1341"/>
      <c r="W721" s="1342"/>
      <c r="X721" s="1352">
        <f t="shared" si="13"/>
        <v>0</v>
      </c>
      <c r="Y721" s="1353"/>
      <c r="Z721" s="1353"/>
      <c r="AA721" s="1353"/>
      <c r="AB721" s="1354"/>
      <c r="AC721" s="1359"/>
      <c r="AD721" s="1360"/>
      <c r="AE721" s="1360"/>
      <c r="AF721" s="1360"/>
      <c r="AG721" s="1361"/>
      <c r="AH721" s="1355" t="str">
        <f t="shared" si="41"/>
        <v/>
      </c>
      <c r="AI721" s="1356"/>
      <c r="AJ721" s="1357"/>
      <c r="AK721" s="1337" t="s">
        <v>591</v>
      </c>
      <c r="AL721" s="1338"/>
      <c r="AM721" s="1338"/>
      <c r="AN721" s="1338"/>
      <c r="AO721" s="1339"/>
      <c r="AP721" s="3"/>
      <c r="AQ721" s="3"/>
      <c r="AR721" s="3"/>
      <c r="AS721" s="3"/>
      <c r="AY721" s="116"/>
      <c r="AZ721" s="118" t="str">
        <f t="shared" si="14"/>
        <v>N/A</v>
      </c>
      <c r="BA721" s="3"/>
      <c r="BB721" s="3"/>
      <c r="BC721" s="3"/>
      <c r="BD721" s="3"/>
      <c r="BE721" s="204"/>
      <c r="BF721" s="294">
        <f t="shared" si="15"/>
        <v>0</v>
      </c>
      <c r="BG721" s="297">
        <f t="shared" si="16"/>
        <v>0</v>
      </c>
      <c r="BH721" s="298" t="str">
        <f t="shared" si="17"/>
        <v/>
      </c>
      <c r="BI721" s="3"/>
      <c r="BJ721" s="3"/>
      <c r="BK721" s="3"/>
      <c r="BL721" s="3"/>
      <c r="BM721" s="3"/>
      <c r="BN721" s="3"/>
      <c r="BS721" s="294">
        <f t="shared" si="18"/>
        <v>0</v>
      </c>
      <c r="BT721" s="297">
        <f t="shared" si="19"/>
        <v>0</v>
      </c>
      <c r="BU721" s="298" t="str">
        <f t="shared" si="20"/>
        <v/>
      </c>
      <c r="CC721" s="3"/>
      <c r="CD721" s="3"/>
      <c r="CE721" s="3"/>
      <c r="CF721" s="3"/>
      <c r="CG721" s="1469">
        <f t="shared" si="42"/>
        <v>0</v>
      </c>
      <c r="CH721" s="1470"/>
      <c r="CI721" s="1477">
        <f t="shared" si="43"/>
        <v>0</v>
      </c>
      <c r="CJ721" s="1478"/>
      <c r="CK721" s="1469">
        <f t="shared" si="21"/>
        <v>0</v>
      </c>
      <c r="CL721" s="1470"/>
      <c r="CM721" s="1477">
        <f t="shared" si="22"/>
        <v>0</v>
      </c>
      <c r="CN721" s="1478"/>
      <c r="CO721" s="3"/>
      <c r="CP721" s="1471">
        <f t="shared" si="23"/>
        <v>0</v>
      </c>
      <c r="CQ721" s="1472"/>
      <c r="CR721" s="1472"/>
      <c r="CS721" s="1472"/>
      <c r="CT721" s="1473"/>
      <c r="CU721" s="1445">
        <f t="shared" si="24"/>
        <v>0</v>
      </c>
      <c r="CV721" s="1445"/>
      <c r="CW721" s="1445"/>
      <c r="CX721" s="1445"/>
      <c r="CY721" s="1445"/>
      <c r="CZ721" s="1445">
        <f t="shared" si="25"/>
        <v>0</v>
      </c>
      <c r="DA721" s="1445"/>
      <c r="DB721" s="1445"/>
      <c r="DC721" s="1445"/>
      <c r="DD721" s="1445"/>
      <c r="DE721" s="1445">
        <f t="shared" si="26"/>
        <v>0</v>
      </c>
      <c r="DF721" s="1445"/>
      <c r="DG721" s="1445"/>
      <c r="DH721" s="1445"/>
      <c r="DI721" s="1445"/>
      <c r="DJ721" s="1445">
        <f t="shared" si="27"/>
        <v>0</v>
      </c>
      <c r="DK721" s="1445"/>
      <c r="DL721" s="1445"/>
      <c r="DM721" s="1445"/>
      <c r="DN721" s="1445"/>
      <c r="DO721" s="1445">
        <f t="shared" si="28"/>
        <v>0</v>
      </c>
      <c r="DP721" s="1445"/>
      <c r="DQ721" s="1445"/>
      <c r="DR721" s="1445"/>
      <c r="DS721" s="1445"/>
      <c r="DT721" s="6"/>
      <c r="DU721" s="1444">
        <f t="shared" si="29"/>
        <v>0</v>
      </c>
      <c r="DV721" s="1444"/>
      <c r="DW721" s="1444"/>
      <c r="DX721" s="1444"/>
      <c r="DY721" s="1444"/>
      <c r="DZ721" s="1444">
        <f t="shared" si="30"/>
        <v>0</v>
      </c>
      <c r="EA721" s="1444"/>
      <c r="EB721" s="1444"/>
      <c r="EC721" s="1444"/>
      <c r="ED721" s="1444"/>
      <c r="EE721" s="1444">
        <f t="shared" si="31"/>
        <v>0</v>
      </c>
      <c r="EF721" s="1444"/>
      <c r="EG721" s="1444"/>
      <c r="EH721" s="1444"/>
      <c r="EI721" s="1444"/>
      <c r="EJ721" s="1444">
        <f t="shared" si="32"/>
        <v>0</v>
      </c>
      <c r="EK721" s="1444"/>
      <c r="EL721" s="1444"/>
      <c r="EM721" s="1444"/>
      <c r="EN721" s="1444"/>
      <c r="EO721" s="1444">
        <f t="shared" si="33"/>
        <v>0</v>
      </c>
      <c r="EP721" s="1444"/>
      <c r="EQ721" s="1444"/>
      <c r="ER721" s="1444"/>
      <c r="ES721" s="1444"/>
      <c r="ET721" s="1444">
        <f t="shared" si="34"/>
        <v>0</v>
      </c>
      <c r="EU721" s="1444"/>
      <c r="EV721" s="1444"/>
      <c r="EW721" s="1444"/>
      <c r="EX721" s="1444"/>
      <c r="EZ721" s="1469" t="str">
        <f t="shared" si="35"/>
        <v/>
      </c>
      <c r="FA721" s="1480"/>
      <c r="FB721" s="1480"/>
      <c r="FC721" s="1480"/>
      <c r="FD721" s="1470"/>
      <c r="FE721" s="1469" t="str">
        <f t="shared" si="36"/>
        <v/>
      </c>
      <c r="FF721" s="1480"/>
      <c r="FG721" s="1480"/>
      <c r="FH721" s="1480"/>
      <c r="FI721" s="1470"/>
      <c r="FJ721" s="1469" t="str">
        <f t="shared" si="37"/>
        <v/>
      </c>
      <c r="FK721" s="1480"/>
      <c r="FL721" s="1480"/>
      <c r="FM721" s="1480"/>
      <c r="FN721" s="1470"/>
      <c r="FO721" s="1469" t="str">
        <f t="shared" si="38"/>
        <v/>
      </c>
      <c r="FP721" s="1480"/>
      <c r="FQ721" s="1480"/>
      <c r="FR721" s="1480"/>
      <c r="FS721" s="1470"/>
      <c r="FT721" s="1469" t="str">
        <f t="shared" si="39"/>
        <v/>
      </c>
      <c r="FU721" s="1480"/>
      <c r="FV721" s="1480"/>
      <c r="FW721" s="1480"/>
      <c r="FX721" s="1470"/>
      <c r="FY721" s="1469" t="str">
        <f t="shared" si="40"/>
        <v/>
      </c>
      <c r="FZ721" s="1480"/>
      <c r="GA721" s="1480"/>
      <c r="GB721" s="1480"/>
      <c r="GC721" s="1470"/>
    </row>
    <row r="722" spans="1:185" ht="12.95" customHeight="1">
      <c r="B722" s="1337"/>
      <c r="C722" s="1338"/>
      <c r="D722" s="1338"/>
      <c r="E722" s="1338"/>
      <c r="F722" s="1339"/>
      <c r="G722" s="1349"/>
      <c r="H722" s="1350"/>
      <c r="I722" s="1350"/>
      <c r="J722" s="1351"/>
      <c r="K722" s="1343"/>
      <c r="L722" s="1344"/>
      <c r="M722" s="1344"/>
      <c r="N722" s="1345"/>
      <c r="O722" s="1340"/>
      <c r="P722" s="1341"/>
      <c r="Q722" s="1341"/>
      <c r="R722" s="1341"/>
      <c r="S722" s="1342"/>
      <c r="T722" s="1340"/>
      <c r="U722" s="1341"/>
      <c r="V722" s="1341"/>
      <c r="W722" s="1342"/>
      <c r="X722" s="1352">
        <f t="shared" si="13"/>
        <v>0</v>
      </c>
      <c r="Y722" s="1353"/>
      <c r="Z722" s="1353"/>
      <c r="AA722" s="1353"/>
      <c r="AB722" s="1354"/>
      <c r="AC722" s="1359"/>
      <c r="AD722" s="1360"/>
      <c r="AE722" s="1360"/>
      <c r="AF722" s="1360"/>
      <c r="AG722" s="1361"/>
      <c r="AH722" s="1355" t="str">
        <f t="shared" si="41"/>
        <v/>
      </c>
      <c r="AI722" s="1356"/>
      <c r="AJ722" s="1357"/>
      <c r="AK722" s="1337" t="s">
        <v>591</v>
      </c>
      <c r="AL722" s="1338"/>
      <c r="AM722" s="1338"/>
      <c r="AN722" s="1338"/>
      <c r="AO722" s="1339"/>
      <c r="AP722" s="3"/>
      <c r="AQ722" s="3"/>
      <c r="AR722" s="3"/>
      <c r="AS722" s="3"/>
      <c r="AY722" s="116"/>
      <c r="AZ722" s="118" t="str">
        <f t="shared" si="14"/>
        <v>N/A</v>
      </c>
      <c r="BA722" s="3"/>
      <c r="BB722" s="3"/>
      <c r="BC722" s="3"/>
      <c r="BD722" s="3"/>
      <c r="BE722" s="204"/>
      <c r="BF722" s="294">
        <f t="shared" si="15"/>
        <v>0</v>
      </c>
      <c r="BG722" s="297">
        <f t="shared" si="16"/>
        <v>0</v>
      </c>
      <c r="BH722" s="298" t="str">
        <f t="shared" si="17"/>
        <v/>
      </c>
      <c r="BI722" s="3"/>
      <c r="BJ722" s="3"/>
      <c r="BK722" s="3"/>
      <c r="BL722" s="3"/>
      <c r="BM722" s="3"/>
      <c r="BN722" s="3"/>
      <c r="BS722" s="294">
        <f t="shared" si="18"/>
        <v>0</v>
      </c>
      <c r="BT722" s="297">
        <f t="shared" si="19"/>
        <v>0</v>
      </c>
      <c r="BU722" s="298" t="str">
        <f t="shared" si="20"/>
        <v/>
      </c>
      <c r="CC722" s="3"/>
      <c r="CD722" s="3"/>
      <c r="CE722" s="3"/>
      <c r="CF722" s="3"/>
      <c r="CG722" s="1469">
        <f t="shared" si="42"/>
        <v>0</v>
      </c>
      <c r="CH722" s="1470"/>
      <c r="CI722" s="1477">
        <f t="shared" si="43"/>
        <v>0</v>
      </c>
      <c r="CJ722" s="1478"/>
      <c r="CK722" s="1469">
        <f t="shared" si="21"/>
        <v>0</v>
      </c>
      <c r="CL722" s="1470"/>
      <c r="CM722" s="1477">
        <f t="shared" si="22"/>
        <v>0</v>
      </c>
      <c r="CN722" s="1478"/>
      <c r="CO722" s="3"/>
      <c r="CP722" s="1471">
        <f t="shared" si="23"/>
        <v>0</v>
      </c>
      <c r="CQ722" s="1472"/>
      <c r="CR722" s="1472"/>
      <c r="CS722" s="1472"/>
      <c r="CT722" s="1473"/>
      <c r="CU722" s="1445">
        <f t="shared" si="24"/>
        <v>0</v>
      </c>
      <c r="CV722" s="1445"/>
      <c r="CW722" s="1445"/>
      <c r="CX722" s="1445"/>
      <c r="CY722" s="1445"/>
      <c r="CZ722" s="1445">
        <f t="shared" si="25"/>
        <v>0</v>
      </c>
      <c r="DA722" s="1445"/>
      <c r="DB722" s="1445"/>
      <c r="DC722" s="1445"/>
      <c r="DD722" s="1445"/>
      <c r="DE722" s="1445">
        <f t="shared" si="26"/>
        <v>0</v>
      </c>
      <c r="DF722" s="1445"/>
      <c r="DG722" s="1445"/>
      <c r="DH722" s="1445"/>
      <c r="DI722" s="1445"/>
      <c r="DJ722" s="1445">
        <f t="shared" si="27"/>
        <v>0</v>
      </c>
      <c r="DK722" s="1445"/>
      <c r="DL722" s="1445"/>
      <c r="DM722" s="1445"/>
      <c r="DN722" s="1445"/>
      <c r="DO722" s="1445">
        <f t="shared" si="28"/>
        <v>0</v>
      </c>
      <c r="DP722" s="1445"/>
      <c r="DQ722" s="1445"/>
      <c r="DR722" s="1445"/>
      <c r="DS722" s="1445"/>
      <c r="DT722" s="6"/>
      <c r="DU722" s="1444">
        <f t="shared" si="29"/>
        <v>0</v>
      </c>
      <c r="DV722" s="1444"/>
      <c r="DW722" s="1444"/>
      <c r="DX722" s="1444"/>
      <c r="DY722" s="1444"/>
      <c r="DZ722" s="1444">
        <f t="shared" si="30"/>
        <v>0</v>
      </c>
      <c r="EA722" s="1444"/>
      <c r="EB722" s="1444"/>
      <c r="EC722" s="1444"/>
      <c r="ED722" s="1444"/>
      <c r="EE722" s="1444">
        <f t="shared" si="31"/>
        <v>0</v>
      </c>
      <c r="EF722" s="1444"/>
      <c r="EG722" s="1444"/>
      <c r="EH722" s="1444"/>
      <c r="EI722" s="1444"/>
      <c r="EJ722" s="1444">
        <f t="shared" si="32"/>
        <v>0</v>
      </c>
      <c r="EK722" s="1444"/>
      <c r="EL722" s="1444"/>
      <c r="EM722" s="1444"/>
      <c r="EN722" s="1444"/>
      <c r="EO722" s="1444">
        <f t="shared" si="33"/>
        <v>0</v>
      </c>
      <c r="EP722" s="1444"/>
      <c r="EQ722" s="1444"/>
      <c r="ER722" s="1444"/>
      <c r="ES722" s="1444"/>
      <c r="ET722" s="1444">
        <f t="shared" si="34"/>
        <v>0</v>
      </c>
      <c r="EU722" s="1444"/>
      <c r="EV722" s="1444"/>
      <c r="EW722" s="1444"/>
      <c r="EX722" s="1444"/>
      <c r="EZ722" s="1469" t="str">
        <f t="shared" si="35"/>
        <v/>
      </c>
      <c r="FA722" s="1480"/>
      <c r="FB722" s="1480"/>
      <c r="FC722" s="1480"/>
      <c r="FD722" s="1470"/>
      <c r="FE722" s="1469" t="str">
        <f t="shared" si="36"/>
        <v/>
      </c>
      <c r="FF722" s="1480"/>
      <c r="FG722" s="1480"/>
      <c r="FH722" s="1480"/>
      <c r="FI722" s="1470"/>
      <c r="FJ722" s="1469" t="str">
        <f t="shared" si="37"/>
        <v/>
      </c>
      <c r="FK722" s="1480"/>
      <c r="FL722" s="1480"/>
      <c r="FM722" s="1480"/>
      <c r="FN722" s="1470"/>
      <c r="FO722" s="1469" t="str">
        <f t="shared" si="38"/>
        <v/>
      </c>
      <c r="FP722" s="1480"/>
      <c r="FQ722" s="1480"/>
      <c r="FR722" s="1480"/>
      <c r="FS722" s="1470"/>
      <c r="FT722" s="1469" t="str">
        <f t="shared" si="39"/>
        <v/>
      </c>
      <c r="FU722" s="1480"/>
      <c r="FV722" s="1480"/>
      <c r="FW722" s="1480"/>
      <c r="FX722" s="1470"/>
      <c r="FY722" s="1469" t="str">
        <f t="shared" si="40"/>
        <v/>
      </c>
      <c r="FZ722" s="1480"/>
      <c r="GA722" s="1480"/>
      <c r="GB722" s="1480"/>
      <c r="GC722" s="1470"/>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13"/>
        <v>0</v>
      </c>
      <c r="Y723" s="1353"/>
      <c r="Z723" s="1353"/>
      <c r="AA723" s="1353"/>
      <c r="AB723" s="1354"/>
      <c r="AC723" s="1359"/>
      <c r="AD723" s="1360"/>
      <c r="AE723" s="1360"/>
      <c r="AF723" s="1360"/>
      <c r="AG723" s="1361"/>
      <c r="AH723" s="1355" t="str">
        <f t="shared" si="41"/>
        <v/>
      </c>
      <c r="AI723" s="1356"/>
      <c r="AJ723" s="1357"/>
      <c r="AK723" s="1337" t="s">
        <v>591</v>
      </c>
      <c r="AL723" s="1338"/>
      <c r="AM723" s="1338"/>
      <c r="AN723" s="1338"/>
      <c r="AO723" s="1339"/>
      <c r="AP723" s="3"/>
      <c r="AQ723" s="3"/>
      <c r="AR723" s="3"/>
      <c r="AS723" s="3"/>
      <c r="AY723" s="116"/>
      <c r="AZ723" s="118" t="str">
        <f t="shared" si="14"/>
        <v>N/A</v>
      </c>
      <c r="BA723" s="3"/>
      <c r="BB723" s="3"/>
      <c r="BC723" s="3"/>
      <c r="BD723" s="3"/>
      <c r="BE723" s="204"/>
      <c r="BF723" s="294">
        <f t="shared" si="15"/>
        <v>0</v>
      </c>
      <c r="BG723" s="297">
        <f t="shared" si="16"/>
        <v>0</v>
      </c>
      <c r="BH723" s="298" t="str">
        <f t="shared" si="17"/>
        <v/>
      </c>
      <c r="BI723" s="3"/>
      <c r="BJ723" s="3"/>
      <c r="BK723" s="3"/>
      <c r="BL723" s="3"/>
      <c r="BM723" s="3"/>
      <c r="BN723" s="3"/>
      <c r="BS723" s="294">
        <f t="shared" si="18"/>
        <v>0</v>
      </c>
      <c r="BT723" s="297">
        <f t="shared" si="19"/>
        <v>0</v>
      </c>
      <c r="BU723" s="298" t="str">
        <f t="shared" si="20"/>
        <v/>
      </c>
      <c r="CC723" s="3"/>
      <c r="CD723" s="3"/>
      <c r="CE723" s="3"/>
      <c r="CF723" s="3"/>
      <c r="CG723" s="1469">
        <f t="shared" si="42"/>
        <v>0</v>
      </c>
      <c r="CH723" s="1470"/>
      <c r="CI723" s="1477">
        <f t="shared" si="43"/>
        <v>0</v>
      </c>
      <c r="CJ723" s="1478"/>
      <c r="CK723" s="1469">
        <f t="shared" si="21"/>
        <v>0</v>
      </c>
      <c r="CL723" s="1470"/>
      <c r="CM723" s="1477">
        <f t="shared" si="22"/>
        <v>0</v>
      </c>
      <c r="CN723" s="1478"/>
      <c r="CO723" s="3"/>
      <c r="CP723" s="1471">
        <f t="shared" si="23"/>
        <v>0</v>
      </c>
      <c r="CQ723" s="1472"/>
      <c r="CR723" s="1472"/>
      <c r="CS723" s="1472"/>
      <c r="CT723" s="1473"/>
      <c r="CU723" s="1445">
        <f t="shared" si="24"/>
        <v>0</v>
      </c>
      <c r="CV723" s="1445"/>
      <c r="CW723" s="1445"/>
      <c r="CX723" s="1445"/>
      <c r="CY723" s="1445"/>
      <c r="CZ723" s="1445">
        <f t="shared" si="25"/>
        <v>0</v>
      </c>
      <c r="DA723" s="1445"/>
      <c r="DB723" s="1445"/>
      <c r="DC723" s="1445"/>
      <c r="DD723" s="1445"/>
      <c r="DE723" s="1445">
        <f t="shared" si="26"/>
        <v>0</v>
      </c>
      <c r="DF723" s="1445"/>
      <c r="DG723" s="1445"/>
      <c r="DH723" s="1445"/>
      <c r="DI723" s="1445"/>
      <c r="DJ723" s="1445">
        <f t="shared" si="27"/>
        <v>0</v>
      </c>
      <c r="DK723" s="1445"/>
      <c r="DL723" s="1445"/>
      <c r="DM723" s="1445"/>
      <c r="DN723" s="1445"/>
      <c r="DO723" s="1445">
        <f t="shared" si="28"/>
        <v>0</v>
      </c>
      <c r="DP723" s="1445"/>
      <c r="DQ723" s="1445"/>
      <c r="DR723" s="1445"/>
      <c r="DS723" s="1445"/>
      <c r="DT723" s="6"/>
      <c r="DU723" s="1444">
        <f t="shared" si="29"/>
        <v>0</v>
      </c>
      <c r="DV723" s="1444"/>
      <c r="DW723" s="1444"/>
      <c r="DX723" s="1444"/>
      <c r="DY723" s="1444"/>
      <c r="DZ723" s="1444">
        <f t="shared" si="30"/>
        <v>0</v>
      </c>
      <c r="EA723" s="1444"/>
      <c r="EB723" s="1444"/>
      <c r="EC723" s="1444"/>
      <c r="ED723" s="1444"/>
      <c r="EE723" s="1444">
        <f t="shared" si="31"/>
        <v>0</v>
      </c>
      <c r="EF723" s="1444"/>
      <c r="EG723" s="1444"/>
      <c r="EH723" s="1444"/>
      <c r="EI723" s="1444"/>
      <c r="EJ723" s="1444">
        <f t="shared" si="32"/>
        <v>0</v>
      </c>
      <c r="EK723" s="1444"/>
      <c r="EL723" s="1444"/>
      <c r="EM723" s="1444"/>
      <c r="EN723" s="1444"/>
      <c r="EO723" s="1444">
        <f t="shared" si="33"/>
        <v>0</v>
      </c>
      <c r="EP723" s="1444"/>
      <c r="EQ723" s="1444"/>
      <c r="ER723" s="1444"/>
      <c r="ES723" s="1444"/>
      <c r="ET723" s="1444">
        <f t="shared" si="34"/>
        <v>0</v>
      </c>
      <c r="EU723" s="1444"/>
      <c r="EV723" s="1444"/>
      <c r="EW723" s="1444"/>
      <c r="EX723" s="1444"/>
      <c r="EZ723" s="1469" t="str">
        <f t="shared" si="35"/>
        <v/>
      </c>
      <c r="FA723" s="1480"/>
      <c r="FB723" s="1480"/>
      <c r="FC723" s="1480"/>
      <c r="FD723" s="1470"/>
      <c r="FE723" s="1469" t="str">
        <f t="shared" si="36"/>
        <v/>
      </c>
      <c r="FF723" s="1480"/>
      <c r="FG723" s="1480"/>
      <c r="FH723" s="1480"/>
      <c r="FI723" s="1470"/>
      <c r="FJ723" s="1469" t="str">
        <f t="shared" si="37"/>
        <v/>
      </c>
      <c r="FK723" s="1480"/>
      <c r="FL723" s="1480"/>
      <c r="FM723" s="1480"/>
      <c r="FN723" s="1470"/>
      <c r="FO723" s="1469" t="str">
        <f t="shared" si="38"/>
        <v/>
      </c>
      <c r="FP723" s="1480"/>
      <c r="FQ723" s="1480"/>
      <c r="FR723" s="1480"/>
      <c r="FS723" s="1470"/>
      <c r="FT723" s="1469" t="str">
        <f t="shared" si="39"/>
        <v/>
      </c>
      <c r="FU723" s="1480"/>
      <c r="FV723" s="1480"/>
      <c r="FW723" s="1480"/>
      <c r="FX723" s="1470"/>
      <c r="FY723" s="1469" t="str">
        <f t="shared" si="40"/>
        <v/>
      </c>
      <c r="FZ723" s="1480"/>
      <c r="GA723" s="1480"/>
      <c r="GB723" s="1480"/>
      <c r="GC723" s="1470"/>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13"/>
        <v>0</v>
      </c>
      <c r="Y724" s="1353"/>
      <c r="Z724" s="1353"/>
      <c r="AA724" s="1353"/>
      <c r="AB724" s="1354"/>
      <c r="AC724" s="1359"/>
      <c r="AD724" s="1360"/>
      <c r="AE724" s="1360"/>
      <c r="AF724" s="1360"/>
      <c r="AG724" s="1361"/>
      <c r="AH724" s="1355" t="str">
        <f t="shared" si="41"/>
        <v/>
      </c>
      <c r="AI724" s="1356"/>
      <c r="AJ724" s="1357"/>
      <c r="AK724" s="1337" t="s">
        <v>591</v>
      </c>
      <c r="AL724" s="1338"/>
      <c r="AM724" s="1338"/>
      <c r="AN724" s="1338"/>
      <c r="AO724" s="1339"/>
      <c r="AP724" s="3"/>
      <c r="AQ724" s="3"/>
      <c r="AR724" s="3"/>
      <c r="AS724" s="3"/>
      <c r="AY724" s="116"/>
      <c r="AZ724" s="118" t="str">
        <f t="shared" si="14"/>
        <v>N/A</v>
      </c>
      <c r="BA724" s="3"/>
      <c r="BB724" s="3"/>
      <c r="BC724" s="3"/>
      <c r="BD724" s="3"/>
      <c r="BE724" s="204"/>
      <c r="BF724" s="294">
        <f t="shared" si="15"/>
        <v>0</v>
      </c>
      <c r="BG724" s="297">
        <f t="shared" si="16"/>
        <v>0</v>
      </c>
      <c r="BH724" s="298" t="str">
        <f t="shared" si="17"/>
        <v/>
      </c>
      <c r="BI724" s="3"/>
      <c r="BJ724" s="3"/>
      <c r="BK724" s="3"/>
      <c r="BL724" s="3"/>
      <c r="BM724" s="3"/>
      <c r="BN724" s="3"/>
      <c r="BS724" s="294">
        <f t="shared" si="18"/>
        <v>0</v>
      </c>
      <c r="BT724" s="297">
        <f t="shared" si="19"/>
        <v>0</v>
      </c>
      <c r="BU724" s="298" t="str">
        <f t="shared" si="20"/>
        <v/>
      </c>
      <c r="CC724" s="3"/>
      <c r="CE724" s="3"/>
      <c r="CF724" s="3"/>
      <c r="CG724" s="1469">
        <f t="shared" si="42"/>
        <v>0</v>
      </c>
      <c r="CH724" s="1470"/>
      <c r="CI724" s="1477">
        <f t="shared" si="43"/>
        <v>0</v>
      </c>
      <c r="CJ724" s="1478"/>
      <c r="CK724" s="1469">
        <f t="shared" si="21"/>
        <v>0</v>
      </c>
      <c r="CL724" s="1470"/>
      <c r="CM724" s="1477">
        <f t="shared" si="22"/>
        <v>0</v>
      </c>
      <c r="CN724" s="1478"/>
      <c r="CO724" s="3"/>
      <c r="CP724" s="1471">
        <f t="shared" si="23"/>
        <v>0</v>
      </c>
      <c r="CQ724" s="1472"/>
      <c r="CR724" s="1472"/>
      <c r="CS724" s="1472"/>
      <c r="CT724" s="1473"/>
      <c r="CU724" s="1445">
        <f t="shared" si="24"/>
        <v>0</v>
      </c>
      <c r="CV724" s="1445"/>
      <c r="CW724" s="1445"/>
      <c r="CX724" s="1445"/>
      <c r="CY724" s="1445"/>
      <c r="CZ724" s="1445">
        <f t="shared" si="25"/>
        <v>0</v>
      </c>
      <c r="DA724" s="1445"/>
      <c r="DB724" s="1445"/>
      <c r="DC724" s="1445"/>
      <c r="DD724" s="1445"/>
      <c r="DE724" s="1445">
        <f t="shared" si="26"/>
        <v>0</v>
      </c>
      <c r="DF724" s="1445"/>
      <c r="DG724" s="1445"/>
      <c r="DH724" s="1445"/>
      <c r="DI724" s="1445"/>
      <c r="DJ724" s="1445">
        <f t="shared" si="27"/>
        <v>0</v>
      </c>
      <c r="DK724" s="1445"/>
      <c r="DL724" s="1445"/>
      <c r="DM724" s="1445"/>
      <c r="DN724" s="1445"/>
      <c r="DO724" s="1445">
        <f t="shared" si="28"/>
        <v>0</v>
      </c>
      <c r="DP724" s="1445"/>
      <c r="DQ724" s="1445"/>
      <c r="DR724" s="1445"/>
      <c r="DS724" s="1445"/>
      <c r="DT724" s="6"/>
      <c r="DU724" s="1444">
        <f t="shared" si="29"/>
        <v>0</v>
      </c>
      <c r="DV724" s="1444"/>
      <c r="DW724" s="1444"/>
      <c r="DX724" s="1444"/>
      <c r="DY724" s="1444"/>
      <c r="DZ724" s="1444">
        <f t="shared" si="30"/>
        <v>0</v>
      </c>
      <c r="EA724" s="1444"/>
      <c r="EB724" s="1444"/>
      <c r="EC724" s="1444"/>
      <c r="ED724" s="1444"/>
      <c r="EE724" s="1444">
        <f t="shared" si="31"/>
        <v>0</v>
      </c>
      <c r="EF724" s="1444"/>
      <c r="EG724" s="1444"/>
      <c r="EH724" s="1444"/>
      <c r="EI724" s="1444"/>
      <c r="EJ724" s="1444">
        <f t="shared" si="32"/>
        <v>0</v>
      </c>
      <c r="EK724" s="1444"/>
      <c r="EL724" s="1444"/>
      <c r="EM724" s="1444"/>
      <c r="EN724" s="1444"/>
      <c r="EO724" s="1444">
        <f t="shared" si="33"/>
        <v>0</v>
      </c>
      <c r="EP724" s="1444"/>
      <c r="EQ724" s="1444"/>
      <c r="ER724" s="1444"/>
      <c r="ES724" s="1444"/>
      <c r="ET724" s="1444">
        <f t="shared" si="34"/>
        <v>0</v>
      </c>
      <c r="EU724" s="1444"/>
      <c r="EV724" s="1444"/>
      <c r="EW724" s="1444"/>
      <c r="EX724" s="1444"/>
      <c r="EZ724" s="1469" t="str">
        <f t="shared" si="35"/>
        <v/>
      </c>
      <c r="FA724" s="1480"/>
      <c r="FB724" s="1480"/>
      <c r="FC724" s="1480"/>
      <c r="FD724" s="1470"/>
      <c r="FE724" s="1469" t="str">
        <f t="shared" si="36"/>
        <v/>
      </c>
      <c r="FF724" s="1480"/>
      <c r="FG724" s="1480"/>
      <c r="FH724" s="1480"/>
      <c r="FI724" s="1470"/>
      <c r="FJ724" s="1469" t="str">
        <f t="shared" si="37"/>
        <v/>
      </c>
      <c r="FK724" s="1480"/>
      <c r="FL724" s="1480"/>
      <c r="FM724" s="1480"/>
      <c r="FN724" s="1470"/>
      <c r="FO724" s="1469" t="str">
        <f t="shared" si="38"/>
        <v/>
      </c>
      <c r="FP724" s="1480"/>
      <c r="FQ724" s="1480"/>
      <c r="FR724" s="1480"/>
      <c r="FS724" s="1470"/>
      <c r="FT724" s="1469" t="str">
        <f t="shared" si="39"/>
        <v/>
      </c>
      <c r="FU724" s="1480"/>
      <c r="FV724" s="1480"/>
      <c r="FW724" s="1480"/>
      <c r="FX724" s="1470"/>
      <c r="FY724" s="1469" t="str">
        <f t="shared" si="40"/>
        <v/>
      </c>
      <c r="FZ724" s="1480"/>
      <c r="GA724" s="1480"/>
      <c r="GB724" s="1480"/>
      <c r="GC724" s="1470"/>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13"/>
        <v>0</v>
      </c>
      <c r="Y725" s="1353"/>
      <c r="Z725" s="1353"/>
      <c r="AA725" s="1353"/>
      <c r="AB725" s="1354"/>
      <c r="AC725" s="1359"/>
      <c r="AD725" s="1360"/>
      <c r="AE725" s="1360"/>
      <c r="AF725" s="1360"/>
      <c r="AG725" s="1361"/>
      <c r="AH725" s="1355" t="str">
        <f t="shared" si="41"/>
        <v/>
      </c>
      <c r="AI725" s="1356"/>
      <c r="AJ725" s="1357"/>
      <c r="AK725" s="1337" t="s">
        <v>591</v>
      </c>
      <c r="AL725" s="1338"/>
      <c r="AM725" s="1338"/>
      <c r="AN725" s="1338"/>
      <c r="AO725" s="1339"/>
      <c r="AP725" s="3"/>
      <c r="AQ725" s="3"/>
      <c r="AR725" s="3"/>
      <c r="AS725" s="3"/>
      <c r="AY725" s="1085"/>
      <c r="AZ725" s="118" t="str">
        <f t="shared" si="14"/>
        <v>N/A</v>
      </c>
      <c r="BA725" s="3"/>
      <c r="BB725" s="3"/>
      <c r="BC725" s="3"/>
      <c r="BD725" s="3"/>
      <c r="BE725" s="204"/>
      <c r="BF725" s="294">
        <f t="shared" si="15"/>
        <v>0</v>
      </c>
      <c r="BG725" s="297">
        <f t="shared" si="16"/>
        <v>0</v>
      </c>
      <c r="BH725" s="298" t="str">
        <f t="shared" si="17"/>
        <v/>
      </c>
      <c r="BI725" s="3"/>
      <c r="BJ725" s="3"/>
      <c r="BK725" s="3"/>
      <c r="BL725" s="3"/>
      <c r="BM725" s="3"/>
      <c r="BN725" s="3"/>
      <c r="BS725" s="294">
        <f t="shared" si="18"/>
        <v>0</v>
      </c>
      <c r="BT725" s="297">
        <f t="shared" si="19"/>
        <v>0</v>
      </c>
      <c r="BU725" s="298" t="str">
        <f t="shared" si="20"/>
        <v/>
      </c>
      <c r="BV725" s="292"/>
      <c r="BW725" s="3"/>
      <c r="BX725" s="3"/>
      <c r="BY725" s="3"/>
      <c r="BZ725" s="3"/>
      <c r="CA725" s="3"/>
      <c r="CB725" s="3"/>
      <c r="CC725" s="3"/>
      <c r="CE725" s="3"/>
      <c r="CF725" s="3"/>
      <c r="CG725" s="1469">
        <f t="shared" si="42"/>
        <v>0</v>
      </c>
      <c r="CH725" s="1470"/>
      <c r="CI725" s="1477">
        <f t="shared" si="43"/>
        <v>0</v>
      </c>
      <c r="CJ725" s="1478"/>
      <c r="CK725" s="1469">
        <f t="shared" si="21"/>
        <v>0</v>
      </c>
      <c r="CL725" s="1470"/>
      <c r="CM725" s="1477">
        <f t="shared" si="22"/>
        <v>0</v>
      </c>
      <c r="CN725" s="1478"/>
      <c r="CO725" s="3"/>
      <c r="CP725" s="1471">
        <f t="shared" si="23"/>
        <v>0</v>
      </c>
      <c r="CQ725" s="1472"/>
      <c r="CR725" s="1472"/>
      <c r="CS725" s="1472"/>
      <c r="CT725" s="1473"/>
      <c r="CU725" s="1445">
        <f t="shared" si="24"/>
        <v>0</v>
      </c>
      <c r="CV725" s="1445"/>
      <c r="CW725" s="1445"/>
      <c r="CX725" s="1445"/>
      <c r="CY725" s="1445"/>
      <c r="CZ725" s="1445">
        <f t="shared" si="25"/>
        <v>0</v>
      </c>
      <c r="DA725" s="1445"/>
      <c r="DB725" s="1445"/>
      <c r="DC725" s="1445"/>
      <c r="DD725" s="1445"/>
      <c r="DE725" s="1445">
        <f t="shared" si="26"/>
        <v>0</v>
      </c>
      <c r="DF725" s="1445"/>
      <c r="DG725" s="1445"/>
      <c r="DH725" s="1445"/>
      <c r="DI725" s="1445"/>
      <c r="DJ725" s="1445">
        <f t="shared" si="27"/>
        <v>0</v>
      </c>
      <c r="DK725" s="1445"/>
      <c r="DL725" s="1445"/>
      <c r="DM725" s="1445"/>
      <c r="DN725" s="1445"/>
      <c r="DO725" s="1445">
        <f t="shared" si="28"/>
        <v>0</v>
      </c>
      <c r="DP725" s="1445"/>
      <c r="DQ725" s="1445"/>
      <c r="DR725" s="1445"/>
      <c r="DS725" s="1445"/>
      <c r="DT725" s="6"/>
      <c r="DU725" s="1444">
        <f t="shared" si="29"/>
        <v>0</v>
      </c>
      <c r="DV725" s="1444"/>
      <c r="DW725" s="1444"/>
      <c r="DX725" s="1444"/>
      <c r="DY725" s="1444"/>
      <c r="DZ725" s="1444">
        <f t="shared" si="30"/>
        <v>0</v>
      </c>
      <c r="EA725" s="1444"/>
      <c r="EB725" s="1444"/>
      <c r="EC725" s="1444"/>
      <c r="ED725" s="1444"/>
      <c r="EE725" s="1444">
        <f t="shared" si="31"/>
        <v>0</v>
      </c>
      <c r="EF725" s="1444"/>
      <c r="EG725" s="1444"/>
      <c r="EH725" s="1444"/>
      <c r="EI725" s="1444"/>
      <c r="EJ725" s="1444">
        <f t="shared" si="32"/>
        <v>0</v>
      </c>
      <c r="EK725" s="1444"/>
      <c r="EL725" s="1444"/>
      <c r="EM725" s="1444"/>
      <c r="EN725" s="1444"/>
      <c r="EO725" s="1444">
        <f t="shared" si="33"/>
        <v>0</v>
      </c>
      <c r="EP725" s="1444"/>
      <c r="EQ725" s="1444"/>
      <c r="ER725" s="1444"/>
      <c r="ES725" s="1444"/>
      <c r="ET725" s="1444">
        <f t="shared" si="34"/>
        <v>0</v>
      </c>
      <c r="EU725" s="1444"/>
      <c r="EV725" s="1444"/>
      <c r="EW725" s="1444"/>
      <c r="EX725" s="1444"/>
      <c r="EZ725" s="1469" t="str">
        <f t="shared" si="35"/>
        <v/>
      </c>
      <c r="FA725" s="1480"/>
      <c r="FB725" s="1480"/>
      <c r="FC725" s="1480"/>
      <c r="FD725" s="1470"/>
      <c r="FE725" s="1469" t="str">
        <f t="shared" si="36"/>
        <v/>
      </c>
      <c r="FF725" s="1480"/>
      <c r="FG725" s="1480"/>
      <c r="FH725" s="1480"/>
      <c r="FI725" s="1470"/>
      <c r="FJ725" s="1469" t="str">
        <f t="shared" si="37"/>
        <v/>
      </c>
      <c r="FK725" s="1480"/>
      <c r="FL725" s="1480"/>
      <c r="FM725" s="1480"/>
      <c r="FN725" s="1470"/>
      <c r="FO725" s="1469" t="str">
        <f t="shared" si="38"/>
        <v/>
      </c>
      <c r="FP725" s="1480"/>
      <c r="FQ725" s="1480"/>
      <c r="FR725" s="1480"/>
      <c r="FS725" s="1470"/>
      <c r="FT725" s="1469" t="str">
        <f t="shared" si="39"/>
        <v/>
      </c>
      <c r="FU725" s="1480"/>
      <c r="FV725" s="1480"/>
      <c r="FW725" s="1480"/>
      <c r="FX725" s="1470"/>
      <c r="FY725" s="1469" t="str">
        <f t="shared" si="40"/>
        <v/>
      </c>
      <c r="FZ725" s="1480"/>
      <c r="GA725" s="1480"/>
      <c r="GB725" s="1480"/>
      <c r="GC725" s="1470"/>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13"/>
        <v>0</v>
      </c>
      <c r="Y726" s="1353"/>
      <c r="Z726" s="1353"/>
      <c r="AA726" s="1353"/>
      <c r="AB726" s="1354"/>
      <c r="AC726" s="1359"/>
      <c r="AD726" s="1360"/>
      <c r="AE726" s="1360"/>
      <c r="AF726" s="1360"/>
      <c r="AG726" s="1361"/>
      <c r="AH726" s="1355" t="str">
        <f t="shared" si="41"/>
        <v/>
      </c>
      <c r="AI726" s="1356"/>
      <c r="AJ726" s="1357"/>
      <c r="AK726" s="1337" t="s">
        <v>591</v>
      </c>
      <c r="AL726" s="1338"/>
      <c r="AM726" s="1338"/>
      <c r="AN726" s="1338"/>
      <c r="AO726" s="1339"/>
      <c r="AP726" s="3"/>
      <c r="AQ726" s="3"/>
      <c r="AR726" s="3"/>
      <c r="AS726" s="3"/>
      <c r="AY726" s="1085"/>
      <c r="AZ726" s="118" t="str">
        <f t="shared" si="14"/>
        <v>N/A</v>
      </c>
      <c r="BA726" s="3"/>
      <c r="BB726" s="3"/>
      <c r="BC726" s="3"/>
      <c r="BD726" s="3"/>
      <c r="BE726" s="204"/>
      <c r="BF726" s="294">
        <f t="shared" si="15"/>
        <v>0</v>
      </c>
      <c r="BG726" s="297">
        <f t="shared" si="16"/>
        <v>0</v>
      </c>
      <c r="BH726" s="298" t="str">
        <f t="shared" si="17"/>
        <v/>
      </c>
      <c r="BI726" s="3"/>
      <c r="BJ726" s="3"/>
      <c r="BK726" s="3"/>
      <c r="BL726" s="3"/>
      <c r="BM726" s="3"/>
      <c r="BN726" s="3"/>
      <c r="BS726" s="294">
        <f t="shared" si="18"/>
        <v>0</v>
      </c>
      <c r="BT726" s="297">
        <f t="shared" si="19"/>
        <v>0</v>
      </c>
      <c r="BU726" s="298" t="str">
        <f t="shared" si="20"/>
        <v/>
      </c>
      <c r="BV726" s="3"/>
      <c r="BW726" s="3"/>
      <c r="BX726" s="3"/>
      <c r="BY726" s="3"/>
      <c r="BZ726" s="3"/>
      <c r="CA726" s="3"/>
      <c r="CB726" s="3"/>
      <c r="CC726" s="3"/>
      <c r="CE726" s="3"/>
      <c r="CF726" s="3"/>
      <c r="CG726" s="1469">
        <f t="shared" si="42"/>
        <v>0</v>
      </c>
      <c r="CH726" s="1470"/>
      <c r="CI726" s="1477">
        <f t="shared" si="43"/>
        <v>0</v>
      </c>
      <c r="CJ726" s="1478"/>
      <c r="CK726" s="1469">
        <f t="shared" si="21"/>
        <v>0</v>
      </c>
      <c r="CL726" s="1470"/>
      <c r="CM726" s="1477">
        <f t="shared" si="22"/>
        <v>0</v>
      </c>
      <c r="CN726" s="1478"/>
      <c r="CO726" s="3"/>
      <c r="CP726" s="1471">
        <f t="shared" si="23"/>
        <v>0</v>
      </c>
      <c r="CQ726" s="1472"/>
      <c r="CR726" s="1472"/>
      <c r="CS726" s="1472"/>
      <c r="CT726" s="1473"/>
      <c r="CU726" s="1445">
        <f t="shared" si="24"/>
        <v>0</v>
      </c>
      <c r="CV726" s="1445"/>
      <c r="CW726" s="1445"/>
      <c r="CX726" s="1445"/>
      <c r="CY726" s="1445"/>
      <c r="CZ726" s="1445">
        <f t="shared" si="25"/>
        <v>0</v>
      </c>
      <c r="DA726" s="1445"/>
      <c r="DB726" s="1445"/>
      <c r="DC726" s="1445"/>
      <c r="DD726" s="1445"/>
      <c r="DE726" s="1445">
        <f t="shared" si="26"/>
        <v>0</v>
      </c>
      <c r="DF726" s="1445"/>
      <c r="DG726" s="1445"/>
      <c r="DH726" s="1445"/>
      <c r="DI726" s="1445"/>
      <c r="DJ726" s="1445">
        <f t="shared" si="27"/>
        <v>0</v>
      </c>
      <c r="DK726" s="1445"/>
      <c r="DL726" s="1445"/>
      <c r="DM726" s="1445"/>
      <c r="DN726" s="1445"/>
      <c r="DO726" s="1445">
        <f t="shared" si="28"/>
        <v>0</v>
      </c>
      <c r="DP726" s="1445"/>
      <c r="DQ726" s="1445"/>
      <c r="DR726" s="1445"/>
      <c r="DS726" s="1445"/>
      <c r="DT726" s="6"/>
      <c r="DU726" s="1444">
        <f t="shared" si="29"/>
        <v>0</v>
      </c>
      <c r="DV726" s="1444"/>
      <c r="DW726" s="1444"/>
      <c r="DX726" s="1444"/>
      <c r="DY726" s="1444"/>
      <c r="DZ726" s="1444">
        <f t="shared" si="30"/>
        <v>0</v>
      </c>
      <c r="EA726" s="1444"/>
      <c r="EB726" s="1444"/>
      <c r="EC726" s="1444"/>
      <c r="ED726" s="1444"/>
      <c r="EE726" s="1444">
        <f t="shared" si="31"/>
        <v>0</v>
      </c>
      <c r="EF726" s="1444"/>
      <c r="EG726" s="1444"/>
      <c r="EH726" s="1444"/>
      <c r="EI726" s="1444"/>
      <c r="EJ726" s="1444">
        <f t="shared" si="32"/>
        <v>0</v>
      </c>
      <c r="EK726" s="1444"/>
      <c r="EL726" s="1444"/>
      <c r="EM726" s="1444"/>
      <c r="EN726" s="1444"/>
      <c r="EO726" s="1444">
        <f t="shared" si="33"/>
        <v>0</v>
      </c>
      <c r="EP726" s="1444"/>
      <c r="EQ726" s="1444"/>
      <c r="ER726" s="1444"/>
      <c r="ES726" s="1444"/>
      <c r="ET726" s="1444">
        <f t="shared" si="34"/>
        <v>0</v>
      </c>
      <c r="EU726" s="1444"/>
      <c r="EV726" s="1444"/>
      <c r="EW726" s="1444"/>
      <c r="EX726" s="1444"/>
      <c r="EY726" s="4"/>
      <c r="EZ726" s="1469" t="str">
        <f t="shared" si="35"/>
        <v/>
      </c>
      <c r="FA726" s="1480"/>
      <c r="FB726" s="1480"/>
      <c r="FC726" s="1480"/>
      <c r="FD726" s="1470"/>
      <c r="FE726" s="1469" t="str">
        <f t="shared" si="36"/>
        <v/>
      </c>
      <c r="FF726" s="1480"/>
      <c r="FG726" s="1480"/>
      <c r="FH726" s="1480"/>
      <c r="FI726" s="1470"/>
      <c r="FJ726" s="1469" t="str">
        <f t="shared" si="37"/>
        <v/>
      </c>
      <c r="FK726" s="1480"/>
      <c r="FL726" s="1480"/>
      <c r="FM726" s="1480"/>
      <c r="FN726" s="1470"/>
      <c r="FO726" s="1469" t="str">
        <f t="shared" si="38"/>
        <v/>
      </c>
      <c r="FP726" s="1480"/>
      <c r="FQ726" s="1480"/>
      <c r="FR726" s="1480"/>
      <c r="FS726" s="1470"/>
      <c r="FT726" s="1469" t="str">
        <f t="shared" si="39"/>
        <v/>
      </c>
      <c r="FU726" s="1480"/>
      <c r="FV726" s="1480"/>
      <c r="FW726" s="1480"/>
      <c r="FX726" s="1470"/>
      <c r="FY726" s="1469" t="str">
        <f t="shared" si="40"/>
        <v/>
      </c>
      <c r="FZ726" s="1480"/>
      <c r="GA726" s="1480"/>
      <c r="GB726" s="1480"/>
      <c r="GC726" s="1470"/>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13"/>
        <v>0</v>
      </c>
      <c r="Y727" s="1353"/>
      <c r="Z727" s="1353"/>
      <c r="AA727" s="1353"/>
      <c r="AB727" s="1354"/>
      <c r="AC727" s="1359"/>
      <c r="AD727" s="1360"/>
      <c r="AE727" s="1360"/>
      <c r="AF727" s="1360"/>
      <c r="AG727" s="1361"/>
      <c r="AH727" s="1355" t="str">
        <f t="shared" si="41"/>
        <v/>
      </c>
      <c r="AI727" s="1356"/>
      <c r="AJ727" s="1357"/>
      <c r="AK727" s="1337" t="s">
        <v>591</v>
      </c>
      <c r="AL727" s="1338"/>
      <c r="AM727" s="1338"/>
      <c r="AN727" s="1338"/>
      <c r="AO727" s="1339"/>
      <c r="AP727" s="3"/>
      <c r="AQ727" s="3"/>
      <c r="AR727" s="3"/>
      <c r="AS727" s="3"/>
      <c r="AY727" s="1085"/>
      <c r="AZ727" s="118" t="str">
        <f t="shared" si="14"/>
        <v>N/A</v>
      </c>
      <c r="BA727" s="3"/>
      <c r="BB727" s="3"/>
      <c r="BC727" s="3"/>
      <c r="BD727" s="3"/>
      <c r="BE727" s="204"/>
      <c r="BF727" s="294">
        <f t="shared" si="15"/>
        <v>0</v>
      </c>
      <c r="BG727" s="297">
        <f t="shared" si="16"/>
        <v>0</v>
      </c>
      <c r="BH727" s="298" t="str">
        <f t="shared" si="17"/>
        <v/>
      </c>
      <c r="BI727" s="3"/>
      <c r="BJ727" s="3"/>
      <c r="BK727" s="3"/>
      <c r="BL727" s="3"/>
      <c r="BM727" s="3"/>
      <c r="BN727" s="3"/>
      <c r="BS727" s="294">
        <f t="shared" si="18"/>
        <v>0</v>
      </c>
      <c r="BT727" s="297">
        <f t="shared" si="19"/>
        <v>0</v>
      </c>
      <c r="BU727" s="298" t="str">
        <f t="shared" si="20"/>
        <v/>
      </c>
      <c r="BV727" s="3"/>
      <c r="BW727" s="3"/>
      <c r="BX727" s="3"/>
      <c r="BY727" s="3"/>
      <c r="BZ727" s="3"/>
      <c r="CA727" s="3"/>
      <c r="CB727" s="3"/>
      <c r="CC727" s="3"/>
      <c r="CE727" s="3"/>
      <c r="CF727" s="3"/>
      <c r="CG727" s="1469">
        <f t="shared" si="42"/>
        <v>0</v>
      </c>
      <c r="CH727" s="1470"/>
      <c r="CI727" s="1477">
        <f t="shared" si="43"/>
        <v>0</v>
      </c>
      <c r="CJ727" s="1478"/>
      <c r="CK727" s="1469">
        <f t="shared" si="21"/>
        <v>0</v>
      </c>
      <c r="CL727" s="1470"/>
      <c r="CM727" s="1477">
        <f t="shared" si="22"/>
        <v>0</v>
      </c>
      <c r="CN727" s="1478"/>
      <c r="CO727" s="3"/>
      <c r="CP727" s="1471">
        <f t="shared" si="23"/>
        <v>0</v>
      </c>
      <c r="CQ727" s="1472"/>
      <c r="CR727" s="1472"/>
      <c r="CS727" s="1472"/>
      <c r="CT727" s="1473"/>
      <c r="CU727" s="1445">
        <f t="shared" si="24"/>
        <v>0</v>
      </c>
      <c r="CV727" s="1445"/>
      <c r="CW727" s="1445"/>
      <c r="CX727" s="1445"/>
      <c r="CY727" s="1445"/>
      <c r="CZ727" s="1445">
        <f t="shared" si="25"/>
        <v>0</v>
      </c>
      <c r="DA727" s="1445"/>
      <c r="DB727" s="1445"/>
      <c r="DC727" s="1445"/>
      <c r="DD727" s="1445"/>
      <c r="DE727" s="1445">
        <f t="shared" si="26"/>
        <v>0</v>
      </c>
      <c r="DF727" s="1445"/>
      <c r="DG727" s="1445"/>
      <c r="DH727" s="1445"/>
      <c r="DI727" s="1445"/>
      <c r="DJ727" s="1445">
        <f t="shared" si="27"/>
        <v>0</v>
      </c>
      <c r="DK727" s="1445"/>
      <c r="DL727" s="1445"/>
      <c r="DM727" s="1445"/>
      <c r="DN727" s="1445"/>
      <c r="DO727" s="1445">
        <f t="shared" si="28"/>
        <v>0</v>
      </c>
      <c r="DP727" s="1445"/>
      <c r="DQ727" s="1445"/>
      <c r="DR727" s="1445"/>
      <c r="DS727" s="1445"/>
      <c r="DT727" s="6"/>
      <c r="DU727" s="1444">
        <f t="shared" si="29"/>
        <v>0</v>
      </c>
      <c r="DV727" s="1444"/>
      <c r="DW727" s="1444"/>
      <c r="DX727" s="1444"/>
      <c r="DY727" s="1444"/>
      <c r="DZ727" s="1444">
        <f t="shared" si="30"/>
        <v>0</v>
      </c>
      <c r="EA727" s="1444"/>
      <c r="EB727" s="1444"/>
      <c r="EC727" s="1444"/>
      <c r="ED727" s="1444"/>
      <c r="EE727" s="1444">
        <f t="shared" si="31"/>
        <v>0</v>
      </c>
      <c r="EF727" s="1444"/>
      <c r="EG727" s="1444"/>
      <c r="EH727" s="1444"/>
      <c r="EI727" s="1444"/>
      <c r="EJ727" s="1444">
        <f t="shared" si="32"/>
        <v>0</v>
      </c>
      <c r="EK727" s="1444"/>
      <c r="EL727" s="1444"/>
      <c r="EM727" s="1444"/>
      <c r="EN727" s="1444"/>
      <c r="EO727" s="1444">
        <f t="shared" si="33"/>
        <v>0</v>
      </c>
      <c r="EP727" s="1444"/>
      <c r="EQ727" s="1444"/>
      <c r="ER727" s="1444"/>
      <c r="ES727" s="1444"/>
      <c r="ET727" s="1444">
        <f t="shared" si="34"/>
        <v>0</v>
      </c>
      <c r="EU727" s="1444"/>
      <c r="EV727" s="1444"/>
      <c r="EW727" s="1444"/>
      <c r="EX727" s="1444"/>
      <c r="EY727" s="4"/>
      <c r="EZ727" s="1469" t="str">
        <f t="shared" si="35"/>
        <v/>
      </c>
      <c r="FA727" s="1480"/>
      <c r="FB727" s="1480"/>
      <c r="FC727" s="1480"/>
      <c r="FD727" s="1470"/>
      <c r="FE727" s="1469" t="str">
        <f t="shared" si="36"/>
        <v/>
      </c>
      <c r="FF727" s="1480"/>
      <c r="FG727" s="1480"/>
      <c r="FH727" s="1480"/>
      <c r="FI727" s="1470"/>
      <c r="FJ727" s="1469" t="str">
        <f t="shared" si="37"/>
        <v/>
      </c>
      <c r="FK727" s="1480"/>
      <c r="FL727" s="1480"/>
      <c r="FM727" s="1480"/>
      <c r="FN727" s="1470"/>
      <c r="FO727" s="1469" t="str">
        <f t="shared" si="38"/>
        <v/>
      </c>
      <c r="FP727" s="1480"/>
      <c r="FQ727" s="1480"/>
      <c r="FR727" s="1480"/>
      <c r="FS727" s="1470"/>
      <c r="FT727" s="1469" t="str">
        <f t="shared" si="39"/>
        <v/>
      </c>
      <c r="FU727" s="1480"/>
      <c r="FV727" s="1480"/>
      <c r="FW727" s="1480"/>
      <c r="FX727" s="1470"/>
      <c r="FY727" s="1469" t="str">
        <f t="shared" si="40"/>
        <v/>
      </c>
      <c r="FZ727" s="1480"/>
      <c r="GA727" s="1480"/>
      <c r="GB727" s="1480"/>
      <c r="GC727" s="1470"/>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13"/>
        <v>0</v>
      </c>
      <c r="Y728" s="1353"/>
      <c r="Z728" s="1353"/>
      <c r="AA728" s="1353"/>
      <c r="AB728" s="1354"/>
      <c r="AC728" s="1359"/>
      <c r="AD728" s="1360"/>
      <c r="AE728" s="1360"/>
      <c r="AF728" s="1360"/>
      <c r="AG728" s="1361"/>
      <c r="AH728" s="1355" t="str">
        <f t="shared" si="41"/>
        <v/>
      </c>
      <c r="AI728" s="1356"/>
      <c r="AJ728" s="1357"/>
      <c r="AK728" s="1337" t="s">
        <v>591</v>
      </c>
      <c r="AL728" s="1338"/>
      <c r="AM728" s="1338"/>
      <c r="AN728" s="1338"/>
      <c r="AO728" s="1339"/>
      <c r="AP728" s="3"/>
      <c r="AQ728" s="3"/>
      <c r="AR728" s="3"/>
      <c r="AS728" s="3"/>
      <c r="AY728" s="1085"/>
      <c r="AZ728" s="118" t="str">
        <f t="shared" si="14"/>
        <v>N/A</v>
      </c>
      <c r="BA728" s="3"/>
      <c r="BB728" s="3"/>
      <c r="BC728" s="3"/>
      <c r="BD728" s="3"/>
      <c r="BE728" s="204"/>
      <c r="BF728" s="294">
        <f t="shared" si="15"/>
        <v>0</v>
      </c>
      <c r="BG728" s="297">
        <f t="shared" si="16"/>
        <v>0</v>
      </c>
      <c r="BH728" s="298" t="str">
        <f t="shared" si="17"/>
        <v/>
      </c>
      <c r="BI728" s="3"/>
      <c r="BJ728" s="3"/>
      <c r="BK728" s="3"/>
      <c r="BL728" s="3"/>
      <c r="BM728" s="3"/>
      <c r="BN728" s="3"/>
      <c r="BS728" s="294">
        <f t="shared" si="18"/>
        <v>0</v>
      </c>
      <c r="BT728" s="297">
        <f t="shared" si="19"/>
        <v>0</v>
      </c>
      <c r="BU728" s="298" t="str">
        <f t="shared" si="20"/>
        <v/>
      </c>
      <c r="BV728" s="3"/>
      <c r="BW728" s="3"/>
      <c r="BX728" s="3"/>
      <c r="BY728" s="3"/>
      <c r="BZ728" s="3"/>
      <c r="CA728" s="3"/>
      <c r="CB728" s="3"/>
      <c r="CC728" s="3"/>
      <c r="CE728" s="3"/>
      <c r="CF728" s="3"/>
      <c r="CG728" s="1469">
        <f t="shared" si="42"/>
        <v>0</v>
      </c>
      <c r="CH728" s="1470"/>
      <c r="CI728" s="1477">
        <f t="shared" si="43"/>
        <v>0</v>
      </c>
      <c r="CJ728" s="1478"/>
      <c r="CK728" s="1469">
        <f t="shared" si="21"/>
        <v>0</v>
      </c>
      <c r="CL728" s="1470"/>
      <c r="CM728" s="1477">
        <f t="shared" si="22"/>
        <v>0</v>
      </c>
      <c r="CN728" s="1478"/>
      <c r="CO728" s="3"/>
      <c r="CP728" s="1471">
        <f t="shared" si="23"/>
        <v>0</v>
      </c>
      <c r="CQ728" s="1472"/>
      <c r="CR728" s="1472"/>
      <c r="CS728" s="1472"/>
      <c r="CT728" s="1473"/>
      <c r="CU728" s="1445">
        <f t="shared" si="24"/>
        <v>0</v>
      </c>
      <c r="CV728" s="1445"/>
      <c r="CW728" s="1445"/>
      <c r="CX728" s="1445"/>
      <c r="CY728" s="1445"/>
      <c r="CZ728" s="1445">
        <f t="shared" si="25"/>
        <v>0</v>
      </c>
      <c r="DA728" s="1445"/>
      <c r="DB728" s="1445"/>
      <c r="DC728" s="1445"/>
      <c r="DD728" s="1445"/>
      <c r="DE728" s="1445">
        <f t="shared" si="26"/>
        <v>0</v>
      </c>
      <c r="DF728" s="1445"/>
      <c r="DG728" s="1445"/>
      <c r="DH728" s="1445"/>
      <c r="DI728" s="1445"/>
      <c r="DJ728" s="1445">
        <f t="shared" si="27"/>
        <v>0</v>
      </c>
      <c r="DK728" s="1445"/>
      <c r="DL728" s="1445"/>
      <c r="DM728" s="1445"/>
      <c r="DN728" s="1445"/>
      <c r="DO728" s="1445">
        <f t="shared" si="28"/>
        <v>0</v>
      </c>
      <c r="DP728" s="1445"/>
      <c r="DQ728" s="1445"/>
      <c r="DR728" s="1445"/>
      <c r="DS728" s="1445"/>
      <c r="DT728" s="6"/>
      <c r="DU728" s="1444">
        <f t="shared" si="29"/>
        <v>0</v>
      </c>
      <c r="DV728" s="1444"/>
      <c r="DW728" s="1444"/>
      <c r="DX728" s="1444"/>
      <c r="DY728" s="1444"/>
      <c r="DZ728" s="1444">
        <f t="shared" si="30"/>
        <v>0</v>
      </c>
      <c r="EA728" s="1444"/>
      <c r="EB728" s="1444"/>
      <c r="EC728" s="1444"/>
      <c r="ED728" s="1444"/>
      <c r="EE728" s="1444">
        <f t="shared" si="31"/>
        <v>0</v>
      </c>
      <c r="EF728" s="1444"/>
      <c r="EG728" s="1444"/>
      <c r="EH728" s="1444"/>
      <c r="EI728" s="1444"/>
      <c r="EJ728" s="1444">
        <f t="shared" si="32"/>
        <v>0</v>
      </c>
      <c r="EK728" s="1444"/>
      <c r="EL728" s="1444"/>
      <c r="EM728" s="1444"/>
      <c r="EN728" s="1444"/>
      <c r="EO728" s="1444">
        <f t="shared" si="33"/>
        <v>0</v>
      </c>
      <c r="EP728" s="1444"/>
      <c r="EQ728" s="1444"/>
      <c r="ER728" s="1444"/>
      <c r="ES728" s="1444"/>
      <c r="ET728" s="1444">
        <f t="shared" si="34"/>
        <v>0</v>
      </c>
      <c r="EU728" s="1444"/>
      <c r="EV728" s="1444"/>
      <c r="EW728" s="1444"/>
      <c r="EX728" s="1444"/>
      <c r="EY728" s="4"/>
      <c r="EZ728" s="1469" t="str">
        <f t="shared" si="35"/>
        <v/>
      </c>
      <c r="FA728" s="1480"/>
      <c r="FB728" s="1480"/>
      <c r="FC728" s="1480"/>
      <c r="FD728" s="1470"/>
      <c r="FE728" s="1469" t="str">
        <f t="shared" si="36"/>
        <v/>
      </c>
      <c r="FF728" s="1480"/>
      <c r="FG728" s="1480"/>
      <c r="FH728" s="1480"/>
      <c r="FI728" s="1470"/>
      <c r="FJ728" s="1469" t="str">
        <f t="shared" si="37"/>
        <v/>
      </c>
      <c r="FK728" s="1480"/>
      <c r="FL728" s="1480"/>
      <c r="FM728" s="1480"/>
      <c r="FN728" s="1470"/>
      <c r="FO728" s="1469" t="str">
        <f t="shared" si="38"/>
        <v/>
      </c>
      <c r="FP728" s="1480"/>
      <c r="FQ728" s="1480"/>
      <c r="FR728" s="1480"/>
      <c r="FS728" s="1470"/>
      <c r="FT728" s="1469" t="str">
        <f t="shared" si="39"/>
        <v/>
      </c>
      <c r="FU728" s="1480"/>
      <c r="FV728" s="1480"/>
      <c r="FW728" s="1480"/>
      <c r="FX728" s="1470"/>
      <c r="FY728" s="1469" t="str">
        <f t="shared" si="40"/>
        <v/>
      </c>
      <c r="FZ728" s="1480"/>
      <c r="GA728" s="1480"/>
      <c r="GB728" s="1480"/>
      <c r="GC728" s="1470"/>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13"/>
        <v>0</v>
      </c>
      <c r="Y729" s="1353"/>
      <c r="Z729" s="1353"/>
      <c r="AA729" s="1353"/>
      <c r="AB729" s="1354"/>
      <c r="AC729" s="1359"/>
      <c r="AD729" s="1360"/>
      <c r="AE729" s="1360"/>
      <c r="AF729" s="1360"/>
      <c r="AG729" s="1361"/>
      <c r="AH729" s="1355" t="str">
        <f t="shared" si="41"/>
        <v/>
      </c>
      <c r="AI729" s="1356"/>
      <c r="AJ729" s="1357"/>
      <c r="AK729" s="1337" t="s">
        <v>591</v>
      </c>
      <c r="AL729" s="1338"/>
      <c r="AM729" s="1338"/>
      <c r="AN729" s="1338"/>
      <c r="AO729" s="1339"/>
      <c r="AP729" s="3"/>
      <c r="AQ729" s="3"/>
      <c r="AR729" s="3"/>
      <c r="AS729" s="3"/>
      <c r="AY729" s="1085"/>
      <c r="AZ729" s="118" t="str">
        <f t="shared" si="14"/>
        <v>N/A</v>
      </c>
      <c r="BA729" s="3"/>
      <c r="BB729" s="3"/>
      <c r="BC729" s="3"/>
      <c r="BD729" s="3"/>
      <c r="BE729" s="204"/>
      <c r="BF729" s="294">
        <f t="shared" si="15"/>
        <v>0</v>
      </c>
      <c r="BG729" s="297">
        <f t="shared" si="16"/>
        <v>0</v>
      </c>
      <c r="BH729" s="298" t="str">
        <f t="shared" si="17"/>
        <v/>
      </c>
      <c r="BI729" s="3"/>
      <c r="BJ729" s="3"/>
      <c r="BK729" s="3"/>
      <c r="BL729" s="3"/>
      <c r="BM729" s="3"/>
      <c r="BN729" s="3"/>
      <c r="BS729" s="294">
        <f t="shared" si="18"/>
        <v>0</v>
      </c>
      <c r="BT729" s="297">
        <f t="shared" si="19"/>
        <v>0</v>
      </c>
      <c r="BU729" s="298" t="str">
        <f t="shared" si="20"/>
        <v/>
      </c>
      <c r="BV729" s="3"/>
      <c r="BW729" s="3"/>
      <c r="BX729" s="3"/>
      <c r="BY729" s="3"/>
      <c r="BZ729" s="3"/>
      <c r="CA729" s="3"/>
      <c r="CB729" s="3"/>
      <c r="CC729" s="3"/>
      <c r="CE729" s="3"/>
      <c r="CF729" s="3"/>
      <c r="CG729" s="1469">
        <f t="shared" si="42"/>
        <v>0</v>
      </c>
      <c r="CH729" s="1470"/>
      <c r="CI729" s="1477">
        <f t="shared" si="43"/>
        <v>0</v>
      </c>
      <c r="CJ729" s="1478"/>
      <c r="CK729" s="1469">
        <f t="shared" si="21"/>
        <v>0</v>
      </c>
      <c r="CL729" s="1470"/>
      <c r="CM729" s="1477">
        <f t="shared" si="22"/>
        <v>0</v>
      </c>
      <c r="CN729" s="1478"/>
      <c r="CO729" s="3"/>
      <c r="CP729" s="1471">
        <f t="shared" si="23"/>
        <v>0</v>
      </c>
      <c r="CQ729" s="1472"/>
      <c r="CR729" s="1472"/>
      <c r="CS729" s="1472"/>
      <c r="CT729" s="1473"/>
      <c r="CU729" s="1445">
        <f t="shared" si="24"/>
        <v>0</v>
      </c>
      <c r="CV729" s="1445"/>
      <c r="CW729" s="1445"/>
      <c r="CX729" s="1445"/>
      <c r="CY729" s="1445"/>
      <c r="CZ729" s="1445">
        <f t="shared" si="25"/>
        <v>0</v>
      </c>
      <c r="DA729" s="1445"/>
      <c r="DB729" s="1445"/>
      <c r="DC729" s="1445"/>
      <c r="DD729" s="1445"/>
      <c r="DE729" s="1445">
        <f t="shared" si="26"/>
        <v>0</v>
      </c>
      <c r="DF729" s="1445"/>
      <c r="DG729" s="1445"/>
      <c r="DH729" s="1445"/>
      <c r="DI729" s="1445"/>
      <c r="DJ729" s="1445">
        <f t="shared" si="27"/>
        <v>0</v>
      </c>
      <c r="DK729" s="1445"/>
      <c r="DL729" s="1445"/>
      <c r="DM729" s="1445"/>
      <c r="DN729" s="1445"/>
      <c r="DO729" s="1445">
        <f t="shared" si="28"/>
        <v>0</v>
      </c>
      <c r="DP729" s="1445"/>
      <c r="DQ729" s="1445"/>
      <c r="DR729" s="1445"/>
      <c r="DS729" s="1445"/>
      <c r="DT729" s="6"/>
      <c r="DU729" s="1444">
        <f t="shared" si="29"/>
        <v>0</v>
      </c>
      <c r="DV729" s="1444"/>
      <c r="DW729" s="1444"/>
      <c r="DX729" s="1444"/>
      <c r="DY729" s="1444"/>
      <c r="DZ729" s="1444">
        <f t="shared" si="30"/>
        <v>0</v>
      </c>
      <c r="EA729" s="1444"/>
      <c r="EB729" s="1444"/>
      <c r="EC729" s="1444"/>
      <c r="ED729" s="1444"/>
      <c r="EE729" s="1444">
        <f t="shared" si="31"/>
        <v>0</v>
      </c>
      <c r="EF729" s="1444"/>
      <c r="EG729" s="1444"/>
      <c r="EH729" s="1444"/>
      <c r="EI729" s="1444"/>
      <c r="EJ729" s="1444">
        <f t="shared" si="32"/>
        <v>0</v>
      </c>
      <c r="EK729" s="1444"/>
      <c r="EL729" s="1444"/>
      <c r="EM729" s="1444"/>
      <c r="EN729" s="1444"/>
      <c r="EO729" s="1444">
        <f t="shared" si="33"/>
        <v>0</v>
      </c>
      <c r="EP729" s="1444"/>
      <c r="EQ729" s="1444"/>
      <c r="ER729" s="1444"/>
      <c r="ES729" s="1444"/>
      <c r="ET729" s="1444">
        <f t="shared" si="34"/>
        <v>0</v>
      </c>
      <c r="EU729" s="1444"/>
      <c r="EV729" s="1444"/>
      <c r="EW729" s="1444"/>
      <c r="EX729" s="1444"/>
      <c r="EZ729" s="1469" t="str">
        <f t="shared" si="35"/>
        <v/>
      </c>
      <c r="FA729" s="1480"/>
      <c r="FB729" s="1480"/>
      <c r="FC729" s="1480"/>
      <c r="FD729" s="1470"/>
      <c r="FE729" s="1469" t="str">
        <f t="shared" si="36"/>
        <v/>
      </c>
      <c r="FF729" s="1480"/>
      <c r="FG729" s="1480"/>
      <c r="FH729" s="1480"/>
      <c r="FI729" s="1470"/>
      <c r="FJ729" s="1469" t="str">
        <f t="shared" si="37"/>
        <v/>
      </c>
      <c r="FK729" s="1480"/>
      <c r="FL729" s="1480"/>
      <c r="FM729" s="1480"/>
      <c r="FN729" s="1470"/>
      <c r="FO729" s="1469" t="str">
        <f t="shared" si="38"/>
        <v/>
      </c>
      <c r="FP729" s="1480"/>
      <c r="FQ729" s="1480"/>
      <c r="FR729" s="1480"/>
      <c r="FS729" s="1470"/>
      <c r="FT729" s="1469" t="str">
        <f t="shared" si="39"/>
        <v/>
      </c>
      <c r="FU729" s="1480"/>
      <c r="FV729" s="1480"/>
      <c r="FW729" s="1480"/>
      <c r="FX729" s="1470"/>
      <c r="FY729" s="1469" t="str">
        <f t="shared" si="40"/>
        <v/>
      </c>
      <c r="FZ729" s="1480"/>
      <c r="GA729" s="1480"/>
      <c r="GB729" s="1480"/>
      <c r="GC729" s="1470"/>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13"/>
        <v>0</v>
      </c>
      <c r="Y730" s="1353"/>
      <c r="Z730" s="1353"/>
      <c r="AA730" s="1353"/>
      <c r="AB730" s="1354"/>
      <c r="AC730" s="1359"/>
      <c r="AD730" s="1360"/>
      <c r="AE730" s="1360"/>
      <c r="AF730" s="1360"/>
      <c r="AG730" s="1361"/>
      <c r="AH730" s="1355" t="str">
        <f t="shared" si="41"/>
        <v/>
      </c>
      <c r="AI730" s="1356"/>
      <c r="AJ730" s="1357"/>
      <c r="AK730" s="1337" t="s">
        <v>591</v>
      </c>
      <c r="AL730" s="1338"/>
      <c r="AM730" s="1338"/>
      <c r="AN730" s="1338"/>
      <c r="AO730" s="1339"/>
      <c r="AP730" s="3"/>
      <c r="AQ730" s="3"/>
      <c r="AR730" s="3"/>
      <c r="AS730" s="3"/>
      <c r="AY730" s="1085"/>
      <c r="AZ730" s="118" t="str">
        <f t="shared" si="14"/>
        <v>N/A</v>
      </c>
      <c r="BA730" s="3"/>
      <c r="BB730" s="3"/>
      <c r="BC730" s="3"/>
      <c r="BD730" s="3"/>
      <c r="BE730" s="204"/>
      <c r="BF730" s="294">
        <f t="shared" si="15"/>
        <v>0</v>
      </c>
      <c r="BG730" s="297">
        <f t="shared" si="16"/>
        <v>0</v>
      </c>
      <c r="BH730" s="298" t="str">
        <f t="shared" si="17"/>
        <v/>
      </c>
      <c r="BI730" s="3"/>
      <c r="BJ730" s="3"/>
      <c r="BK730" s="3"/>
      <c r="BL730" s="3"/>
      <c r="BM730" s="3"/>
      <c r="BN730" s="3"/>
      <c r="BS730" s="294">
        <f t="shared" si="18"/>
        <v>0</v>
      </c>
      <c r="BT730" s="297">
        <f t="shared" si="19"/>
        <v>0</v>
      </c>
      <c r="BU730" s="298" t="str">
        <f t="shared" si="20"/>
        <v/>
      </c>
      <c r="BV730" s="3"/>
      <c r="BW730" s="3"/>
      <c r="BX730" s="3"/>
      <c r="BY730" s="3"/>
      <c r="BZ730" s="3"/>
      <c r="CA730" s="3"/>
      <c r="CB730" s="3"/>
      <c r="CC730" s="3"/>
      <c r="CE730" s="3"/>
      <c r="CF730" s="3"/>
      <c r="CG730" s="1469">
        <f t="shared" si="42"/>
        <v>0</v>
      </c>
      <c r="CH730" s="1470"/>
      <c r="CI730" s="1477">
        <f t="shared" si="43"/>
        <v>0</v>
      </c>
      <c r="CJ730" s="1478"/>
      <c r="CK730" s="1469">
        <f t="shared" si="21"/>
        <v>0</v>
      </c>
      <c r="CL730" s="1470"/>
      <c r="CM730" s="1477">
        <f t="shared" si="22"/>
        <v>0</v>
      </c>
      <c r="CN730" s="1478"/>
      <c r="CO730" s="3"/>
      <c r="CP730" s="1471">
        <f t="shared" si="23"/>
        <v>0</v>
      </c>
      <c r="CQ730" s="1472"/>
      <c r="CR730" s="1472"/>
      <c r="CS730" s="1472"/>
      <c r="CT730" s="1473"/>
      <c r="CU730" s="1445">
        <f t="shared" si="24"/>
        <v>0</v>
      </c>
      <c r="CV730" s="1445"/>
      <c r="CW730" s="1445"/>
      <c r="CX730" s="1445"/>
      <c r="CY730" s="1445"/>
      <c r="CZ730" s="1445">
        <f t="shared" si="25"/>
        <v>0</v>
      </c>
      <c r="DA730" s="1445"/>
      <c r="DB730" s="1445"/>
      <c r="DC730" s="1445"/>
      <c r="DD730" s="1445"/>
      <c r="DE730" s="1445">
        <f t="shared" si="26"/>
        <v>0</v>
      </c>
      <c r="DF730" s="1445"/>
      <c r="DG730" s="1445"/>
      <c r="DH730" s="1445"/>
      <c r="DI730" s="1445"/>
      <c r="DJ730" s="1445">
        <f t="shared" si="27"/>
        <v>0</v>
      </c>
      <c r="DK730" s="1445"/>
      <c r="DL730" s="1445"/>
      <c r="DM730" s="1445"/>
      <c r="DN730" s="1445"/>
      <c r="DO730" s="1445">
        <f t="shared" si="28"/>
        <v>0</v>
      </c>
      <c r="DP730" s="1445"/>
      <c r="DQ730" s="1445"/>
      <c r="DR730" s="1445"/>
      <c r="DS730" s="1445"/>
      <c r="DT730" s="6"/>
      <c r="DU730" s="1444">
        <f t="shared" si="29"/>
        <v>0</v>
      </c>
      <c r="DV730" s="1444"/>
      <c r="DW730" s="1444"/>
      <c r="DX730" s="1444"/>
      <c r="DY730" s="1444"/>
      <c r="DZ730" s="1444">
        <f t="shared" si="30"/>
        <v>0</v>
      </c>
      <c r="EA730" s="1444"/>
      <c r="EB730" s="1444"/>
      <c r="EC730" s="1444"/>
      <c r="ED730" s="1444"/>
      <c r="EE730" s="1444">
        <f t="shared" si="31"/>
        <v>0</v>
      </c>
      <c r="EF730" s="1444"/>
      <c r="EG730" s="1444"/>
      <c r="EH730" s="1444"/>
      <c r="EI730" s="1444"/>
      <c r="EJ730" s="1444">
        <f t="shared" si="32"/>
        <v>0</v>
      </c>
      <c r="EK730" s="1444"/>
      <c r="EL730" s="1444"/>
      <c r="EM730" s="1444"/>
      <c r="EN730" s="1444"/>
      <c r="EO730" s="1444">
        <f t="shared" si="33"/>
        <v>0</v>
      </c>
      <c r="EP730" s="1444"/>
      <c r="EQ730" s="1444"/>
      <c r="ER730" s="1444"/>
      <c r="ES730" s="1444"/>
      <c r="ET730" s="1444">
        <f t="shared" si="34"/>
        <v>0</v>
      </c>
      <c r="EU730" s="1444"/>
      <c r="EV730" s="1444"/>
      <c r="EW730" s="1444"/>
      <c r="EX730" s="1444"/>
      <c r="EZ730" s="1469" t="str">
        <f t="shared" si="35"/>
        <v/>
      </c>
      <c r="FA730" s="1480"/>
      <c r="FB730" s="1480"/>
      <c r="FC730" s="1480"/>
      <c r="FD730" s="1470"/>
      <c r="FE730" s="1469" t="str">
        <f t="shared" si="36"/>
        <v/>
      </c>
      <c r="FF730" s="1480"/>
      <c r="FG730" s="1480"/>
      <c r="FH730" s="1480"/>
      <c r="FI730" s="1470"/>
      <c r="FJ730" s="1469" t="str">
        <f t="shared" si="37"/>
        <v/>
      </c>
      <c r="FK730" s="1480"/>
      <c r="FL730" s="1480"/>
      <c r="FM730" s="1480"/>
      <c r="FN730" s="1470"/>
      <c r="FO730" s="1469" t="str">
        <f t="shared" si="38"/>
        <v/>
      </c>
      <c r="FP730" s="1480"/>
      <c r="FQ730" s="1480"/>
      <c r="FR730" s="1480"/>
      <c r="FS730" s="1470"/>
      <c r="FT730" s="1469" t="str">
        <f t="shared" si="39"/>
        <v/>
      </c>
      <c r="FU730" s="1480"/>
      <c r="FV730" s="1480"/>
      <c r="FW730" s="1480"/>
      <c r="FX730" s="1470"/>
      <c r="FY730" s="1469" t="str">
        <f t="shared" si="40"/>
        <v/>
      </c>
      <c r="FZ730" s="1480"/>
      <c r="GA730" s="1480"/>
      <c r="GB730" s="1480"/>
      <c r="GC730" s="1470"/>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13"/>
        <v>0</v>
      </c>
      <c r="Y731" s="1353"/>
      <c r="Z731" s="1353"/>
      <c r="AA731" s="1353"/>
      <c r="AB731" s="1354"/>
      <c r="AC731" s="1359"/>
      <c r="AD731" s="1360"/>
      <c r="AE731" s="1360"/>
      <c r="AF731" s="1360"/>
      <c r="AG731" s="1361"/>
      <c r="AH731" s="1355" t="str">
        <f t="shared" si="41"/>
        <v/>
      </c>
      <c r="AI731" s="1356"/>
      <c r="AJ731" s="1357"/>
      <c r="AK731" s="1337" t="s">
        <v>591</v>
      </c>
      <c r="AL731" s="1338"/>
      <c r="AM731" s="1338"/>
      <c r="AN731" s="1338"/>
      <c r="AO731" s="1339"/>
      <c r="AP731" s="3"/>
      <c r="AQ731" s="3"/>
      <c r="AR731" s="3"/>
      <c r="AS731" s="3"/>
      <c r="AY731" s="1085"/>
      <c r="AZ731" s="118" t="str">
        <f t="shared" si="14"/>
        <v>N/A</v>
      </c>
      <c r="BA731" s="3"/>
      <c r="BB731" s="3"/>
      <c r="BC731" s="3"/>
      <c r="BD731" s="3"/>
      <c r="BE731" s="204"/>
      <c r="BF731" s="294">
        <f t="shared" si="15"/>
        <v>0</v>
      </c>
      <c r="BG731" s="297">
        <f t="shared" si="16"/>
        <v>0</v>
      </c>
      <c r="BH731" s="298" t="str">
        <f t="shared" si="17"/>
        <v/>
      </c>
      <c r="BI731" s="3"/>
      <c r="BJ731" s="3"/>
      <c r="BK731" s="3"/>
      <c r="BL731" s="3"/>
      <c r="BM731" s="3"/>
      <c r="BN731" s="3"/>
      <c r="BS731" s="294">
        <f t="shared" si="18"/>
        <v>0</v>
      </c>
      <c r="BT731" s="297">
        <f t="shared" si="19"/>
        <v>0</v>
      </c>
      <c r="BU731" s="298" t="str">
        <f t="shared" si="20"/>
        <v/>
      </c>
      <c r="BV731" s="3"/>
      <c r="BW731" s="3"/>
      <c r="BX731" s="3"/>
      <c r="BY731" s="3"/>
      <c r="BZ731" s="3"/>
      <c r="CA731" s="3"/>
      <c r="CB731" s="3"/>
      <c r="CC731" s="3"/>
      <c r="CE731" s="3"/>
      <c r="CF731" s="3"/>
      <c r="CG731" s="1469">
        <f t="shared" si="42"/>
        <v>0</v>
      </c>
      <c r="CH731" s="1470"/>
      <c r="CI731" s="1477">
        <f t="shared" si="43"/>
        <v>0</v>
      </c>
      <c r="CJ731" s="1478"/>
      <c r="CK731" s="1469">
        <f t="shared" si="21"/>
        <v>0</v>
      </c>
      <c r="CL731" s="1470"/>
      <c r="CM731" s="1477">
        <f t="shared" si="22"/>
        <v>0</v>
      </c>
      <c r="CN731" s="1478"/>
      <c r="CO731" s="3"/>
      <c r="CP731" s="1471">
        <f t="shared" si="23"/>
        <v>0</v>
      </c>
      <c r="CQ731" s="1472"/>
      <c r="CR731" s="1472"/>
      <c r="CS731" s="1472"/>
      <c r="CT731" s="1473"/>
      <c r="CU731" s="1445">
        <f t="shared" si="24"/>
        <v>0</v>
      </c>
      <c r="CV731" s="1445"/>
      <c r="CW731" s="1445"/>
      <c r="CX731" s="1445"/>
      <c r="CY731" s="1445"/>
      <c r="CZ731" s="1445">
        <f t="shared" si="25"/>
        <v>0</v>
      </c>
      <c r="DA731" s="1445"/>
      <c r="DB731" s="1445"/>
      <c r="DC731" s="1445"/>
      <c r="DD731" s="1445"/>
      <c r="DE731" s="1445">
        <f t="shared" si="26"/>
        <v>0</v>
      </c>
      <c r="DF731" s="1445"/>
      <c r="DG731" s="1445"/>
      <c r="DH731" s="1445"/>
      <c r="DI731" s="1445"/>
      <c r="DJ731" s="1445">
        <f t="shared" si="27"/>
        <v>0</v>
      </c>
      <c r="DK731" s="1445"/>
      <c r="DL731" s="1445"/>
      <c r="DM731" s="1445"/>
      <c r="DN731" s="1445"/>
      <c r="DO731" s="1445">
        <f t="shared" si="28"/>
        <v>0</v>
      </c>
      <c r="DP731" s="1445"/>
      <c r="DQ731" s="1445"/>
      <c r="DR731" s="1445"/>
      <c r="DS731" s="1445"/>
      <c r="DT731" s="6"/>
      <c r="DU731" s="1444">
        <f t="shared" si="29"/>
        <v>0</v>
      </c>
      <c r="DV731" s="1444"/>
      <c r="DW731" s="1444"/>
      <c r="DX731" s="1444"/>
      <c r="DY731" s="1444"/>
      <c r="DZ731" s="1444">
        <f t="shared" si="30"/>
        <v>0</v>
      </c>
      <c r="EA731" s="1444"/>
      <c r="EB731" s="1444"/>
      <c r="EC731" s="1444"/>
      <c r="ED731" s="1444"/>
      <c r="EE731" s="1444">
        <f t="shared" si="31"/>
        <v>0</v>
      </c>
      <c r="EF731" s="1444"/>
      <c r="EG731" s="1444"/>
      <c r="EH731" s="1444"/>
      <c r="EI731" s="1444"/>
      <c r="EJ731" s="1444">
        <f t="shared" si="32"/>
        <v>0</v>
      </c>
      <c r="EK731" s="1444"/>
      <c r="EL731" s="1444"/>
      <c r="EM731" s="1444"/>
      <c r="EN731" s="1444"/>
      <c r="EO731" s="1444">
        <f t="shared" si="33"/>
        <v>0</v>
      </c>
      <c r="EP731" s="1444"/>
      <c r="EQ731" s="1444"/>
      <c r="ER731" s="1444"/>
      <c r="ES731" s="1444"/>
      <c r="ET731" s="1444">
        <f t="shared" si="34"/>
        <v>0</v>
      </c>
      <c r="EU731" s="1444"/>
      <c r="EV731" s="1444"/>
      <c r="EW731" s="1444"/>
      <c r="EX731" s="1444"/>
      <c r="EZ731" s="1469" t="str">
        <f t="shared" si="35"/>
        <v/>
      </c>
      <c r="FA731" s="1480"/>
      <c r="FB731" s="1480"/>
      <c r="FC731" s="1480"/>
      <c r="FD731" s="1470"/>
      <c r="FE731" s="1469" t="str">
        <f t="shared" si="36"/>
        <v/>
      </c>
      <c r="FF731" s="1480"/>
      <c r="FG731" s="1480"/>
      <c r="FH731" s="1480"/>
      <c r="FI731" s="1470"/>
      <c r="FJ731" s="1469" t="str">
        <f t="shared" si="37"/>
        <v/>
      </c>
      <c r="FK731" s="1480"/>
      <c r="FL731" s="1480"/>
      <c r="FM731" s="1480"/>
      <c r="FN731" s="1470"/>
      <c r="FO731" s="1469" t="str">
        <f t="shared" si="38"/>
        <v/>
      </c>
      <c r="FP731" s="1480"/>
      <c r="FQ731" s="1480"/>
      <c r="FR731" s="1480"/>
      <c r="FS731" s="1470"/>
      <c r="FT731" s="1469" t="str">
        <f t="shared" si="39"/>
        <v/>
      </c>
      <c r="FU731" s="1480"/>
      <c r="FV731" s="1480"/>
      <c r="FW731" s="1480"/>
      <c r="FX731" s="1470"/>
      <c r="FY731" s="1469" t="str">
        <f t="shared" si="40"/>
        <v/>
      </c>
      <c r="FZ731" s="1480"/>
      <c r="GA731" s="1480"/>
      <c r="GB731" s="1480"/>
      <c r="GC731" s="1470"/>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13"/>
        <v>0</v>
      </c>
      <c r="Y732" s="1353"/>
      <c r="Z732" s="1353"/>
      <c r="AA732" s="1353"/>
      <c r="AB732" s="1354"/>
      <c r="AC732" s="1359"/>
      <c r="AD732" s="1360"/>
      <c r="AE732" s="1360"/>
      <c r="AF732" s="1360"/>
      <c r="AG732" s="1361"/>
      <c r="AH732" s="1355" t="str">
        <f t="shared" si="41"/>
        <v/>
      </c>
      <c r="AI732" s="1356"/>
      <c r="AJ732" s="1357"/>
      <c r="AK732" s="1337" t="s">
        <v>591</v>
      </c>
      <c r="AL732" s="1338"/>
      <c r="AM732" s="1338"/>
      <c r="AN732" s="1338"/>
      <c r="AO732" s="1339"/>
      <c r="AP732" s="3"/>
      <c r="AQ732" s="3"/>
      <c r="AR732" s="3"/>
      <c r="AS732" s="3"/>
      <c r="AY732" s="1085"/>
      <c r="AZ732" s="118" t="str">
        <f t="shared" si="14"/>
        <v>N/A</v>
      </c>
      <c r="BA732" s="3"/>
      <c r="BB732" s="3"/>
      <c r="BC732" s="3"/>
      <c r="BD732" s="3"/>
      <c r="BE732" s="204"/>
      <c r="BF732" s="294">
        <f t="shared" si="15"/>
        <v>0</v>
      </c>
      <c r="BG732" s="297">
        <f t="shared" si="16"/>
        <v>0</v>
      </c>
      <c r="BH732" s="298" t="str">
        <f t="shared" si="17"/>
        <v/>
      </c>
      <c r="BI732" s="3"/>
      <c r="BJ732" s="3"/>
      <c r="BK732" s="3"/>
      <c r="BL732" s="3"/>
      <c r="BM732" s="3"/>
      <c r="BN732" s="3"/>
      <c r="BS732" s="294">
        <f t="shared" si="18"/>
        <v>0</v>
      </c>
      <c r="BT732" s="297">
        <f t="shared" si="19"/>
        <v>0</v>
      </c>
      <c r="BU732" s="298" t="str">
        <f t="shared" si="20"/>
        <v/>
      </c>
      <c r="BV732" s="3"/>
      <c r="BW732" s="3"/>
      <c r="BX732" s="3"/>
      <c r="BY732" s="3"/>
      <c r="BZ732" s="3"/>
      <c r="CA732" s="3"/>
      <c r="CB732" s="3"/>
      <c r="CC732" s="3"/>
      <c r="CE732" s="3"/>
      <c r="CF732" s="3"/>
      <c r="CG732" s="1469">
        <f t="shared" si="42"/>
        <v>0</v>
      </c>
      <c r="CH732" s="1470"/>
      <c r="CI732" s="1477">
        <f t="shared" si="43"/>
        <v>0</v>
      </c>
      <c r="CJ732" s="1478"/>
      <c r="CK732" s="1469">
        <f t="shared" si="21"/>
        <v>0</v>
      </c>
      <c r="CL732" s="1470"/>
      <c r="CM732" s="1477">
        <f t="shared" si="22"/>
        <v>0</v>
      </c>
      <c r="CN732" s="1478"/>
      <c r="CO732" s="3"/>
      <c r="CP732" s="1471">
        <f t="shared" si="23"/>
        <v>0</v>
      </c>
      <c r="CQ732" s="1472"/>
      <c r="CR732" s="1472"/>
      <c r="CS732" s="1472"/>
      <c r="CT732" s="1473"/>
      <c r="CU732" s="1445">
        <f t="shared" si="24"/>
        <v>0</v>
      </c>
      <c r="CV732" s="1445"/>
      <c r="CW732" s="1445"/>
      <c r="CX732" s="1445"/>
      <c r="CY732" s="1445"/>
      <c r="CZ732" s="1445">
        <f t="shared" si="25"/>
        <v>0</v>
      </c>
      <c r="DA732" s="1445"/>
      <c r="DB732" s="1445"/>
      <c r="DC732" s="1445"/>
      <c r="DD732" s="1445"/>
      <c r="DE732" s="1445">
        <f t="shared" si="26"/>
        <v>0</v>
      </c>
      <c r="DF732" s="1445"/>
      <c r="DG732" s="1445"/>
      <c r="DH732" s="1445"/>
      <c r="DI732" s="1445"/>
      <c r="DJ732" s="1445">
        <f t="shared" si="27"/>
        <v>0</v>
      </c>
      <c r="DK732" s="1445"/>
      <c r="DL732" s="1445"/>
      <c r="DM732" s="1445"/>
      <c r="DN732" s="1445"/>
      <c r="DO732" s="1445">
        <f t="shared" si="28"/>
        <v>0</v>
      </c>
      <c r="DP732" s="1445"/>
      <c r="DQ732" s="1445"/>
      <c r="DR732" s="1445"/>
      <c r="DS732" s="1445"/>
      <c r="DT732" s="6"/>
      <c r="DU732" s="1444">
        <f t="shared" si="29"/>
        <v>0</v>
      </c>
      <c r="DV732" s="1444"/>
      <c r="DW732" s="1444"/>
      <c r="DX732" s="1444"/>
      <c r="DY732" s="1444"/>
      <c r="DZ732" s="1444">
        <f t="shared" si="30"/>
        <v>0</v>
      </c>
      <c r="EA732" s="1444"/>
      <c r="EB732" s="1444"/>
      <c r="EC732" s="1444"/>
      <c r="ED732" s="1444"/>
      <c r="EE732" s="1444">
        <f t="shared" si="31"/>
        <v>0</v>
      </c>
      <c r="EF732" s="1444"/>
      <c r="EG732" s="1444"/>
      <c r="EH732" s="1444"/>
      <c r="EI732" s="1444"/>
      <c r="EJ732" s="1444">
        <f t="shared" si="32"/>
        <v>0</v>
      </c>
      <c r="EK732" s="1444"/>
      <c r="EL732" s="1444"/>
      <c r="EM732" s="1444"/>
      <c r="EN732" s="1444"/>
      <c r="EO732" s="1444">
        <f t="shared" si="33"/>
        <v>0</v>
      </c>
      <c r="EP732" s="1444"/>
      <c r="EQ732" s="1444"/>
      <c r="ER732" s="1444"/>
      <c r="ES732" s="1444"/>
      <c r="ET732" s="1444">
        <f t="shared" si="34"/>
        <v>0</v>
      </c>
      <c r="EU732" s="1444"/>
      <c r="EV732" s="1444"/>
      <c r="EW732" s="1444"/>
      <c r="EX732" s="1444"/>
      <c r="EZ732" s="1469" t="str">
        <f t="shared" si="35"/>
        <v/>
      </c>
      <c r="FA732" s="1480"/>
      <c r="FB732" s="1480"/>
      <c r="FC732" s="1480"/>
      <c r="FD732" s="1470"/>
      <c r="FE732" s="1469" t="str">
        <f t="shared" si="36"/>
        <v/>
      </c>
      <c r="FF732" s="1480"/>
      <c r="FG732" s="1480"/>
      <c r="FH732" s="1480"/>
      <c r="FI732" s="1470"/>
      <c r="FJ732" s="1469" t="str">
        <f t="shared" si="37"/>
        <v/>
      </c>
      <c r="FK732" s="1480"/>
      <c r="FL732" s="1480"/>
      <c r="FM732" s="1480"/>
      <c r="FN732" s="1470"/>
      <c r="FO732" s="1469" t="str">
        <f t="shared" si="38"/>
        <v/>
      </c>
      <c r="FP732" s="1480"/>
      <c r="FQ732" s="1480"/>
      <c r="FR732" s="1480"/>
      <c r="FS732" s="1470"/>
      <c r="FT732" s="1469" t="str">
        <f t="shared" si="39"/>
        <v/>
      </c>
      <c r="FU732" s="1480"/>
      <c r="FV732" s="1480"/>
      <c r="FW732" s="1480"/>
      <c r="FX732" s="1470"/>
      <c r="FY732" s="1469" t="str">
        <f t="shared" si="40"/>
        <v/>
      </c>
      <c r="FZ732" s="1480"/>
      <c r="GA732" s="1480"/>
      <c r="GB732" s="1480"/>
      <c r="GC732" s="1470"/>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13"/>
        <v>0</v>
      </c>
      <c r="Y733" s="1353"/>
      <c r="Z733" s="1353"/>
      <c r="AA733" s="1353"/>
      <c r="AB733" s="1354"/>
      <c r="AC733" s="1359"/>
      <c r="AD733" s="1360"/>
      <c r="AE733" s="1360"/>
      <c r="AF733" s="1360"/>
      <c r="AG733" s="1361"/>
      <c r="AH733" s="1355" t="str">
        <f t="shared" si="41"/>
        <v/>
      </c>
      <c r="AI733" s="1356"/>
      <c r="AJ733" s="1357"/>
      <c r="AK733" s="1337" t="s">
        <v>591</v>
      </c>
      <c r="AL733" s="1338"/>
      <c r="AM733" s="1338"/>
      <c r="AN733" s="1338"/>
      <c r="AO733" s="1339"/>
      <c r="AP733" s="3"/>
      <c r="AQ733" s="3"/>
      <c r="AR733" s="3"/>
      <c r="AS733" s="3"/>
      <c r="AY733" s="1085"/>
      <c r="AZ733" s="118" t="str">
        <f t="shared" si="14"/>
        <v>N/A</v>
      </c>
      <c r="BA733" s="3"/>
      <c r="BB733" s="3"/>
      <c r="BC733" s="3"/>
      <c r="BD733" s="3"/>
      <c r="BE733" s="204"/>
      <c r="BF733" s="294">
        <f t="shared" si="15"/>
        <v>0</v>
      </c>
      <c r="BG733" s="297">
        <f t="shared" si="16"/>
        <v>0</v>
      </c>
      <c r="BH733" s="298" t="str">
        <f t="shared" si="17"/>
        <v/>
      </c>
      <c r="BI733" s="3"/>
      <c r="BJ733" s="3"/>
      <c r="BK733" s="3"/>
      <c r="BL733" s="3"/>
      <c r="BM733" s="3"/>
      <c r="BN733" s="3"/>
      <c r="BS733" s="294">
        <f t="shared" si="18"/>
        <v>0</v>
      </c>
      <c r="BT733" s="297">
        <f t="shared" si="19"/>
        <v>0</v>
      </c>
      <c r="BU733" s="298" t="str">
        <f t="shared" si="20"/>
        <v/>
      </c>
      <c r="BV733" s="3"/>
      <c r="BW733" s="3"/>
      <c r="BX733" s="3"/>
      <c r="BY733" s="3"/>
      <c r="BZ733" s="3"/>
      <c r="CA733" s="3"/>
      <c r="CB733" s="3"/>
      <c r="CC733" s="3"/>
      <c r="CE733" s="3"/>
      <c r="CF733" s="3"/>
      <c r="CG733" s="1469">
        <f t="shared" si="42"/>
        <v>0</v>
      </c>
      <c r="CH733" s="1470"/>
      <c r="CI733" s="1477">
        <f t="shared" si="43"/>
        <v>0</v>
      </c>
      <c r="CJ733" s="1478"/>
      <c r="CK733" s="1469">
        <f t="shared" si="21"/>
        <v>0</v>
      </c>
      <c r="CL733" s="1470"/>
      <c r="CM733" s="1477">
        <f t="shared" si="22"/>
        <v>0</v>
      </c>
      <c r="CN733" s="1478"/>
      <c r="CO733" s="3"/>
      <c r="CP733" s="1471">
        <f t="shared" si="23"/>
        <v>0</v>
      </c>
      <c r="CQ733" s="1472"/>
      <c r="CR733" s="1472"/>
      <c r="CS733" s="1472"/>
      <c r="CT733" s="1473"/>
      <c r="CU733" s="1445">
        <f t="shared" si="24"/>
        <v>0</v>
      </c>
      <c r="CV733" s="1445"/>
      <c r="CW733" s="1445"/>
      <c r="CX733" s="1445"/>
      <c r="CY733" s="1445"/>
      <c r="CZ733" s="1445">
        <f t="shared" si="25"/>
        <v>0</v>
      </c>
      <c r="DA733" s="1445"/>
      <c r="DB733" s="1445"/>
      <c r="DC733" s="1445"/>
      <c r="DD733" s="1445"/>
      <c r="DE733" s="1445">
        <f t="shared" si="26"/>
        <v>0</v>
      </c>
      <c r="DF733" s="1445"/>
      <c r="DG733" s="1445"/>
      <c r="DH733" s="1445"/>
      <c r="DI733" s="1445"/>
      <c r="DJ733" s="1445">
        <f t="shared" si="27"/>
        <v>0</v>
      </c>
      <c r="DK733" s="1445"/>
      <c r="DL733" s="1445"/>
      <c r="DM733" s="1445"/>
      <c r="DN733" s="1445"/>
      <c r="DO733" s="1445">
        <f t="shared" si="28"/>
        <v>0</v>
      </c>
      <c r="DP733" s="1445"/>
      <c r="DQ733" s="1445"/>
      <c r="DR733" s="1445"/>
      <c r="DS733" s="1445"/>
      <c r="DT733" s="6"/>
      <c r="DU733" s="1444">
        <f t="shared" si="29"/>
        <v>0</v>
      </c>
      <c r="DV733" s="1444"/>
      <c r="DW733" s="1444"/>
      <c r="DX733" s="1444"/>
      <c r="DY733" s="1444"/>
      <c r="DZ733" s="1444">
        <f t="shared" si="30"/>
        <v>0</v>
      </c>
      <c r="EA733" s="1444"/>
      <c r="EB733" s="1444"/>
      <c r="EC733" s="1444"/>
      <c r="ED733" s="1444"/>
      <c r="EE733" s="1444">
        <f t="shared" si="31"/>
        <v>0</v>
      </c>
      <c r="EF733" s="1444"/>
      <c r="EG733" s="1444"/>
      <c r="EH733" s="1444"/>
      <c r="EI733" s="1444"/>
      <c r="EJ733" s="1444">
        <f t="shared" si="32"/>
        <v>0</v>
      </c>
      <c r="EK733" s="1444"/>
      <c r="EL733" s="1444"/>
      <c r="EM733" s="1444"/>
      <c r="EN733" s="1444"/>
      <c r="EO733" s="1444">
        <f t="shared" si="33"/>
        <v>0</v>
      </c>
      <c r="EP733" s="1444"/>
      <c r="EQ733" s="1444"/>
      <c r="ER733" s="1444"/>
      <c r="ES733" s="1444"/>
      <c r="ET733" s="1444">
        <f t="shared" si="34"/>
        <v>0</v>
      </c>
      <c r="EU733" s="1444"/>
      <c r="EV733" s="1444"/>
      <c r="EW733" s="1444"/>
      <c r="EX733" s="1444"/>
      <c r="EZ733" s="1469" t="str">
        <f t="shared" si="35"/>
        <v/>
      </c>
      <c r="FA733" s="1480"/>
      <c r="FB733" s="1480"/>
      <c r="FC733" s="1480"/>
      <c r="FD733" s="1470"/>
      <c r="FE733" s="1469" t="str">
        <f t="shared" si="36"/>
        <v/>
      </c>
      <c r="FF733" s="1480"/>
      <c r="FG733" s="1480"/>
      <c r="FH733" s="1480"/>
      <c r="FI733" s="1470"/>
      <c r="FJ733" s="1469" t="str">
        <f t="shared" si="37"/>
        <v/>
      </c>
      <c r="FK733" s="1480"/>
      <c r="FL733" s="1480"/>
      <c r="FM733" s="1480"/>
      <c r="FN733" s="1470"/>
      <c r="FO733" s="1469" t="str">
        <f t="shared" si="38"/>
        <v/>
      </c>
      <c r="FP733" s="1480"/>
      <c r="FQ733" s="1480"/>
      <c r="FR733" s="1480"/>
      <c r="FS733" s="1470"/>
      <c r="FT733" s="1469" t="str">
        <f t="shared" si="39"/>
        <v/>
      </c>
      <c r="FU733" s="1480"/>
      <c r="FV733" s="1480"/>
      <c r="FW733" s="1480"/>
      <c r="FX733" s="1470"/>
      <c r="FY733" s="1469" t="str">
        <f t="shared" si="40"/>
        <v/>
      </c>
      <c r="FZ733" s="1480"/>
      <c r="GA733" s="1480"/>
      <c r="GB733" s="1480"/>
      <c r="GC733" s="1470"/>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13"/>
        <v>0</v>
      </c>
      <c r="Y734" s="1353"/>
      <c r="Z734" s="1353"/>
      <c r="AA734" s="1353"/>
      <c r="AB734" s="1354"/>
      <c r="AC734" s="1359"/>
      <c r="AD734" s="1360"/>
      <c r="AE734" s="1360"/>
      <c r="AF734" s="1360"/>
      <c r="AG734" s="1361"/>
      <c r="AH734" s="1355" t="str">
        <f t="shared" si="41"/>
        <v/>
      </c>
      <c r="AI734" s="1356"/>
      <c r="AJ734" s="1357"/>
      <c r="AK734" s="1337" t="s">
        <v>591</v>
      </c>
      <c r="AL734" s="1338"/>
      <c r="AM734" s="1338"/>
      <c r="AN734" s="1338"/>
      <c r="AO734" s="1339"/>
      <c r="AP734" s="3"/>
      <c r="AQ734" s="3"/>
      <c r="AR734" s="3"/>
      <c r="AS734" s="3"/>
      <c r="AY734" s="1085"/>
      <c r="AZ734" s="118" t="str">
        <f t="shared" si="14"/>
        <v>N/A</v>
      </c>
      <c r="BA734" s="3"/>
      <c r="BB734" s="3"/>
      <c r="BC734" s="3"/>
      <c r="BD734" s="3"/>
      <c r="BE734" s="204"/>
      <c r="BF734" s="294">
        <f t="shared" si="15"/>
        <v>0</v>
      </c>
      <c r="BG734" s="297">
        <f t="shared" si="16"/>
        <v>0</v>
      </c>
      <c r="BH734" s="298" t="str">
        <f t="shared" si="17"/>
        <v/>
      </c>
      <c r="BI734" s="3"/>
      <c r="BJ734" s="3"/>
      <c r="BK734" s="3"/>
      <c r="BL734" s="3"/>
      <c r="BM734" s="3"/>
      <c r="BN734" s="3"/>
      <c r="BS734" s="294">
        <f t="shared" si="18"/>
        <v>0</v>
      </c>
      <c r="BT734" s="297">
        <f t="shared" si="19"/>
        <v>0</v>
      </c>
      <c r="BU734" s="298" t="str">
        <f t="shared" si="20"/>
        <v/>
      </c>
      <c r="BV734" s="3"/>
      <c r="BW734" s="3"/>
      <c r="BX734" s="3"/>
      <c r="BY734" s="3"/>
      <c r="BZ734" s="3"/>
      <c r="CA734" s="3"/>
      <c r="CB734" s="3"/>
      <c r="CC734" s="3"/>
      <c r="CE734" s="3"/>
      <c r="CF734" s="3"/>
      <c r="CG734" s="1469">
        <f t="shared" si="42"/>
        <v>0</v>
      </c>
      <c r="CH734" s="1470"/>
      <c r="CI734" s="1477">
        <f t="shared" si="43"/>
        <v>0</v>
      </c>
      <c r="CJ734" s="1478"/>
      <c r="CK734" s="1469">
        <f t="shared" si="21"/>
        <v>0</v>
      </c>
      <c r="CL734" s="1470"/>
      <c r="CM734" s="1477">
        <f t="shared" si="22"/>
        <v>0</v>
      </c>
      <c r="CN734" s="1478"/>
      <c r="CO734" s="3"/>
      <c r="CP734" s="1471">
        <f t="shared" si="23"/>
        <v>0</v>
      </c>
      <c r="CQ734" s="1472"/>
      <c r="CR734" s="1472"/>
      <c r="CS734" s="1472"/>
      <c r="CT734" s="1473"/>
      <c r="CU734" s="1445">
        <f t="shared" si="24"/>
        <v>0</v>
      </c>
      <c r="CV734" s="1445"/>
      <c r="CW734" s="1445"/>
      <c r="CX734" s="1445"/>
      <c r="CY734" s="1445"/>
      <c r="CZ734" s="1445">
        <f t="shared" si="25"/>
        <v>0</v>
      </c>
      <c r="DA734" s="1445"/>
      <c r="DB734" s="1445"/>
      <c r="DC734" s="1445"/>
      <c r="DD734" s="1445"/>
      <c r="DE734" s="1445">
        <f t="shared" si="26"/>
        <v>0</v>
      </c>
      <c r="DF734" s="1445"/>
      <c r="DG734" s="1445"/>
      <c r="DH734" s="1445"/>
      <c r="DI734" s="1445"/>
      <c r="DJ734" s="1445">
        <f t="shared" si="27"/>
        <v>0</v>
      </c>
      <c r="DK734" s="1445"/>
      <c r="DL734" s="1445"/>
      <c r="DM734" s="1445"/>
      <c r="DN734" s="1445"/>
      <c r="DO734" s="1445">
        <f t="shared" si="28"/>
        <v>0</v>
      </c>
      <c r="DP734" s="1445"/>
      <c r="DQ734" s="1445"/>
      <c r="DR734" s="1445"/>
      <c r="DS734" s="1445"/>
      <c r="DT734" s="6"/>
      <c r="DU734" s="1444">
        <f t="shared" si="29"/>
        <v>0</v>
      </c>
      <c r="DV734" s="1444"/>
      <c r="DW734" s="1444"/>
      <c r="DX734" s="1444"/>
      <c r="DY734" s="1444"/>
      <c r="DZ734" s="1444">
        <f t="shared" si="30"/>
        <v>0</v>
      </c>
      <c r="EA734" s="1444"/>
      <c r="EB734" s="1444"/>
      <c r="EC734" s="1444"/>
      <c r="ED734" s="1444"/>
      <c r="EE734" s="1444">
        <f t="shared" si="31"/>
        <v>0</v>
      </c>
      <c r="EF734" s="1444"/>
      <c r="EG734" s="1444"/>
      <c r="EH734" s="1444"/>
      <c r="EI734" s="1444"/>
      <c r="EJ734" s="1444">
        <f t="shared" si="32"/>
        <v>0</v>
      </c>
      <c r="EK734" s="1444"/>
      <c r="EL734" s="1444"/>
      <c r="EM734" s="1444"/>
      <c r="EN734" s="1444"/>
      <c r="EO734" s="1444">
        <f t="shared" si="33"/>
        <v>0</v>
      </c>
      <c r="EP734" s="1444"/>
      <c r="EQ734" s="1444"/>
      <c r="ER734" s="1444"/>
      <c r="ES734" s="1444"/>
      <c r="ET734" s="1444">
        <f t="shared" si="34"/>
        <v>0</v>
      </c>
      <c r="EU734" s="1444"/>
      <c r="EV734" s="1444"/>
      <c r="EW734" s="1444"/>
      <c r="EX734" s="1444"/>
      <c r="EZ734" s="1469" t="str">
        <f t="shared" si="35"/>
        <v/>
      </c>
      <c r="FA734" s="1480"/>
      <c r="FB734" s="1480"/>
      <c r="FC734" s="1480"/>
      <c r="FD734" s="1470"/>
      <c r="FE734" s="1469" t="str">
        <f t="shared" si="36"/>
        <v/>
      </c>
      <c r="FF734" s="1480"/>
      <c r="FG734" s="1480"/>
      <c r="FH734" s="1480"/>
      <c r="FI734" s="1470"/>
      <c r="FJ734" s="1469" t="str">
        <f t="shared" si="37"/>
        <v/>
      </c>
      <c r="FK734" s="1480"/>
      <c r="FL734" s="1480"/>
      <c r="FM734" s="1480"/>
      <c r="FN734" s="1470"/>
      <c r="FO734" s="1469" t="str">
        <f t="shared" si="38"/>
        <v/>
      </c>
      <c r="FP734" s="1480"/>
      <c r="FQ734" s="1480"/>
      <c r="FR734" s="1480"/>
      <c r="FS734" s="1470"/>
      <c r="FT734" s="1469" t="str">
        <f t="shared" si="39"/>
        <v/>
      </c>
      <c r="FU734" s="1480"/>
      <c r="FV734" s="1480"/>
      <c r="FW734" s="1480"/>
      <c r="FX734" s="1470"/>
      <c r="FY734" s="1469" t="str">
        <f t="shared" si="40"/>
        <v/>
      </c>
      <c r="FZ734" s="1480"/>
      <c r="GA734" s="1480"/>
      <c r="GB734" s="1480"/>
      <c r="GC734" s="1470"/>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13"/>
        <v>0</v>
      </c>
      <c r="Y735" s="1353"/>
      <c r="Z735" s="1353"/>
      <c r="AA735" s="1353"/>
      <c r="AB735" s="1354"/>
      <c r="AC735" s="1359"/>
      <c r="AD735" s="1360"/>
      <c r="AE735" s="1360"/>
      <c r="AF735" s="1360"/>
      <c r="AG735" s="1361"/>
      <c r="AH735" s="1355" t="str">
        <f t="shared" si="41"/>
        <v/>
      </c>
      <c r="AI735" s="1356"/>
      <c r="AJ735" s="1357"/>
      <c r="AK735" s="1337" t="s">
        <v>591</v>
      </c>
      <c r="AL735" s="1338"/>
      <c r="AM735" s="1338"/>
      <c r="AN735" s="1338"/>
      <c r="AO735" s="1339"/>
      <c r="AP735" s="3"/>
      <c r="AQ735" s="3"/>
      <c r="AR735" s="3"/>
      <c r="AS735" s="3"/>
      <c r="AY735" s="1085"/>
      <c r="AZ735" s="118" t="str">
        <f t="shared" si="14"/>
        <v>N/A</v>
      </c>
      <c r="BA735" s="3"/>
      <c r="BB735" s="3"/>
      <c r="BC735" s="3"/>
      <c r="BD735" s="3"/>
      <c r="BE735" s="204"/>
      <c r="BF735" s="294">
        <f t="shared" si="15"/>
        <v>0</v>
      </c>
      <c r="BG735" s="297">
        <f t="shared" si="16"/>
        <v>0</v>
      </c>
      <c r="BH735" s="298" t="str">
        <f t="shared" si="17"/>
        <v/>
      </c>
      <c r="BI735" s="3"/>
      <c r="BJ735" s="3"/>
      <c r="BK735" s="3"/>
      <c r="BL735" s="3"/>
      <c r="BM735" s="3"/>
      <c r="BN735" s="3"/>
      <c r="BS735" s="294">
        <f t="shared" si="18"/>
        <v>0</v>
      </c>
      <c r="BT735" s="297">
        <f t="shared" si="19"/>
        <v>0</v>
      </c>
      <c r="BU735" s="298" t="str">
        <f t="shared" si="20"/>
        <v/>
      </c>
      <c r="BV735" s="3"/>
      <c r="BW735" s="3"/>
      <c r="BX735" s="3"/>
      <c r="BY735" s="3"/>
      <c r="BZ735" s="3"/>
      <c r="CA735" s="3"/>
      <c r="CB735" s="3"/>
      <c r="CC735" s="3"/>
      <c r="CE735" s="3"/>
      <c r="CF735" s="3"/>
      <c r="CG735" s="1469">
        <f t="shared" si="42"/>
        <v>0</v>
      </c>
      <c r="CH735" s="1470"/>
      <c r="CI735" s="1477">
        <f t="shared" si="43"/>
        <v>0</v>
      </c>
      <c r="CJ735" s="1478"/>
      <c r="CK735" s="1469">
        <f t="shared" si="21"/>
        <v>0</v>
      </c>
      <c r="CL735" s="1470"/>
      <c r="CM735" s="1477">
        <f t="shared" si="22"/>
        <v>0</v>
      </c>
      <c r="CN735" s="1478"/>
      <c r="CO735" s="3"/>
      <c r="CP735" s="1471">
        <f t="shared" si="23"/>
        <v>0</v>
      </c>
      <c r="CQ735" s="1472"/>
      <c r="CR735" s="1472"/>
      <c r="CS735" s="1472"/>
      <c r="CT735" s="1473"/>
      <c r="CU735" s="1445">
        <f t="shared" si="24"/>
        <v>0</v>
      </c>
      <c r="CV735" s="1445"/>
      <c r="CW735" s="1445"/>
      <c r="CX735" s="1445"/>
      <c r="CY735" s="1445"/>
      <c r="CZ735" s="1445">
        <f t="shared" si="25"/>
        <v>0</v>
      </c>
      <c r="DA735" s="1445"/>
      <c r="DB735" s="1445"/>
      <c r="DC735" s="1445"/>
      <c r="DD735" s="1445"/>
      <c r="DE735" s="1445">
        <f t="shared" si="26"/>
        <v>0</v>
      </c>
      <c r="DF735" s="1445"/>
      <c r="DG735" s="1445"/>
      <c r="DH735" s="1445"/>
      <c r="DI735" s="1445"/>
      <c r="DJ735" s="1445">
        <f t="shared" si="27"/>
        <v>0</v>
      </c>
      <c r="DK735" s="1445"/>
      <c r="DL735" s="1445"/>
      <c r="DM735" s="1445"/>
      <c r="DN735" s="1445"/>
      <c r="DO735" s="1445">
        <f t="shared" si="28"/>
        <v>0</v>
      </c>
      <c r="DP735" s="1445"/>
      <c r="DQ735" s="1445"/>
      <c r="DR735" s="1445"/>
      <c r="DS735" s="1445"/>
      <c r="DT735" s="6"/>
      <c r="DU735" s="1444">
        <f t="shared" si="29"/>
        <v>0</v>
      </c>
      <c r="DV735" s="1444"/>
      <c r="DW735" s="1444"/>
      <c r="DX735" s="1444"/>
      <c r="DY735" s="1444"/>
      <c r="DZ735" s="1444">
        <f t="shared" si="30"/>
        <v>0</v>
      </c>
      <c r="EA735" s="1444"/>
      <c r="EB735" s="1444"/>
      <c r="EC735" s="1444"/>
      <c r="ED735" s="1444"/>
      <c r="EE735" s="1444">
        <f t="shared" si="31"/>
        <v>0</v>
      </c>
      <c r="EF735" s="1444"/>
      <c r="EG735" s="1444"/>
      <c r="EH735" s="1444"/>
      <c r="EI735" s="1444"/>
      <c r="EJ735" s="1444">
        <f t="shared" si="32"/>
        <v>0</v>
      </c>
      <c r="EK735" s="1444"/>
      <c r="EL735" s="1444"/>
      <c r="EM735" s="1444"/>
      <c r="EN735" s="1444"/>
      <c r="EO735" s="1444">
        <f t="shared" si="33"/>
        <v>0</v>
      </c>
      <c r="EP735" s="1444"/>
      <c r="EQ735" s="1444"/>
      <c r="ER735" s="1444"/>
      <c r="ES735" s="1444"/>
      <c r="ET735" s="1444">
        <f t="shared" si="34"/>
        <v>0</v>
      </c>
      <c r="EU735" s="1444"/>
      <c r="EV735" s="1444"/>
      <c r="EW735" s="1444"/>
      <c r="EX735" s="1444"/>
      <c r="EZ735" s="1469" t="str">
        <f t="shared" si="35"/>
        <v/>
      </c>
      <c r="FA735" s="1480"/>
      <c r="FB735" s="1480"/>
      <c r="FC735" s="1480"/>
      <c r="FD735" s="1470"/>
      <c r="FE735" s="1469" t="str">
        <f t="shared" si="36"/>
        <v/>
      </c>
      <c r="FF735" s="1480"/>
      <c r="FG735" s="1480"/>
      <c r="FH735" s="1480"/>
      <c r="FI735" s="1470"/>
      <c r="FJ735" s="1469" t="str">
        <f t="shared" si="37"/>
        <v/>
      </c>
      <c r="FK735" s="1480"/>
      <c r="FL735" s="1480"/>
      <c r="FM735" s="1480"/>
      <c r="FN735" s="1470"/>
      <c r="FO735" s="1469" t="str">
        <f t="shared" si="38"/>
        <v/>
      </c>
      <c r="FP735" s="1480"/>
      <c r="FQ735" s="1480"/>
      <c r="FR735" s="1480"/>
      <c r="FS735" s="1470"/>
      <c r="FT735" s="1469" t="str">
        <f t="shared" si="39"/>
        <v/>
      </c>
      <c r="FU735" s="1480"/>
      <c r="FV735" s="1480"/>
      <c r="FW735" s="1480"/>
      <c r="FX735" s="1470"/>
      <c r="FY735" s="1469" t="str">
        <f t="shared" si="40"/>
        <v/>
      </c>
      <c r="FZ735" s="1480"/>
      <c r="GA735" s="1480"/>
      <c r="GB735" s="1480"/>
      <c r="GC735" s="1470"/>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13"/>
        <v>0</v>
      </c>
      <c r="Y736" s="1353"/>
      <c r="Z736" s="1353"/>
      <c r="AA736" s="1353"/>
      <c r="AB736" s="1354"/>
      <c r="AC736" s="1359"/>
      <c r="AD736" s="1360"/>
      <c r="AE736" s="1360"/>
      <c r="AF736" s="1360"/>
      <c r="AG736" s="1361"/>
      <c r="AH736" s="1355" t="str">
        <f t="shared" si="41"/>
        <v/>
      </c>
      <c r="AI736" s="1356"/>
      <c r="AJ736" s="1357"/>
      <c r="AK736" s="1337" t="s">
        <v>591</v>
      </c>
      <c r="AL736" s="1338"/>
      <c r="AM736" s="1338"/>
      <c r="AN736" s="1338"/>
      <c r="AO736" s="1339"/>
      <c r="AP736" s="3"/>
      <c r="AQ736" s="3"/>
      <c r="AR736" s="3"/>
      <c r="AS736" s="3"/>
      <c r="AY736" s="1085"/>
      <c r="AZ736" s="118" t="str">
        <f t="shared" si="14"/>
        <v>N/A</v>
      </c>
      <c r="BA736" s="3"/>
      <c r="BB736" s="3"/>
      <c r="BC736" s="3"/>
      <c r="BD736" s="3"/>
      <c r="BE736" s="204"/>
      <c r="BF736" s="294">
        <f t="shared" si="15"/>
        <v>0</v>
      </c>
      <c r="BG736" s="297">
        <f t="shared" si="16"/>
        <v>0</v>
      </c>
      <c r="BH736" s="298" t="str">
        <f t="shared" si="17"/>
        <v/>
      </c>
      <c r="BI736" s="3"/>
      <c r="BJ736" s="3"/>
      <c r="BK736" s="3"/>
      <c r="BL736" s="3"/>
      <c r="BM736" s="3"/>
      <c r="BN736" s="3"/>
      <c r="BS736" s="294">
        <f t="shared" si="18"/>
        <v>0</v>
      </c>
      <c r="BT736" s="297">
        <f t="shared" si="19"/>
        <v>0</v>
      </c>
      <c r="BU736" s="298" t="str">
        <f t="shared" si="20"/>
        <v/>
      </c>
      <c r="BV736" s="3"/>
      <c r="BW736" s="3"/>
      <c r="BX736" s="3"/>
      <c r="BY736" s="3"/>
      <c r="BZ736" s="3"/>
      <c r="CA736" s="3"/>
      <c r="CB736" s="3"/>
      <c r="CC736" s="3"/>
      <c r="CE736" s="3"/>
      <c r="CF736" s="3"/>
      <c r="CG736" s="1469">
        <f t="shared" si="42"/>
        <v>0</v>
      </c>
      <c r="CH736" s="1470"/>
      <c r="CI736" s="1477">
        <f t="shared" si="43"/>
        <v>0</v>
      </c>
      <c r="CJ736" s="1478"/>
      <c r="CK736" s="1469">
        <f t="shared" si="21"/>
        <v>0</v>
      </c>
      <c r="CL736" s="1470"/>
      <c r="CM736" s="1477">
        <f t="shared" si="22"/>
        <v>0</v>
      </c>
      <c r="CN736" s="1478"/>
      <c r="CO736" s="3"/>
      <c r="CP736" s="1471">
        <f t="shared" si="23"/>
        <v>0</v>
      </c>
      <c r="CQ736" s="1472"/>
      <c r="CR736" s="1472"/>
      <c r="CS736" s="1472"/>
      <c r="CT736" s="1473"/>
      <c r="CU736" s="1445">
        <f t="shared" si="24"/>
        <v>0</v>
      </c>
      <c r="CV736" s="1445"/>
      <c r="CW736" s="1445"/>
      <c r="CX736" s="1445"/>
      <c r="CY736" s="1445"/>
      <c r="CZ736" s="1445">
        <f t="shared" si="25"/>
        <v>0</v>
      </c>
      <c r="DA736" s="1445"/>
      <c r="DB736" s="1445"/>
      <c r="DC736" s="1445"/>
      <c r="DD736" s="1445"/>
      <c r="DE736" s="1445">
        <f t="shared" si="26"/>
        <v>0</v>
      </c>
      <c r="DF736" s="1445"/>
      <c r="DG736" s="1445"/>
      <c r="DH736" s="1445"/>
      <c r="DI736" s="1445"/>
      <c r="DJ736" s="1445">
        <f t="shared" si="27"/>
        <v>0</v>
      </c>
      <c r="DK736" s="1445"/>
      <c r="DL736" s="1445"/>
      <c r="DM736" s="1445"/>
      <c r="DN736" s="1445"/>
      <c r="DO736" s="1445">
        <f t="shared" si="28"/>
        <v>0</v>
      </c>
      <c r="DP736" s="1445"/>
      <c r="DQ736" s="1445"/>
      <c r="DR736" s="1445"/>
      <c r="DS736" s="1445"/>
      <c r="DT736" s="6"/>
      <c r="DU736" s="1444">
        <f t="shared" si="29"/>
        <v>0</v>
      </c>
      <c r="DV736" s="1444"/>
      <c r="DW736" s="1444"/>
      <c r="DX736" s="1444"/>
      <c r="DY736" s="1444"/>
      <c r="DZ736" s="1444">
        <f t="shared" si="30"/>
        <v>0</v>
      </c>
      <c r="EA736" s="1444"/>
      <c r="EB736" s="1444"/>
      <c r="EC736" s="1444"/>
      <c r="ED736" s="1444"/>
      <c r="EE736" s="1444">
        <f t="shared" si="31"/>
        <v>0</v>
      </c>
      <c r="EF736" s="1444"/>
      <c r="EG736" s="1444"/>
      <c r="EH736" s="1444"/>
      <c r="EI736" s="1444"/>
      <c r="EJ736" s="1444">
        <f t="shared" si="32"/>
        <v>0</v>
      </c>
      <c r="EK736" s="1444"/>
      <c r="EL736" s="1444"/>
      <c r="EM736" s="1444"/>
      <c r="EN736" s="1444"/>
      <c r="EO736" s="1444">
        <f t="shared" si="33"/>
        <v>0</v>
      </c>
      <c r="EP736" s="1444"/>
      <c r="EQ736" s="1444"/>
      <c r="ER736" s="1444"/>
      <c r="ES736" s="1444"/>
      <c r="ET736" s="1444">
        <f t="shared" si="34"/>
        <v>0</v>
      </c>
      <c r="EU736" s="1444"/>
      <c r="EV736" s="1444"/>
      <c r="EW736" s="1444"/>
      <c r="EX736" s="1444"/>
      <c r="EZ736" s="1469" t="str">
        <f t="shared" si="35"/>
        <v/>
      </c>
      <c r="FA736" s="1480"/>
      <c r="FB736" s="1480"/>
      <c r="FC736" s="1480"/>
      <c r="FD736" s="1470"/>
      <c r="FE736" s="1469" t="str">
        <f t="shared" si="36"/>
        <v/>
      </c>
      <c r="FF736" s="1480"/>
      <c r="FG736" s="1480"/>
      <c r="FH736" s="1480"/>
      <c r="FI736" s="1470"/>
      <c r="FJ736" s="1469" t="str">
        <f t="shared" si="37"/>
        <v/>
      </c>
      <c r="FK736" s="1480"/>
      <c r="FL736" s="1480"/>
      <c r="FM736" s="1480"/>
      <c r="FN736" s="1470"/>
      <c r="FO736" s="1469" t="str">
        <f t="shared" si="38"/>
        <v/>
      </c>
      <c r="FP736" s="1480"/>
      <c r="FQ736" s="1480"/>
      <c r="FR736" s="1480"/>
      <c r="FS736" s="1470"/>
      <c r="FT736" s="1469" t="str">
        <f t="shared" si="39"/>
        <v/>
      </c>
      <c r="FU736" s="1480"/>
      <c r="FV736" s="1480"/>
      <c r="FW736" s="1480"/>
      <c r="FX736" s="1470"/>
      <c r="FY736" s="1469" t="str">
        <f t="shared" si="40"/>
        <v/>
      </c>
      <c r="FZ736" s="1480"/>
      <c r="GA736" s="1480"/>
      <c r="GB736" s="1480"/>
      <c r="GC736" s="1470"/>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13"/>
        <v>0</v>
      </c>
      <c r="Y737" s="1353"/>
      <c r="Z737" s="1353"/>
      <c r="AA737" s="1353"/>
      <c r="AB737" s="1354"/>
      <c r="AC737" s="1359"/>
      <c r="AD737" s="1360"/>
      <c r="AE737" s="1360"/>
      <c r="AF737" s="1360"/>
      <c r="AG737" s="1361"/>
      <c r="AH737" s="1355" t="str">
        <f t="shared" si="41"/>
        <v/>
      </c>
      <c r="AI737" s="1356"/>
      <c r="AJ737" s="1357"/>
      <c r="AK737" s="1337" t="s">
        <v>591</v>
      </c>
      <c r="AL737" s="1338"/>
      <c r="AM737" s="1338"/>
      <c r="AN737" s="1338"/>
      <c r="AO737" s="1339"/>
      <c r="AP737" s="3"/>
      <c r="AQ737" s="3"/>
      <c r="AR737" s="3"/>
      <c r="AS737" s="3"/>
      <c r="AY737" s="1085"/>
      <c r="AZ737" s="118" t="str">
        <f t="shared" si="14"/>
        <v>N/A</v>
      </c>
      <c r="BA737" s="3"/>
      <c r="BB737" s="3"/>
      <c r="BC737" s="3"/>
      <c r="BD737" s="3"/>
      <c r="BE737" s="204"/>
      <c r="BF737" s="294">
        <f t="shared" si="15"/>
        <v>0</v>
      </c>
      <c r="BG737" s="297">
        <f t="shared" si="16"/>
        <v>0</v>
      </c>
      <c r="BH737" s="298" t="str">
        <f t="shared" si="17"/>
        <v/>
      </c>
      <c r="BI737" s="3"/>
      <c r="BJ737" s="3"/>
      <c r="BK737" s="3"/>
      <c r="BL737" s="3"/>
      <c r="BM737" s="3"/>
      <c r="BN737" s="3"/>
      <c r="BS737" s="294">
        <f t="shared" si="18"/>
        <v>0</v>
      </c>
      <c r="BT737" s="297">
        <f t="shared" si="19"/>
        <v>0</v>
      </c>
      <c r="BU737" s="298" t="str">
        <f t="shared" si="20"/>
        <v/>
      </c>
      <c r="BV737" s="3"/>
      <c r="BW737" s="3"/>
      <c r="BX737" s="3"/>
      <c r="BY737" s="3"/>
      <c r="BZ737" s="3"/>
      <c r="CA737" s="3"/>
      <c r="CB737" s="3"/>
      <c r="CC737" s="3"/>
      <c r="CE737" s="3"/>
      <c r="CF737" s="3"/>
      <c r="CG737" s="1469">
        <f t="shared" si="42"/>
        <v>0</v>
      </c>
      <c r="CH737" s="1470"/>
      <c r="CI737" s="1477">
        <f t="shared" si="43"/>
        <v>0</v>
      </c>
      <c r="CJ737" s="1478"/>
      <c r="CK737" s="1469">
        <f t="shared" si="21"/>
        <v>0</v>
      </c>
      <c r="CL737" s="1470"/>
      <c r="CM737" s="1477">
        <f t="shared" si="22"/>
        <v>0</v>
      </c>
      <c r="CN737" s="1478"/>
      <c r="CO737" s="3"/>
      <c r="CP737" s="1471">
        <f t="shared" si="23"/>
        <v>0</v>
      </c>
      <c r="CQ737" s="1472"/>
      <c r="CR737" s="1472"/>
      <c r="CS737" s="1472"/>
      <c r="CT737" s="1473"/>
      <c r="CU737" s="1445">
        <f t="shared" si="24"/>
        <v>0</v>
      </c>
      <c r="CV737" s="1445"/>
      <c r="CW737" s="1445"/>
      <c r="CX737" s="1445"/>
      <c r="CY737" s="1445"/>
      <c r="CZ737" s="1445">
        <f t="shared" si="25"/>
        <v>0</v>
      </c>
      <c r="DA737" s="1445"/>
      <c r="DB737" s="1445"/>
      <c r="DC737" s="1445"/>
      <c r="DD737" s="1445"/>
      <c r="DE737" s="1445">
        <f t="shared" si="26"/>
        <v>0</v>
      </c>
      <c r="DF737" s="1445"/>
      <c r="DG737" s="1445"/>
      <c r="DH737" s="1445"/>
      <c r="DI737" s="1445"/>
      <c r="DJ737" s="1445">
        <f t="shared" si="27"/>
        <v>0</v>
      </c>
      <c r="DK737" s="1445"/>
      <c r="DL737" s="1445"/>
      <c r="DM737" s="1445"/>
      <c r="DN737" s="1445"/>
      <c r="DO737" s="1445">
        <f t="shared" si="28"/>
        <v>0</v>
      </c>
      <c r="DP737" s="1445"/>
      <c r="DQ737" s="1445"/>
      <c r="DR737" s="1445"/>
      <c r="DS737" s="1445"/>
      <c r="DT737" s="6"/>
      <c r="DU737" s="1444">
        <f t="shared" si="29"/>
        <v>0</v>
      </c>
      <c r="DV737" s="1444"/>
      <c r="DW737" s="1444"/>
      <c r="DX737" s="1444"/>
      <c r="DY737" s="1444"/>
      <c r="DZ737" s="1444">
        <f t="shared" si="30"/>
        <v>0</v>
      </c>
      <c r="EA737" s="1444"/>
      <c r="EB737" s="1444"/>
      <c r="EC737" s="1444"/>
      <c r="ED737" s="1444"/>
      <c r="EE737" s="1444">
        <f t="shared" si="31"/>
        <v>0</v>
      </c>
      <c r="EF737" s="1444"/>
      <c r="EG737" s="1444"/>
      <c r="EH737" s="1444"/>
      <c r="EI737" s="1444"/>
      <c r="EJ737" s="1444">
        <f t="shared" si="32"/>
        <v>0</v>
      </c>
      <c r="EK737" s="1444"/>
      <c r="EL737" s="1444"/>
      <c r="EM737" s="1444"/>
      <c r="EN737" s="1444"/>
      <c r="EO737" s="1444">
        <f t="shared" si="33"/>
        <v>0</v>
      </c>
      <c r="EP737" s="1444"/>
      <c r="EQ737" s="1444"/>
      <c r="ER737" s="1444"/>
      <c r="ES737" s="1444"/>
      <c r="ET737" s="1444">
        <f t="shared" si="34"/>
        <v>0</v>
      </c>
      <c r="EU737" s="1444"/>
      <c r="EV737" s="1444"/>
      <c r="EW737" s="1444"/>
      <c r="EX737" s="1444"/>
      <c r="EZ737" s="1469" t="str">
        <f t="shared" si="35"/>
        <v/>
      </c>
      <c r="FA737" s="1480"/>
      <c r="FB737" s="1480"/>
      <c r="FC737" s="1480"/>
      <c r="FD737" s="1470"/>
      <c r="FE737" s="1469" t="str">
        <f t="shared" si="36"/>
        <v/>
      </c>
      <c r="FF737" s="1480"/>
      <c r="FG737" s="1480"/>
      <c r="FH737" s="1480"/>
      <c r="FI737" s="1470"/>
      <c r="FJ737" s="1469" t="str">
        <f t="shared" si="37"/>
        <v/>
      </c>
      <c r="FK737" s="1480"/>
      <c r="FL737" s="1480"/>
      <c r="FM737" s="1480"/>
      <c r="FN737" s="1470"/>
      <c r="FO737" s="1469" t="str">
        <f t="shared" si="38"/>
        <v/>
      </c>
      <c r="FP737" s="1480"/>
      <c r="FQ737" s="1480"/>
      <c r="FR737" s="1480"/>
      <c r="FS737" s="1470"/>
      <c r="FT737" s="1469" t="str">
        <f t="shared" si="39"/>
        <v/>
      </c>
      <c r="FU737" s="1480"/>
      <c r="FV737" s="1480"/>
      <c r="FW737" s="1480"/>
      <c r="FX737" s="1470"/>
      <c r="FY737" s="1469" t="str">
        <f t="shared" si="40"/>
        <v/>
      </c>
      <c r="FZ737" s="1480"/>
      <c r="GA737" s="1480"/>
      <c r="GB737" s="1480"/>
      <c r="GC737" s="1470"/>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13"/>
        <v>0</v>
      </c>
      <c r="Y738" s="1353"/>
      <c r="Z738" s="1353"/>
      <c r="AA738" s="1353"/>
      <c r="AB738" s="1354"/>
      <c r="AC738" s="1359"/>
      <c r="AD738" s="1360"/>
      <c r="AE738" s="1360"/>
      <c r="AF738" s="1360"/>
      <c r="AG738" s="1361"/>
      <c r="AH738" s="1355" t="str">
        <f t="shared" si="41"/>
        <v/>
      </c>
      <c r="AI738" s="1356"/>
      <c r="AJ738" s="1357"/>
      <c r="AK738" s="1337" t="s">
        <v>591</v>
      </c>
      <c r="AL738" s="1338"/>
      <c r="AM738" s="1338"/>
      <c r="AN738" s="1338"/>
      <c r="AO738" s="1339"/>
      <c r="AP738" s="3"/>
      <c r="AQ738" s="3"/>
      <c r="AR738" s="3"/>
      <c r="AS738" s="3"/>
      <c r="AY738" s="1085"/>
      <c r="AZ738" s="118" t="str">
        <f t="shared" si="14"/>
        <v>N/A</v>
      </c>
      <c r="BA738" s="3"/>
      <c r="BE738" s="204"/>
      <c r="BF738" s="294">
        <f t="shared" si="15"/>
        <v>0</v>
      </c>
      <c r="BG738" s="297">
        <f t="shared" si="16"/>
        <v>0</v>
      </c>
      <c r="BH738" s="298" t="str">
        <f t="shared" si="17"/>
        <v/>
      </c>
      <c r="BK738" s="3"/>
      <c r="BL738" s="3"/>
      <c r="BM738" s="3"/>
      <c r="BN738" s="3"/>
      <c r="BS738" s="294">
        <f t="shared" si="18"/>
        <v>0</v>
      </c>
      <c r="BT738" s="297">
        <f t="shared" si="19"/>
        <v>0</v>
      </c>
      <c r="BU738" s="298" t="str">
        <f t="shared" si="20"/>
        <v/>
      </c>
      <c r="BV738" s="3"/>
      <c r="BW738" s="3"/>
      <c r="BX738" s="3"/>
      <c r="BY738" s="3"/>
      <c r="BZ738" s="3"/>
      <c r="CA738" s="3"/>
      <c r="CB738" s="3"/>
      <c r="CC738" s="3"/>
      <c r="CE738" s="3"/>
      <c r="CF738" s="3"/>
      <c r="CG738" s="1469">
        <f t="shared" si="42"/>
        <v>0</v>
      </c>
      <c r="CH738" s="1470"/>
      <c r="CI738" s="1477">
        <f t="shared" si="43"/>
        <v>0</v>
      </c>
      <c r="CJ738" s="1478"/>
      <c r="CK738" s="1469">
        <f t="shared" si="21"/>
        <v>0</v>
      </c>
      <c r="CL738" s="1470"/>
      <c r="CM738" s="1477">
        <f t="shared" si="22"/>
        <v>0</v>
      </c>
      <c r="CN738" s="1478"/>
      <c r="CO738" s="3"/>
      <c r="CP738" s="1471">
        <f t="shared" si="23"/>
        <v>0</v>
      </c>
      <c r="CQ738" s="1472"/>
      <c r="CR738" s="1472"/>
      <c r="CS738" s="1472"/>
      <c r="CT738" s="1473"/>
      <c r="CU738" s="1445">
        <f t="shared" si="24"/>
        <v>0</v>
      </c>
      <c r="CV738" s="1445"/>
      <c r="CW738" s="1445"/>
      <c r="CX738" s="1445"/>
      <c r="CY738" s="1445"/>
      <c r="CZ738" s="1445">
        <f t="shared" si="25"/>
        <v>0</v>
      </c>
      <c r="DA738" s="1445"/>
      <c r="DB738" s="1445"/>
      <c r="DC738" s="1445"/>
      <c r="DD738" s="1445"/>
      <c r="DE738" s="1445">
        <f t="shared" si="26"/>
        <v>0</v>
      </c>
      <c r="DF738" s="1445"/>
      <c r="DG738" s="1445"/>
      <c r="DH738" s="1445"/>
      <c r="DI738" s="1445"/>
      <c r="DJ738" s="1445">
        <f t="shared" si="27"/>
        <v>0</v>
      </c>
      <c r="DK738" s="1445"/>
      <c r="DL738" s="1445"/>
      <c r="DM738" s="1445"/>
      <c r="DN738" s="1445"/>
      <c r="DO738" s="1445">
        <f t="shared" si="28"/>
        <v>0</v>
      </c>
      <c r="DP738" s="1445"/>
      <c r="DQ738" s="1445"/>
      <c r="DR738" s="1445"/>
      <c r="DS738" s="1445"/>
      <c r="DT738" s="6"/>
      <c r="DU738" s="1444">
        <f t="shared" si="29"/>
        <v>0</v>
      </c>
      <c r="DV738" s="1444"/>
      <c r="DW738" s="1444"/>
      <c r="DX738" s="1444"/>
      <c r="DY738" s="1444"/>
      <c r="DZ738" s="1444">
        <f t="shared" si="30"/>
        <v>0</v>
      </c>
      <c r="EA738" s="1444"/>
      <c r="EB738" s="1444"/>
      <c r="EC738" s="1444"/>
      <c r="ED738" s="1444"/>
      <c r="EE738" s="1444">
        <f t="shared" si="31"/>
        <v>0</v>
      </c>
      <c r="EF738" s="1444"/>
      <c r="EG738" s="1444"/>
      <c r="EH738" s="1444"/>
      <c r="EI738" s="1444"/>
      <c r="EJ738" s="1444">
        <f t="shared" si="32"/>
        <v>0</v>
      </c>
      <c r="EK738" s="1444"/>
      <c r="EL738" s="1444"/>
      <c r="EM738" s="1444"/>
      <c r="EN738" s="1444"/>
      <c r="EO738" s="1444">
        <f t="shared" si="33"/>
        <v>0</v>
      </c>
      <c r="EP738" s="1444"/>
      <c r="EQ738" s="1444"/>
      <c r="ER738" s="1444"/>
      <c r="ES738" s="1444"/>
      <c r="ET738" s="1444">
        <f t="shared" si="34"/>
        <v>0</v>
      </c>
      <c r="EU738" s="1444"/>
      <c r="EV738" s="1444"/>
      <c r="EW738" s="1444"/>
      <c r="EX738" s="1444"/>
      <c r="EZ738" s="1469" t="str">
        <f t="shared" si="35"/>
        <v/>
      </c>
      <c r="FA738" s="1480"/>
      <c r="FB738" s="1480"/>
      <c r="FC738" s="1480"/>
      <c r="FD738" s="1470"/>
      <c r="FE738" s="1469" t="str">
        <f t="shared" si="36"/>
        <v/>
      </c>
      <c r="FF738" s="1480"/>
      <c r="FG738" s="1480"/>
      <c r="FH738" s="1480"/>
      <c r="FI738" s="1470"/>
      <c r="FJ738" s="1469" t="str">
        <f t="shared" si="37"/>
        <v/>
      </c>
      <c r="FK738" s="1480"/>
      <c r="FL738" s="1480"/>
      <c r="FM738" s="1480"/>
      <c r="FN738" s="1470"/>
      <c r="FO738" s="1469" t="str">
        <f t="shared" si="38"/>
        <v/>
      </c>
      <c r="FP738" s="1480"/>
      <c r="FQ738" s="1480"/>
      <c r="FR738" s="1480"/>
      <c r="FS738" s="1470"/>
      <c r="FT738" s="1469" t="str">
        <f t="shared" si="39"/>
        <v/>
      </c>
      <c r="FU738" s="1480"/>
      <c r="FV738" s="1480"/>
      <c r="FW738" s="1480"/>
      <c r="FX738" s="1470"/>
      <c r="FY738" s="1469" t="str">
        <f t="shared" si="40"/>
        <v/>
      </c>
      <c r="FZ738" s="1480"/>
      <c r="GA738" s="1480"/>
      <c r="GB738" s="1480"/>
      <c r="GC738" s="1470"/>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13"/>
        <v>0</v>
      </c>
      <c r="Y739" s="1353"/>
      <c r="Z739" s="1353"/>
      <c r="AA739" s="1353"/>
      <c r="AB739" s="1354"/>
      <c r="AC739" s="1359"/>
      <c r="AD739" s="1360"/>
      <c r="AE739" s="1360"/>
      <c r="AF739" s="1360"/>
      <c r="AG739" s="1361"/>
      <c r="AH739" s="1355" t="str">
        <f t="shared" si="41"/>
        <v/>
      </c>
      <c r="AI739" s="1356"/>
      <c r="AJ739" s="1357"/>
      <c r="AK739" s="1337" t="s">
        <v>591</v>
      </c>
      <c r="AL739" s="1338"/>
      <c r="AM739" s="1338"/>
      <c r="AN739" s="1338"/>
      <c r="AO739" s="1339"/>
      <c r="AP739" s="3"/>
      <c r="AQ739" s="3"/>
      <c r="AR739" s="3"/>
      <c r="AS739" s="3"/>
      <c r="AY739" s="1085"/>
      <c r="AZ739" s="118" t="str">
        <f t="shared" si="14"/>
        <v>N/A</v>
      </c>
      <c r="BA739" s="3"/>
      <c r="BE739" s="204"/>
      <c r="BF739" s="294">
        <f t="shared" si="15"/>
        <v>0</v>
      </c>
      <c r="BG739" s="297">
        <f t="shared" si="16"/>
        <v>0</v>
      </c>
      <c r="BH739" s="298" t="str">
        <f t="shared" si="17"/>
        <v/>
      </c>
      <c r="BK739" s="3"/>
      <c r="BL739" s="3"/>
      <c r="BM739" s="3"/>
      <c r="BN739" s="3"/>
      <c r="BS739" s="294">
        <f t="shared" si="18"/>
        <v>0</v>
      </c>
      <c r="BT739" s="297">
        <f t="shared" si="19"/>
        <v>0</v>
      </c>
      <c r="BU739" s="298" t="str">
        <f t="shared" si="20"/>
        <v/>
      </c>
      <c r="BV739" s="3"/>
      <c r="BW739" s="3"/>
      <c r="BX739" s="3"/>
      <c r="BY739" s="3"/>
      <c r="BZ739" s="3"/>
      <c r="CA739" s="3"/>
      <c r="CB739" s="3"/>
      <c r="CC739" s="3"/>
      <c r="CE739" s="3"/>
      <c r="CF739" s="3"/>
      <c r="CG739" s="1469">
        <f t="shared" si="42"/>
        <v>0</v>
      </c>
      <c r="CH739" s="1470"/>
      <c r="CI739" s="1477">
        <f t="shared" si="43"/>
        <v>0</v>
      </c>
      <c r="CJ739" s="1478"/>
      <c r="CK739" s="1469">
        <f t="shared" si="21"/>
        <v>0</v>
      </c>
      <c r="CL739" s="1470"/>
      <c r="CM739" s="1477">
        <f t="shared" si="22"/>
        <v>0</v>
      </c>
      <c r="CN739" s="1478"/>
      <c r="CO739" s="3"/>
      <c r="CP739" s="1471">
        <f t="shared" si="23"/>
        <v>0</v>
      </c>
      <c r="CQ739" s="1472"/>
      <c r="CR739" s="1472"/>
      <c r="CS739" s="1472"/>
      <c r="CT739" s="1473"/>
      <c r="CU739" s="1445">
        <f t="shared" si="24"/>
        <v>0</v>
      </c>
      <c r="CV739" s="1445"/>
      <c r="CW739" s="1445"/>
      <c r="CX739" s="1445"/>
      <c r="CY739" s="1445"/>
      <c r="CZ739" s="1445">
        <f t="shared" si="25"/>
        <v>0</v>
      </c>
      <c r="DA739" s="1445"/>
      <c r="DB739" s="1445"/>
      <c r="DC739" s="1445"/>
      <c r="DD739" s="1445"/>
      <c r="DE739" s="1445">
        <f t="shared" si="26"/>
        <v>0</v>
      </c>
      <c r="DF739" s="1445"/>
      <c r="DG739" s="1445"/>
      <c r="DH739" s="1445"/>
      <c r="DI739" s="1445"/>
      <c r="DJ739" s="1445">
        <f t="shared" si="27"/>
        <v>0</v>
      </c>
      <c r="DK739" s="1445"/>
      <c r="DL739" s="1445"/>
      <c r="DM739" s="1445"/>
      <c r="DN739" s="1445"/>
      <c r="DO739" s="1445">
        <f t="shared" si="28"/>
        <v>0</v>
      </c>
      <c r="DP739" s="1445"/>
      <c r="DQ739" s="1445"/>
      <c r="DR739" s="1445"/>
      <c r="DS739" s="1445"/>
      <c r="DT739" s="6"/>
      <c r="DU739" s="1444">
        <f t="shared" si="29"/>
        <v>0</v>
      </c>
      <c r="DV739" s="1444"/>
      <c r="DW739" s="1444"/>
      <c r="DX739" s="1444"/>
      <c r="DY739" s="1444"/>
      <c r="DZ739" s="1444">
        <f t="shared" si="30"/>
        <v>0</v>
      </c>
      <c r="EA739" s="1444"/>
      <c r="EB739" s="1444"/>
      <c r="EC739" s="1444"/>
      <c r="ED739" s="1444"/>
      <c r="EE739" s="1444">
        <f t="shared" si="31"/>
        <v>0</v>
      </c>
      <c r="EF739" s="1444"/>
      <c r="EG739" s="1444"/>
      <c r="EH739" s="1444"/>
      <c r="EI739" s="1444"/>
      <c r="EJ739" s="1444">
        <f t="shared" si="32"/>
        <v>0</v>
      </c>
      <c r="EK739" s="1444"/>
      <c r="EL739" s="1444"/>
      <c r="EM739" s="1444"/>
      <c r="EN739" s="1444"/>
      <c r="EO739" s="1444">
        <f t="shared" si="33"/>
        <v>0</v>
      </c>
      <c r="EP739" s="1444"/>
      <c r="EQ739" s="1444"/>
      <c r="ER739" s="1444"/>
      <c r="ES739" s="1444"/>
      <c r="ET739" s="1444">
        <f t="shared" si="34"/>
        <v>0</v>
      </c>
      <c r="EU739" s="1444"/>
      <c r="EV739" s="1444"/>
      <c r="EW739" s="1444"/>
      <c r="EX739" s="1444"/>
      <c r="EZ739" s="1469" t="str">
        <f t="shared" si="35"/>
        <v/>
      </c>
      <c r="FA739" s="1480"/>
      <c r="FB739" s="1480"/>
      <c r="FC739" s="1480"/>
      <c r="FD739" s="1470"/>
      <c r="FE739" s="1469" t="str">
        <f t="shared" si="36"/>
        <v/>
      </c>
      <c r="FF739" s="1480"/>
      <c r="FG739" s="1480"/>
      <c r="FH739" s="1480"/>
      <c r="FI739" s="1470"/>
      <c r="FJ739" s="1469" t="str">
        <f t="shared" si="37"/>
        <v/>
      </c>
      <c r="FK739" s="1480"/>
      <c r="FL739" s="1480"/>
      <c r="FM739" s="1480"/>
      <c r="FN739" s="1470"/>
      <c r="FO739" s="1469" t="str">
        <f t="shared" si="38"/>
        <v/>
      </c>
      <c r="FP739" s="1480"/>
      <c r="FQ739" s="1480"/>
      <c r="FR739" s="1480"/>
      <c r="FS739" s="1470"/>
      <c r="FT739" s="1469" t="str">
        <f t="shared" si="39"/>
        <v/>
      </c>
      <c r="FU739" s="1480"/>
      <c r="FV739" s="1480"/>
      <c r="FW739" s="1480"/>
      <c r="FX739" s="1470"/>
      <c r="FY739" s="1469" t="str">
        <f t="shared" si="40"/>
        <v/>
      </c>
      <c r="FZ739" s="1480"/>
      <c r="GA739" s="1480"/>
      <c r="GB739" s="1480"/>
      <c r="GC739" s="1470"/>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13"/>
        <v>0</v>
      </c>
      <c r="Y740" s="1353"/>
      <c r="Z740" s="1353"/>
      <c r="AA740" s="1353"/>
      <c r="AB740" s="1354"/>
      <c r="AC740" s="1359"/>
      <c r="AD740" s="1360"/>
      <c r="AE740" s="1360"/>
      <c r="AF740" s="1360"/>
      <c r="AG740" s="1361"/>
      <c r="AH740" s="1355" t="str">
        <f t="shared" si="41"/>
        <v/>
      </c>
      <c r="AI740" s="1356"/>
      <c r="AJ740" s="1357"/>
      <c r="AK740" s="1337" t="s">
        <v>591</v>
      </c>
      <c r="AL740" s="1338"/>
      <c r="AM740" s="1338"/>
      <c r="AN740" s="1338"/>
      <c r="AO740" s="1339"/>
      <c r="AP740" s="3"/>
      <c r="AQ740" s="3"/>
      <c r="AR740" s="3"/>
      <c r="AS740" s="3"/>
      <c r="AY740" s="1085"/>
      <c r="AZ740" s="118" t="str">
        <f t="shared" si="14"/>
        <v>N/A</v>
      </c>
      <c r="BA740" s="3"/>
      <c r="BE740" s="204"/>
      <c r="BF740" s="294">
        <f t="shared" si="15"/>
        <v>0</v>
      </c>
      <c r="BG740" s="297">
        <f t="shared" si="16"/>
        <v>0</v>
      </c>
      <c r="BH740" s="298" t="str">
        <f t="shared" si="17"/>
        <v/>
      </c>
      <c r="BK740" s="3"/>
      <c r="BL740" s="3"/>
      <c r="BM740" s="3"/>
      <c r="BN740" s="3"/>
      <c r="BS740" s="294">
        <f t="shared" si="18"/>
        <v>0</v>
      </c>
      <c r="BT740" s="297">
        <f t="shared" si="19"/>
        <v>0</v>
      </c>
      <c r="BU740" s="298" t="str">
        <f t="shared" si="20"/>
        <v/>
      </c>
      <c r="BV740" s="3"/>
      <c r="BW740" s="3"/>
      <c r="BX740" s="3"/>
      <c r="BY740" s="3"/>
      <c r="BZ740" s="3"/>
      <c r="CA740" s="3"/>
      <c r="CB740" s="3"/>
      <c r="CC740" s="3"/>
      <c r="CE740" s="3"/>
      <c r="CF740" s="3"/>
      <c r="CG740" s="1469">
        <f t="shared" si="42"/>
        <v>0</v>
      </c>
      <c r="CH740" s="1470"/>
      <c r="CI740" s="1477">
        <f t="shared" si="43"/>
        <v>0</v>
      </c>
      <c r="CJ740" s="1478"/>
      <c r="CK740" s="1469">
        <f t="shared" si="21"/>
        <v>0</v>
      </c>
      <c r="CL740" s="1470"/>
      <c r="CM740" s="1477">
        <f t="shared" si="22"/>
        <v>0</v>
      </c>
      <c r="CN740" s="1478"/>
      <c r="CO740" s="3"/>
      <c r="CP740" s="1471">
        <f t="shared" si="23"/>
        <v>0</v>
      </c>
      <c r="CQ740" s="1472"/>
      <c r="CR740" s="1472"/>
      <c r="CS740" s="1472"/>
      <c r="CT740" s="1473"/>
      <c r="CU740" s="1445">
        <f t="shared" si="24"/>
        <v>0</v>
      </c>
      <c r="CV740" s="1445"/>
      <c r="CW740" s="1445"/>
      <c r="CX740" s="1445"/>
      <c r="CY740" s="1445"/>
      <c r="CZ740" s="1445">
        <f t="shared" si="25"/>
        <v>0</v>
      </c>
      <c r="DA740" s="1445"/>
      <c r="DB740" s="1445"/>
      <c r="DC740" s="1445"/>
      <c r="DD740" s="1445"/>
      <c r="DE740" s="1445">
        <f t="shared" si="26"/>
        <v>0</v>
      </c>
      <c r="DF740" s="1445"/>
      <c r="DG740" s="1445"/>
      <c r="DH740" s="1445"/>
      <c r="DI740" s="1445"/>
      <c r="DJ740" s="1445">
        <f t="shared" si="27"/>
        <v>0</v>
      </c>
      <c r="DK740" s="1445"/>
      <c r="DL740" s="1445"/>
      <c r="DM740" s="1445"/>
      <c r="DN740" s="1445"/>
      <c r="DO740" s="1445">
        <f t="shared" si="28"/>
        <v>0</v>
      </c>
      <c r="DP740" s="1445"/>
      <c r="DQ740" s="1445"/>
      <c r="DR740" s="1445"/>
      <c r="DS740" s="1445"/>
      <c r="DT740" s="6"/>
      <c r="DU740" s="1444">
        <f t="shared" si="29"/>
        <v>0</v>
      </c>
      <c r="DV740" s="1444"/>
      <c r="DW740" s="1444"/>
      <c r="DX740" s="1444"/>
      <c r="DY740" s="1444"/>
      <c r="DZ740" s="1444">
        <f t="shared" si="30"/>
        <v>0</v>
      </c>
      <c r="EA740" s="1444"/>
      <c r="EB740" s="1444"/>
      <c r="EC740" s="1444"/>
      <c r="ED740" s="1444"/>
      <c r="EE740" s="1444">
        <f t="shared" si="31"/>
        <v>0</v>
      </c>
      <c r="EF740" s="1444"/>
      <c r="EG740" s="1444"/>
      <c r="EH740" s="1444"/>
      <c r="EI740" s="1444"/>
      <c r="EJ740" s="1444">
        <f t="shared" si="32"/>
        <v>0</v>
      </c>
      <c r="EK740" s="1444"/>
      <c r="EL740" s="1444"/>
      <c r="EM740" s="1444"/>
      <c r="EN740" s="1444"/>
      <c r="EO740" s="1444">
        <f t="shared" si="33"/>
        <v>0</v>
      </c>
      <c r="EP740" s="1444"/>
      <c r="EQ740" s="1444"/>
      <c r="ER740" s="1444"/>
      <c r="ES740" s="1444"/>
      <c r="ET740" s="1444">
        <f t="shared" si="34"/>
        <v>0</v>
      </c>
      <c r="EU740" s="1444"/>
      <c r="EV740" s="1444"/>
      <c r="EW740" s="1444"/>
      <c r="EX740" s="1444"/>
      <c r="EZ740" s="1469" t="str">
        <f t="shared" si="35"/>
        <v/>
      </c>
      <c r="FA740" s="1480"/>
      <c r="FB740" s="1480"/>
      <c r="FC740" s="1480"/>
      <c r="FD740" s="1470"/>
      <c r="FE740" s="1469" t="str">
        <f t="shared" si="36"/>
        <v/>
      </c>
      <c r="FF740" s="1480"/>
      <c r="FG740" s="1480"/>
      <c r="FH740" s="1480"/>
      <c r="FI740" s="1470"/>
      <c r="FJ740" s="1469" t="str">
        <f t="shared" si="37"/>
        <v/>
      </c>
      <c r="FK740" s="1480"/>
      <c r="FL740" s="1480"/>
      <c r="FM740" s="1480"/>
      <c r="FN740" s="1470"/>
      <c r="FO740" s="1469" t="str">
        <f t="shared" si="38"/>
        <v/>
      </c>
      <c r="FP740" s="1480"/>
      <c r="FQ740" s="1480"/>
      <c r="FR740" s="1480"/>
      <c r="FS740" s="1470"/>
      <c r="FT740" s="1469" t="str">
        <f t="shared" si="39"/>
        <v/>
      </c>
      <c r="FU740" s="1480"/>
      <c r="FV740" s="1480"/>
      <c r="FW740" s="1480"/>
      <c r="FX740" s="1470"/>
      <c r="FY740" s="1469" t="str">
        <f t="shared" si="40"/>
        <v/>
      </c>
      <c r="FZ740" s="1480"/>
      <c r="GA740" s="1480"/>
      <c r="GB740" s="1480"/>
      <c r="GC740" s="1470"/>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13"/>
        <v>0</v>
      </c>
      <c r="Y741" s="1353"/>
      <c r="Z741" s="1353"/>
      <c r="AA741" s="1353"/>
      <c r="AB741" s="1354"/>
      <c r="AC741" s="1359"/>
      <c r="AD741" s="1360"/>
      <c r="AE741" s="1360"/>
      <c r="AF741" s="1360"/>
      <c r="AG741" s="1361"/>
      <c r="AH741" s="1355" t="str">
        <f t="shared" si="41"/>
        <v/>
      </c>
      <c r="AI741" s="1356"/>
      <c r="AJ741" s="1357"/>
      <c r="AK741" s="1337" t="s">
        <v>591</v>
      </c>
      <c r="AL741" s="1338"/>
      <c r="AM741" s="1338"/>
      <c r="AN741" s="1338"/>
      <c r="AO741" s="1339"/>
      <c r="AP741" s="3"/>
      <c r="AQ741" s="3"/>
      <c r="AR741" s="3"/>
      <c r="AS741" s="3"/>
      <c r="AY741" s="1085"/>
      <c r="AZ741" s="118" t="str">
        <f t="shared" si="14"/>
        <v>N/A</v>
      </c>
      <c r="BA741" s="3"/>
      <c r="BE741" s="204"/>
      <c r="BF741" s="294">
        <f t="shared" si="15"/>
        <v>0</v>
      </c>
      <c r="BG741" s="297">
        <f t="shared" si="16"/>
        <v>0</v>
      </c>
      <c r="BH741" s="298" t="str">
        <f t="shared" si="17"/>
        <v/>
      </c>
      <c r="BK741" s="3"/>
      <c r="BL741" s="3"/>
      <c r="BM741" s="3"/>
      <c r="BN741" s="3"/>
      <c r="BS741" s="294">
        <f t="shared" si="18"/>
        <v>0</v>
      </c>
      <c r="BT741" s="297">
        <f t="shared" si="19"/>
        <v>0</v>
      </c>
      <c r="BU741" s="298" t="str">
        <f t="shared" si="20"/>
        <v/>
      </c>
      <c r="BV741" s="3"/>
      <c r="BW741" s="3"/>
      <c r="BX741" s="3"/>
      <c r="BY741" s="3"/>
      <c r="BZ741" s="3"/>
      <c r="CA741" s="3"/>
      <c r="CB741" s="3"/>
      <c r="CC741" s="3"/>
      <c r="CE741" s="3"/>
      <c r="CF741" s="3"/>
      <c r="CG741" s="1469">
        <f t="shared" si="42"/>
        <v>0</v>
      </c>
      <c r="CH741" s="1470"/>
      <c r="CI741" s="1477">
        <f t="shared" si="43"/>
        <v>0</v>
      </c>
      <c r="CJ741" s="1478"/>
      <c r="CK741" s="1469">
        <f t="shared" si="21"/>
        <v>0</v>
      </c>
      <c r="CL741" s="1470"/>
      <c r="CM741" s="1477">
        <f t="shared" si="22"/>
        <v>0</v>
      </c>
      <c r="CN741" s="1478"/>
      <c r="CO741" s="3"/>
      <c r="CP741" s="1471">
        <f t="shared" si="23"/>
        <v>0</v>
      </c>
      <c r="CQ741" s="1472"/>
      <c r="CR741" s="1472"/>
      <c r="CS741" s="1472"/>
      <c r="CT741" s="1473"/>
      <c r="CU741" s="1445">
        <f t="shared" si="24"/>
        <v>0</v>
      </c>
      <c r="CV741" s="1445"/>
      <c r="CW741" s="1445"/>
      <c r="CX741" s="1445"/>
      <c r="CY741" s="1445"/>
      <c r="CZ741" s="1445">
        <f t="shared" si="25"/>
        <v>0</v>
      </c>
      <c r="DA741" s="1445"/>
      <c r="DB741" s="1445"/>
      <c r="DC741" s="1445"/>
      <c r="DD741" s="1445"/>
      <c r="DE741" s="1445">
        <f t="shared" si="26"/>
        <v>0</v>
      </c>
      <c r="DF741" s="1445"/>
      <c r="DG741" s="1445"/>
      <c r="DH741" s="1445"/>
      <c r="DI741" s="1445"/>
      <c r="DJ741" s="1445">
        <f t="shared" si="27"/>
        <v>0</v>
      </c>
      <c r="DK741" s="1445"/>
      <c r="DL741" s="1445"/>
      <c r="DM741" s="1445"/>
      <c r="DN741" s="1445"/>
      <c r="DO741" s="1445">
        <f t="shared" si="28"/>
        <v>0</v>
      </c>
      <c r="DP741" s="1445"/>
      <c r="DQ741" s="1445"/>
      <c r="DR741" s="1445"/>
      <c r="DS741" s="1445"/>
      <c r="DT741" s="6"/>
      <c r="DU741" s="1444">
        <f t="shared" si="29"/>
        <v>0</v>
      </c>
      <c r="DV741" s="1444"/>
      <c r="DW741" s="1444"/>
      <c r="DX741" s="1444"/>
      <c r="DY741" s="1444"/>
      <c r="DZ741" s="1444">
        <f t="shared" si="30"/>
        <v>0</v>
      </c>
      <c r="EA741" s="1444"/>
      <c r="EB741" s="1444"/>
      <c r="EC741" s="1444"/>
      <c r="ED741" s="1444"/>
      <c r="EE741" s="1444">
        <f t="shared" si="31"/>
        <v>0</v>
      </c>
      <c r="EF741" s="1444"/>
      <c r="EG741" s="1444"/>
      <c r="EH741" s="1444"/>
      <c r="EI741" s="1444"/>
      <c r="EJ741" s="1444">
        <f t="shared" si="32"/>
        <v>0</v>
      </c>
      <c r="EK741" s="1444"/>
      <c r="EL741" s="1444"/>
      <c r="EM741" s="1444"/>
      <c r="EN741" s="1444"/>
      <c r="EO741" s="1444">
        <f t="shared" si="33"/>
        <v>0</v>
      </c>
      <c r="EP741" s="1444"/>
      <c r="EQ741" s="1444"/>
      <c r="ER741" s="1444"/>
      <c r="ES741" s="1444"/>
      <c r="ET741" s="1444">
        <f t="shared" si="34"/>
        <v>0</v>
      </c>
      <c r="EU741" s="1444"/>
      <c r="EV741" s="1444"/>
      <c r="EW741" s="1444"/>
      <c r="EX741" s="1444"/>
      <c r="EZ741" s="1469" t="str">
        <f t="shared" si="35"/>
        <v/>
      </c>
      <c r="FA741" s="1480"/>
      <c r="FB741" s="1480"/>
      <c r="FC741" s="1480"/>
      <c r="FD741" s="1470"/>
      <c r="FE741" s="1469" t="str">
        <f t="shared" si="36"/>
        <v/>
      </c>
      <c r="FF741" s="1480"/>
      <c r="FG741" s="1480"/>
      <c r="FH741" s="1480"/>
      <c r="FI741" s="1470"/>
      <c r="FJ741" s="1469" t="str">
        <f t="shared" si="37"/>
        <v/>
      </c>
      <c r="FK741" s="1480"/>
      <c r="FL741" s="1480"/>
      <c r="FM741" s="1480"/>
      <c r="FN741" s="1470"/>
      <c r="FO741" s="1469" t="str">
        <f t="shared" si="38"/>
        <v/>
      </c>
      <c r="FP741" s="1480"/>
      <c r="FQ741" s="1480"/>
      <c r="FR741" s="1480"/>
      <c r="FS741" s="1470"/>
      <c r="FT741" s="1469" t="str">
        <f t="shared" si="39"/>
        <v/>
      </c>
      <c r="FU741" s="1480"/>
      <c r="FV741" s="1480"/>
      <c r="FW741" s="1480"/>
      <c r="FX741" s="1470"/>
      <c r="FY741" s="1469" t="str">
        <f t="shared" si="40"/>
        <v/>
      </c>
      <c r="FZ741" s="1480"/>
      <c r="GA741" s="1480"/>
      <c r="GB741" s="1480"/>
      <c r="GC741" s="1470"/>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4">O742+T742</f>
        <v>0</v>
      </c>
      <c r="Y742" s="1353"/>
      <c r="Z742" s="1353"/>
      <c r="AA742" s="1353"/>
      <c r="AB742" s="1354"/>
      <c r="AC742" s="1359"/>
      <c r="AD742" s="1360"/>
      <c r="AE742" s="1360"/>
      <c r="AF742" s="1360"/>
      <c r="AG742" s="1361"/>
      <c r="AH742" s="1355" t="str">
        <f t="shared" si="41"/>
        <v/>
      </c>
      <c r="AI742" s="1356"/>
      <c r="AJ742" s="1357"/>
      <c r="AK742" s="1337" t="s">
        <v>591</v>
      </c>
      <c r="AL742" s="1338"/>
      <c r="AM742" s="1338"/>
      <c r="AN742" s="1338"/>
      <c r="AO742" s="1339"/>
      <c r="AP742" s="3"/>
      <c r="AQ742" s="3"/>
      <c r="AR742" s="3"/>
      <c r="AS742" s="3"/>
      <c r="AY742" s="1085"/>
      <c r="AZ742" s="118" t="str">
        <f t="shared" si="14"/>
        <v>N/A</v>
      </c>
      <c r="BA742" s="3"/>
      <c r="BB742" s="3"/>
      <c r="BE742" s="204"/>
      <c r="BF742" s="294">
        <f t="shared" si="15"/>
        <v>0</v>
      </c>
      <c r="BG742" s="297">
        <f t="shared" si="16"/>
        <v>0</v>
      </c>
      <c r="BH742" s="298" t="str">
        <f t="shared" si="17"/>
        <v/>
      </c>
      <c r="BL742" s="3"/>
      <c r="BM742" s="3"/>
      <c r="BN742" s="3"/>
      <c r="BS742" s="294">
        <f t="shared" si="18"/>
        <v>0</v>
      </c>
      <c r="BT742" s="297">
        <f t="shared" si="19"/>
        <v>0</v>
      </c>
      <c r="BU742" s="298" t="str">
        <f t="shared" si="20"/>
        <v/>
      </c>
      <c r="BV742" s="3"/>
      <c r="BW742" s="3"/>
      <c r="BX742" s="3"/>
      <c r="BY742" s="3"/>
      <c r="BZ742" s="3"/>
      <c r="CA742" s="3"/>
      <c r="CB742" s="3"/>
      <c r="CC742" s="3"/>
      <c r="CE742" s="3"/>
      <c r="CF742" s="3"/>
      <c r="CG742" s="1469">
        <f t="shared" si="42"/>
        <v>0</v>
      </c>
      <c r="CH742" s="1470"/>
      <c r="CI742" s="1477">
        <f t="shared" si="43"/>
        <v>0</v>
      </c>
      <c r="CJ742" s="1478"/>
      <c r="CK742" s="1469">
        <f t="shared" si="21"/>
        <v>0</v>
      </c>
      <c r="CL742" s="1470"/>
      <c r="CM742" s="1477">
        <f t="shared" si="22"/>
        <v>0</v>
      </c>
      <c r="CN742" s="1478"/>
      <c r="CO742" s="3"/>
      <c r="CP742" s="1471">
        <f t="shared" si="23"/>
        <v>0</v>
      </c>
      <c r="CQ742" s="1472"/>
      <c r="CR742" s="1472"/>
      <c r="CS742" s="1472"/>
      <c r="CT742" s="1473"/>
      <c r="CU742" s="1445">
        <f t="shared" si="24"/>
        <v>0</v>
      </c>
      <c r="CV742" s="1445"/>
      <c r="CW742" s="1445"/>
      <c r="CX742" s="1445"/>
      <c r="CY742" s="1445"/>
      <c r="CZ742" s="1445">
        <f t="shared" si="25"/>
        <v>0</v>
      </c>
      <c r="DA742" s="1445"/>
      <c r="DB742" s="1445"/>
      <c r="DC742" s="1445"/>
      <c r="DD742" s="1445"/>
      <c r="DE742" s="1445">
        <f t="shared" si="26"/>
        <v>0</v>
      </c>
      <c r="DF742" s="1445"/>
      <c r="DG742" s="1445"/>
      <c r="DH742" s="1445"/>
      <c r="DI742" s="1445"/>
      <c r="DJ742" s="1445">
        <f t="shared" si="27"/>
        <v>0</v>
      </c>
      <c r="DK742" s="1445"/>
      <c r="DL742" s="1445"/>
      <c r="DM742" s="1445"/>
      <c r="DN742" s="1445"/>
      <c r="DO742" s="1445">
        <f t="shared" si="28"/>
        <v>0</v>
      </c>
      <c r="DP742" s="1445"/>
      <c r="DQ742" s="1445"/>
      <c r="DR742" s="1445"/>
      <c r="DS742" s="1445"/>
      <c r="DT742" s="6"/>
      <c r="DU742" s="1444">
        <f t="shared" si="29"/>
        <v>0</v>
      </c>
      <c r="DV742" s="1444"/>
      <c r="DW742" s="1444"/>
      <c r="DX742" s="1444"/>
      <c r="DY742" s="1444"/>
      <c r="DZ742" s="1444">
        <f t="shared" si="30"/>
        <v>0</v>
      </c>
      <c r="EA742" s="1444"/>
      <c r="EB742" s="1444"/>
      <c r="EC742" s="1444"/>
      <c r="ED742" s="1444"/>
      <c r="EE742" s="1444">
        <f t="shared" si="31"/>
        <v>0</v>
      </c>
      <c r="EF742" s="1444"/>
      <c r="EG742" s="1444"/>
      <c r="EH742" s="1444"/>
      <c r="EI742" s="1444"/>
      <c r="EJ742" s="1444">
        <f t="shared" si="32"/>
        <v>0</v>
      </c>
      <c r="EK742" s="1444"/>
      <c r="EL742" s="1444"/>
      <c r="EM742" s="1444"/>
      <c r="EN742" s="1444"/>
      <c r="EO742" s="1444">
        <f t="shared" si="33"/>
        <v>0</v>
      </c>
      <c r="EP742" s="1444"/>
      <c r="EQ742" s="1444"/>
      <c r="ER742" s="1444"/>
      <c r="ES742" s="1444"/>
      <c r="ET742" s="1444">
        <f t="shared" si="34"/>
        <v>0</v>
      </c>
      <c r="EU742" s="1444"/>
      <c r="EV742" s="1444"/>
      <c r="EW742" s="1444"/>
      <c r="EX742" s="1444"/>
      <c r="EZ742" s="1469" t="str">
        <f t="shared" si="35"/>
        <v/>
      </c>
      <c r="FA742" s="1480"/>
      <c r="FB742" s="1480"/>
      <c r="FC742" s="1480"/>
      <c r="FD742" s="1470"/>
      <c r="FE742" s="1469" t="str">
        <f t="shared" si="36"/>
        <v/>
      </c>
      <c r="FF742" s="1480"/>
      <c r="FG742" s="1480"/>
      <c r="FH742" s="1480"/>
      <c r="FI742" s="1470"/>
      <c r="FJ742" s="1469" t="str">
        <f t="shared" si="37"/>
        <v/>
      </c>
      <c r="FK742" s="1480"/>
      <c r="FL742" s="1480"/>
      <c r="FM742" s="1480"/>
      <c r="FN742" s="1470"/>
      <c r="FO742" s="1469" t="str">
        <f t="shared" si="38"/>
        <v/>
      </c>
      <c r="FP742" s="1480"/>
      <c r="FQ742" s="1480"/>
      <c r="FR742" s="1480"/>
      <c r="FS742" s="1470"/>
      <c r="FT742" s="1469" t="str">
        <f t="shared" si="39"/>
        <v/>
      </c>
      <c r="FU742" s="1480"/>
      <c r="FV742" s="1480"/>
      <c r="FW742" s="1480"/>
      <c r="FX742" s="1470"/>
      <c r="FY742" s="1469" t="str">
        <f t="shared" si="40"/>
        <v/>
      </c>
      <c r="FZ742" s="1480"/>
      <c r="GA742" s="1480"/>
      <c r="GB742" s="1480"/>
      <c r="GC742" s="1470"/>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4"/>
        <v>0</v>
      </c>
      <c r="Y743" s="1353"/>
      <c r="Z743" s="1353"/>
      <c r="AA743" s="1353"/>
      <c r="AB743" s="1354"/>
      <c r="AC743" s="1359"/>
      <c r="AD743" s="1360"/>
      <c r="AE743" s="1360"/>
      <c r="AF743" s="1360"/>
      <c r="AG743" s="1361"/>
      <c r="AH743" s="1355" t="str">
        <f t="shared" si="41"/>
        <v/>
      </c>
      <c r="AI743" s="1356"/>
      <c r="AJ743" s="1357"/>
      <c r="AK743" s="1337" t="s">
        <v>591</v>
      </c>
      <c r="AL743" s="1338"/>
      <c r="AM743" s="1338"/>
      <c r="AN743" s="1338"/>
      <c r="AO743" s="1339"/>
      <c r="AT743"/>
      <c r="AU743"/>
      <c r="AV743"/>
      <c r="AW743"/>
      <c r="AX743"/>
      <c r="AY743" s="1085"/>
      <c r="AZ743" s="118" t="str">
        <f t="shared" si="14"/>
        <v>N/A</v>
      </c>
      <c r="BD743"/>
      <c r="BE743"/>
      <c r="BF743" s="294">
        <f t="shared" si="15"/>
        <v>0</v>
      </c>
      <c r="BG743" s="297">
        <f t="shared" si="16"/>
        <v>0</v>
      </c>
      <c r="BH743" s="298" t="str">
        <f t="shared" si="17"/>
        <v/>
      </c>
      <c r="BI743"/>
      <c r="BJ743"/>
      <c r="BK743"/>
      <c r="BL743"/>
      <c r="BM743"/>
      <c r="BN743"/>
      <c r="BO743"/>
      <c r="BP743"/>
      <c r="BQ743"/>
      <c r="BR743"/>
      <c r="BS743" s="294">
        <f t="shared" si="18"/>
        <v>0</v>
      </c>
      <c r="BT743" s="297">
        <f t="shared" si="19"/>
        <v>0</v>
      </c>
      <c r="BU743" s="298" t="str">
        <f t="shared" si="20"/>
        <v/>
      </c>
      <c r="CD743"/>
      <c r="CG743" s="1469">
        <f t="shared" si="42"/>
        <v>0</v>
      </c>
      <c r="CH743" s="1470"/>
      <c r="CI743" s="1477">
        <f t="shared" si="43"/>
        <v>0</v>
      </c>
      <c r="CJ743" s="1478"/>
      <c r="CK743" s="1469">
        <f t="shared" si="21"/>
        <v>0</v>
      </c>
      <c r="CL743" s="1470"/>
      <c r="CM743" s="1477">
        <f t="shared" si="22"/>
        <v>0</v>
      </c>
      <c r="CN743" s="1478"/>
      <c r="CP743" s="1471">
        <f t="shared" si="23"/>
        <v>0</v>
      </c>
      <c r="CQ743" s="1472"/>
      <c r="CR743" s="1472"/>
      <c r="CS743" s="1472"/>
      <c r="CT743" s="1473"/>
      <c r="CU743" s="1445">
        <f t="shared" si="24"/>
        <v>0</v>
      </c>
      <c r="CV743" s="1445"/>
      <c r="CW743" s="1445"/>
      <c r="CX743" s="1445"/>
      <c r="CY743" s="1445"/>
      <c r="CZ743" s="1445">
        <f t="shared" si="25"/>
        <v>0</v>
      </c>
      <c r="DA743" s="1445"/>
      <c r="DB743" s="1445"/>
      <c r="DC743" s="1445"/>
      <c r="DD743" s="1445"/>
      <c r="DE743" s="1445">
        <f t="shared" si="26"/>
        <v>0</v>
      </c>
      <c r="DF743" s="1445"/>
      <c r="DG743" s="1445"/>
      <c r="DH743" s="1445"/>
      <c r="DI743" s="1445"/>
      <c r="DJ743" s="1445">
        <f t="shared" si="27"/>
        <v>0</v>
      </c>
      <c r="DK743" s="1445"/>
      <c r="DL743" s="1445"/>
      <c r="DM743" s="1445"/>
      <c r="DN743" s="1445"/>
      <c r="DO743" s="1445">
        <f t="shared" si="28"/>
        <v>0</v>
      </c>
      <c r="DP743" s="1445"/>
      <c r="DQ743" s="1445"/>
      <c r="DR743" s="1445"/>
      <c r="DS743" s="1445"/>
      <c r="DT743" s="6"/>
      <c r="DU743" s="1444">
        <f t="shared" si="29"/>
        <v>0</v>
      </c>
      <c r="DV743" s="1444"/>
      <c r="DW743" s="1444"/>
      <c r="DX743" s="1444"/>
      <c r="DY743" s="1444"/>
      <c r="DZ743" s="1444">
        <f t="shared" si="30"/>
        <v>0</v>
      </c>
      <c r="EA743" s="1444"/>
      <c r="EB743" s="1444"/>
      <c r="EC743" s="1444"/>
      <c r="ED743" s="1444"/>
      <c r="EE743" s="1444">
        <f t="shared" si="31"/>
        <v>0</v>
      </c>
      <c r="EF743" s="1444"/>
      <c r="EG743" s="1444"/>
      <c r="EH743" s="1444"/>
      <c r="EI743" s="1444"/>
      <c r="EJ743" s="1444">
        <f t="shared" si="32"/>
        <v>0</v>
      </c>
      <c r="EK743" s="1444"/>
      <c r="EL743" s="1444"/>
      <c r="EM743" s="1444"/>
      <c r="EN743" s="1444"/>
      <c r="EO743" s="1444">
        <f t="shared" si="33"/>
        <v>0</v>
      </c>
      <c r="EP743" s="1444"/>
      <c r="EQ743" s="1444"/>
      <c r="ER743" s="1444"/>
      <c r="ES743" s="1444"/>
      <c r="ET743" s="1444">
        <f t="shared" si="34"/>
        <v>0</v>
      </c>
      <c r="EU743" s="1444"/>
      <c r="EV743" s="1444"/>
      <c r="EW743" s="1444"/>
      <c r="EX743" s="1444"/>
      <c r="EY743"/>
      <c r="EZ743" s="1469" t="str">
        <f t="shared" si="35"/>
        <v/>
      </c>
      <c r="FA743" s="1480"/>
      <c r="FB743" s="1480"/>
      <c r="FC743" s="1480"/>
      <c r="FD743" s="1470"/>
      <c r="FE743" s="1469" t="str">
        <f t="shared" si="36"/>
        <v/>
      </c>
      <c r="FF743" s="1480"/>
      <c r="FG743" s="1480"/>
      <c r="FH743" s="1480"/>
      <c r="FI743" s="1470"/>
      <c r="FJ743" s="1469" t="str">
        <f t="shared" si="37"/>
        <v/>
      </c>
      <c r="FK743" s="1480"/>
      <c r="FL743" s="1480"/>
      <c r="FM743" s="1480"/>
      <c r="FN743" s="1470"/>
      <c r="FO743" s="1469" t="str">
        <f t="shared" si="38"/>
        <v/>
      </c>
      <c r="FP743" s="1480"/>
      <c r="FQ743" s="1480"/>
      <c r="FR743" s="1480"/>
      <c r="FS743" s="1470"/>
      <c r="FT743" s="1469" t="str">
        <f t="shared" si="39"/>
        <v/>
      </c>
      <c r="FU743" s="1480"/>
      <c r="FV743" s="1480"/>
      <c r="FW743" s="1480"/>
      <c r="FX743" s="1470"/>
      <c r="FY743" s="1469" t="str">
        <f t="shared" si="40"/>
        <v/>
      </c>
      <c r="FZ743" s="1480"/>
      <c r="GA743" s="1480"/>
      <c r="GB743" s="1480"/>
      <c r="GC743" s="1470"/>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4"/>
        <v>0</v>
      </c>
      <c r="Y744" s="1353"/>
      <c r="Z744" s="1353"/>
      <c r="AA744" s="1353"/>
      <c r="AB744" s="1354"/>
      <c r="AC744" s="1359"/>
      <c r="AD744" s="1360"/>
      <c r="AE744" s="1360"/>
      <c r="AF744" s="1360"/>
      <c r="AG744" s="1361"/>
      <c r="AH744" s="1355" t="str">
        <f t="shared" si="41"/>
        <v/>
      </c>
      <c r="AI744" s="1356"/>
      <c r="AJ744" s="1357"/>
      <c r="AK744" s="1337" t="s">
        <v>591</v>
      </c>
      <c r="AL744" s="1338"/>
      <c r="AM744" s="1338"/>
      <c r="AN744" s="1338"/>
      <c r="AO744" s="1339"/>
      <c r="AP744" s="3"/>
      <c r="AQ744" s="3"/>
      <c r="AR744" s="3"/>
      <c r="AS744" s="3"/>
      <c r="AY744" s="1085"/>
      <c r="AZ744" s="118" t="str">
        <f t="shared" si="14"/>
        <v>N/A</v>
      </c>
      <c r="BA744" s="3"/>
      <c r="BB744" s="3"/>
      <c r="BC744" s="3"/>
      <c r="BD744" s="3"/>
      <c r="BE744" s="3"/>
      <c r="BF744" s="294">
        <f t="shared" si="15"/>
        <v>0</v>
      </c>
      <c r="BG744" s="297">
        <f t="shared" si="16"/>
        <v>0</v>
      </c>
      <c r="BH744" s="298" t="str">
        <f t="shared" si="17"/>
        <v/>
      </c>
      <c r="BI744" s="3"/>
      <c r="BJ744" s="3"/>
      <c r="BK744" s="3"/>
      <c r="BL744" s="3"/>
      <c r="BM744" s="3"/>
      <c r="BN744" s="3"/>
      <c r="BS744" s="294">
        <f t="shared" si="18"/>
        <v>0</v>
      </c>
      <c r="BT744" s="297">
        <f t="shared" si="19"/>
        <v>0</v>
      </c>
      <c r="BU744" s="298" t="str">
        <f t="shared" si="20"/>
        <v/>
      </c>
      <c r="BV744" s="3"/>
      <c r="BW744" s="3"/>
      <c r="BX744" s="3"/>
      <c r="BY744" s="3"/>
      <c r="BZ744" s="3"/>
      <c r="CA744" s="3"/>
      <c r="CB744" s="3"/>
      <c r="CC744" s="3"/>
      <c r="CE744" s="3"/>
      <c r="CF744" s="3"/>
      <c r="CG744" s="1469">
        <f t="shared" si="42"/>
        <v>0</v>
      </c>
      <c r="CH744" s="1470"/>
      <c r="CI744" s="1477">
        <f t="shared" si="43"/>
        <v>0</v>
      </c>
      <c r="CJ744" s="1478"/>
      <c r="CK744" s="1469">
        <f t="shared" si="21"/>
        <v>0</v>
      </c>
      <c r="CL744" s="1470"/>
      <c r="CM744" s="1477">
        <f t="shared" si="22"/>
        <v>0</v>
      </c>
      <c r="CN744" s="1478"/>
      <c r="CO744" s="3"/>
      <c r="CP744" s="1471">
        <f t="shared" si="23"/>
        <v>0</v>
      </c>
      <c r="CQ744" s="1472"/>
      <c r="CR744" s="1472"/>
      <c r="CS744" s="1472"/>
      <c r="CT744" s="1473"/>
      <c r="CU744" s="1445">
        <f t="shared" si="24"/>
        <v>0</v>
      </c>
      <c r="CV744" s="1445"/>
      <c r="CW744" s="1445"/>
      <c r="CX744" s="1445"/>
      <c r="CY744" s="1445"/>
      <c r="CZ744" s="1445">
        <f t="shared" si="25"/>
        <v>0</v>
      </c>
      <c r="DA744" s="1445"/>
      <c r="DB744" s="1445"/>
      <c r="DC744" s="1445"/>
      <c r="DD744" s="1445"/>
      <c r="DE744" s="1445">
        <f t="shared" si="26"/>
        <v>0</v>
      </c>
      <c r="DF744" s="1445"/>
      <c r="DG744" s="1445"/>
      <c r="DH744" s="1445"/>
      <c r="DI744" s="1445"/>
      <c r="DJ744" s="1445">
        <f t="shared" si="27"/>
        <v>0</v>
      </c>
      <c r="DK744" s="1445"/>
      <c r="DL744" s="1445"/>
      <c r="DM744" s="1445"/>
      <c r="DN744" s="1445"/>
      <c r="DO744" s="1445">
        <f t="shared" si="28"/>
        <v>0</v>
      </c>
      <c r="DP744" s="1445"/>
      <c r="DQ744" s="1445"/>
      <c r="DR744" s="1445"/>
      <c r="DS744" s="1445"/>
      <c r="DT744" s="6"/>
      <c r="DU744" s="1444">
        <f t="shared" si="29"/>
        <v>0</v>
      </c>
      <c r="DV744" s="1444"/>
      <c r="DW744" s="1444"/>
      <c r="DX744" s="1444"/>
      <c r="DY744" s="1444"/>
      <c r="DZ744" s="1444">
        <f t="shared" si="30"/>
        <v>0</v>
      </c>
      <c r="EA744" s="1444"/>
      <c r="EB744" s="1444"/>
      <c r="EC744" s="1444"/>
      <c r="ED744" s="1444"/>
      <c r="EE744" s="1444">
        <f t="shared" si="31"/>
        <v>0</v>
      </c>
      <c r="EF744" s="1444"/>
      <c r="EG744" s="1444"/>
      <c r="EH744" s="1444"/>
      <c r="EI744" s="1444"/>
      <c r="EJ744" s="1444">
        <f t="shared" si="32"/>
        <v>0</v>
      </c>
      <c r="EK744" s="1444"/>
      <c r="EL744" s="1444"/>
      <c r="EM744" s="1444"/>
      <c r="EN744" s="1444"/>
      <c r="EO744" s="1444">
        <f t="shared" si="33"/>
        <v>0</v>
      </c>
      <c r="EP744" s="1444"/>
      <c r="EQ744" s="1444"/>
      <c r="ER744" s="1444"/>
      <c r="ES744" s="1444"/>
      <c r="ET744" s="1444">
        <f t="shared" si="34"/>
        <v>0</v>
      </c>
      <c r="EU744" s="1444"/>
      <c r="EV744" s="1444"/>
      <c r="EW744" s="1444"/>
      <c r="EX744" s="1444"/>
      <c r="EZ744" s="1469" t="str">
        <f t="shared" si="35"/>
        <v/>
      </c>
      <c r="FA744" s="1480"/>
      <c r="FB744" s="1480"/>
      <c r="FC744" s="1480"/>
      <c r="FD744" s="1470"/>
      <c r="FE744" s="1469" t="str">
        <f t="shared" si="36"/>
        <v/>
      </c>
      <c r="FF744" s="1480"/>
      <c r="FG744" s="1480"/>
      <c r="FH744" s="1480"/>
      <c r="FI744" s="1470"/>
      <c r="FJ744" s="1469" t="str">
        <f t="shared" si="37"/>
        <v/>
      </c>
      <c r="FK744" s="1480"/>
      <c r="FL744" s="1480"/>
      <c r="FM744" s="1480"/>
      <c r="FN744" s="1470"/>
      <c r="FO744" s="1469" t="str">
        <f t="shared" si="38"/>
        <v/>
      </c>
      <c r="FP744" s="1480"/>
      <c r="FQ744" s="1480"/>
      <c r="FR744" s="1480"/>
      <c r="FS744" s="1470"/>
      <c r="FT744" s="1469" t="str">
        <f t="shared" si="39"/>
        <v/>
      </c>
      <c r="FU744" s="1480"/>
      <c r="FV744" s="1480"/>
      <c r="FW744" s="1480"/>
      <c r="FX744" s="1470"/>
      <c r="FY744" s="1469" t="str">
        <f t="shared" si="40"/>
        <v/>
      </c>
      <c r="FZ744" s="1480"/>
      <c r="GA744" s="1480"/>
      <c r="GB744" s="1480"/>
      <c r="GC744" s="1470"/>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4"/>
        <v>0</v>
      </c>
      <c r="Y745" s="1353"/>
      <c r="Z745" s="1353"/>
      <c r="AA745" s="1353"/>
      <c r="AB745" s="1354"/>
      <c r="AC745" s="1359"/>
      <c r="AD745" s="1360"/>
      <c r="AE745" s="1360"/>
      <c r="AF745" s="1360"/>
      <c r="AG745" s="1361"/>
      <c r="AH745" s="1355" t="str">
        <f t="shared" si="41"/>
        <v/>
      </c>
      <c r="AI745" s="1356"/>
      <c r="AJ745" s="1357"/>
      <c r="AK745" s="1337" t="s">
        <v>591</v>
      </c>
      <c r="AL745" s="1338"/>
      <c r="AM745" s="1338"/>
      <c r="AN745" s="1338"/>
      <c r="AO745" s="1339"/>
      <c r="AP745" s="3"/>
      <c r="AQ745" s="3"/>
      <c r="AR745" s="3"/>
      <c r="AS745" s="3"/>
      <c r="AY745" s="1085"/>
      <c r="AZ745" s="118" t="str">
        <f t="shared" si="14"/>
        <v>N/A</v>
      </c>
      <c r="BA745" s="3"/>
      <c r="BB745" s="3"/>
      <c r="BC745" s="3"/>
      <c r="BD745" s="3"/>
      <c r="BE745" s="3"/>
      <c r="BF745" s="294">
        <f t="shared" si="15"/>
        <v>0</v>
      </c>
      <c r="BG745" s="297">
        <f t="shared" si="16"/>
        <v>0</v>
      </c>
      <c r="BH745" s="298" t="str">
        <f t="shared" si="17"/>
        <v/>
      </c>
      <c r="BI745" s="3"/>
      <c r="BJ745" s="3"/>
      <c r="BK745" s="3"/>
      <c r="BL745" s="3"/>
      <c r="BM745" s="3"/>
      <c r="BN745" s="3"/>
      <c r="BS745" s="294">
        <f t="shared" si="18"/>
        <v>0</v>
      </c>
      <c r="BT745" s="297">
        <f t="shared" si="19"/>
        <v>0</v>
      </c>
      <c r="BU745" s="298" t="str">
        <f t="shared" si="20"/>
        <v/>
      </c>
      <c r="BV745" s="3"/>
      <c r="BW745" s="3"/>
      <c r="BX745" s="3"/>
      <c r="BY745" s="3"/>
      <c r="BZ745" s="3"/>
      <c r="CA745" s="3"/>
      <c r="CB745" s="3"/>
      <c r="CC745" s="3"/>
      <c r="CE745" s="3"/>
      <c r="CF745" s="3"/>
      <c r="CG745" s="1469">
        <f t="shared" si="42"/>
        <v>0</v>
      </c>
      <c r="CH745" s="1470"/>
      <c r="CI745" s="1477">
        <f t="shared" si="43"/>
        <v>0</v>
      </c>
      <c r="CJ745" s="1478"/>
      <c r="CK745" s="1469">
        <f t="shared" si="21"/>
        <v>0</v>
      </c>
      <c r="CL745" s="1470"/>
      <c r="CM745" s="1477">
        <f t="shared" si="22"/>
        <v>0</v>
      </c>
      <c r="CN745" s="1478"/>
      <c r="CO745" s="3"/>
      <c r="CP745" s="1471">
        <f t="shared" si="23"/>
        <v>0</v>
      </c>
      <c r="CQ745" s="1472"/>
      <c r="CR745" s="1472"/>
      <c r="CS745" s="1472"/>
      <c r="CT745" s="1473"/>
      <c r="CU745" s="1445">
        <f t="shared" si="24"/>
        <v>0</v>
      </c>
      <c r="CV745" s="1445"/>
      <c r="CW745" s="1445"/>
      <c r="CX745" s="1445"/>
      <c r="CY745" s="1445"/>
      <c r="CZ745" s="1445">
        <f t="shared" si="25"/>
        <v>0</v>
      </c>
      <c r="DA745" s="1445"/>
      <c r="DB745" s="1445"/>
      <c r="DC745" s="1445"/>
      <c r="DD745" s="1445"/>
      <c r="DE745" s="1445">
        <f t="shared" si="26"/>
        <v>0</v>
      </c>
      <c r="DF745" s="1445"/>
      <c r="DG745" s="1445"/>
      <c r="DH745" s="1445"/>
      <c r="DI745" s="1445"/>
      <c r="DJ745" s="1445">
        <f t="shared" si="27"/>
        <v>0</v>
      </c>
      <c r="DK745" s="1445"/>
      <c r="DL745" s="1445"/>
      <c r="DM745" s="1445"/>
      <c r="DN745" s="1445"/>
      <c r="DO745" s="1445">
        <f t="shared" si="28"/>
        <v>0</v>
      </c>
      <c r="DP745" s="1445"/>
      <c r="DQ745" s="1445"/>
      <c r="DR745" s="1445"/>
      <c r="DS745" s="1445"/>
      <c r="DT745" s="6"/>
      <c r="DU745" s="1444">
        <f t="shared" si="29"/>
        <v>0</v>
      </c>
      <c r="DV745" s="1444"/>
      <c r="DW745" s="1444"/>
      <c r="DX745" s="1444"/>
      <c r="DY745" s="1444"/>
      <c r="DZ745" s="1444">
        <f t="shared" si="30"/>
        <v>0</v>
      </c>
      <c r="EA745" s="1444"/>
      <c r="EB745" s="1444"/>
      <c r="EC745" s="1444"/>
      <c r="ED745" s="1444"/>
      <c r="EE745" s="1444">
        <f t="shared" si="31"/>
        <v>0</v>
      </c>
      <c r="EF745" s="1444"/>
      <c r="EG745" s="1444"/>
      <c r="EH745" s="1444"/>
      <c r="EI745" s="1444"/>
      <c r="EJ745" s="1444">
        <f t="shared" si="32"/>
        <v>0</v>
      </c>
      <c r="EK745" s="1444"/>
      <c r="EL745" s="1444"/>
      <c r="EM745" s="1444"/>
      <c r="EN745" s="1444"/>
      <c r="EO745" s="1444">
        <f t="shared" si="33"/>
        <v>0</v>
      </c>
      <c r="EP745" s="1444"/>
      <c r="EQ745" s="1444"/>
      <c r="ER745" s="1444"/>
      <c r="ES745" s="1444"/>
      <c r="ET745" s="1444">
        <f t="shared" si="34"/>
        <v>0</v>
      </c>
      <c r="EU745" s="1444"/>
      <c r="EV745" s="1444"/>
      <c r="EW745" s="1444"/>
      <c r="EX745" s="1444"/>
      <c r="EZ745" s="1469" t="str">
        <f t="shared" si="35"/>
        <v/>
      </c>
      <c r="FA745" s="1480"/>
      <c r="FB745" s="1480"/>
      <c r="FC745" s="1480"/>
      <c r="FD745" s="1470"/>
      <c r="FE745" s="1469" t="str">
        <f t="shared" si="36"/>
        <v/>
      </c>
      <c r="FF745" s="1480"/>
      <c r="FG745" s="1480"/>
      <c r="FH745" s="1480"/>
      <c r="FI745" s="1470"/>
      <c r="FJ745" s="1469" t="str">
        <f t="shared" si="37"/>
        <v/>
      </c>
      <c r="FK745" s="1480"/>
      <c r="FL745" s="1480"/>
      <c r="FM745" s="1480"/>
      <c r="FN745" s="1470"/>
      <c r="FO745" s="1469" t="str">
        <f t="shared" si="38"/>
        <v/>
      </c>
      <c r="FP745" s="1480"/>
      <c r="FQ745" s="1480"/>
      <c r="FR745" s="1480"/>
      <c r="FS745" s="1470"/>
      <c r="FT745" s="1469" t="str">
        <f t="shared" si="39"/>
        <v/>
      </c>
      <c r="FU745" s="1480"/>
      <c r="FV745" s="1480"/>
      <c r="FW745" s="1480"/>
      <c r="FX745" s="1470"/>
      <c r="FY745" s="1469" t="str">
        <f t="shared" si="40"/>
        <v/>
      </c>
      <c r="FZ745" s="1480"/>
      <c r="GA745" s="1480"/>
      <c r="GB745" s="1480"/>
      <c r="GC745" s="1470"/>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4"/>
        <v>0</v>
      </c>
      <c r="Y746" s="1353"/>
      <c r="Z746" s="1353"/>
      <c r="AA746" s="1353"/>
      <c r="AB746" s="1354"/>
      <c r="AC746" s="1359"/>
      <c r="AD746" s="1360"/>
      <c r="AE746" s="1360"/>
      <c r="AF746" s="1360"/>
      <c r="AG746" s="1361"/>
      <c r="AH746" s="1355" t="str">
        <f t="shared" si="41"/>
        <v/>
      </c>
      <c r="AI746" s="1356"/>
      <c r="AJ746" s="1357"/>
      <c r="AK746" s="1337" t="s">
        <v>591</v>
      </c>
      <c r="AL746" s="1338"/>
      <c r="AM746" s="1338"/>
      <c r="AN746" s="1338"/>
      <c r="AO746" s="1339"/>
      <c r="AP746" s="3"/>
      <c r="AQ746" s="3"/>
      <c r="AR746" s="3"/>
      <c r="AS746" s="3"/>
      <c r="AY746" s="1085"/>
      <c r="AZ746" s="118" t="str">
        <f t="shared" si="14"/>
        <v>N/A</v>
      </c>
      <c r="BA746" s="34"/>
      <c r="BB746" s="34"/>
      <c r="BC746" s="34"/>
      <c r="BD746" s="34"/>
      <c r="BE746" s="34"/>
      <c r="BF746" s="294">
        <f t="shared" si="15"/>
        <v>0</v>
      </c>
      <c r="BG746" s="297">
        <f t="shared" si="16"/>
        <v>0</v>
      </c>
      <c r="BH746" s="298" t="str">
        <f t="shared" si="17"/>
        <v/>
      </c>
      <c r="BI746" s="34"/>
      <c r="BJ746" s="34"/>
      <c r="BK746" s="34"/>
      <c r="BL746" s="34"/>
      <c r="BM746" s="34"/>
      <c r="BN746" s="34"/>
      <c r="BS746" s="294">
        <f t="shared" si="18"/>
        <v>0</v>
      </c>
      <c r="BT746" s="297">
        <f t="shared" si="19"/>
        <v>0</v>
      </c>
      <c r="BU746" s="298" t="str">
        <f t="shared" si="20"/>
        <v/>
      </c>
      <c r="BV746" s="3"/>
      <c r="BW746" s="3"/>
      <c r="BX746" s="3"/>
      <c r="BY746" s="3"/>
      <c r="BZ746" s="3"/>
      <c r="CA746" s="3"/>
      <c r="CB746" s="3"/>
      <c r="CC746" s="3"/>
      <c r="CE746" s="3"/>
      <c r="CF746" s="3"/>
      <c r="CG746" s="1469">
        <f t="shared" si="42"/>
        <v>0</v>
      </c>
      <c r="CH746" s="1470"/>
      <c r="CI746" s="1477">
        <f t="shared" si="43"/>
        <v>0</v>
      </c>
      <c r="CJ746" s="1478"/>
      <c r="CK746" s="1469">
        <f t="shared" si="21"/>
        <v>0</v>
      </c>
      <c r="CL746" s="1470"/>
      <c r="CM746" s="1477">
        <f t="shared" si="22"/>
        <v>0</v>
      </c>
      <c r="CN746" s="1478"/>
      <c r="CO746" s="3"/>
      <c r="CP746" s="1471">
        <f t="shared" si="23"/>
        <v>0</v>
      </c>
      <c r="CQ746" s="1472"/>
      <c r="CR746" s="1472"/>
      <c r="CS746" s="1472"/>
      <c r="CT746" s="1473"/>
      <c r="CU746" s="1445">
        <f t="shared" si="24"/>
        <v>0</v>
      </c>
      <c r="CV746" s="1445"/>
      <c r="CW746" s="1445"/>
      <c r="CX746" s="1445"/>
      <c r="CY746" s="1445"/>
      <c r="CZ746" s="1445">
        <f t="shared" si="25"/>
        <v>0</v>
      </c>
      <c r="DA746" s="1445"/>
      <c r="DB746" s="1445"/>
      <c r="DC746" s="1445"/>
      <c r="DD746" s="1445"/>
      <c r="DE746" s="1445">
        <f t="shared" si="26"/>
        <v>0</v>
      </c>
      <c r="DF746" s="1445"/>
      <c r="DG746" s="1445"/>
      <c r="DH746" s="1445"/>
      <c r="DI746" s="1445"/>
      <c r="DJ746" s="1445">
        <f t="shared" si="27"/>
        <v>0</v>
      </c>
      <c r="DK746" s="1445"/>
      <c r="DL746" s="1445"/>
      <c r="DM746" s="1445"/>
      <c r="DN746" s="1445"/>
      <c r="DO746" s="1445">
        <f t="shared" si="28"/>
        <v>0</v>
      </c>
      <c r="DP746" s="1445"/>
      <c r="DQ746" s="1445"/>
      <c r="DR746" s="1445"/>
      <c r="DS746" s="1445"/>
      <c r="DT746" s="6"/>
      <c r="DU746" s="1444">
        <f t="shared" si="29"/>
        <v>0</v>
      </c>
      <c r="DV746" s="1444"/>
      <c r="DW746" s="1444"/>
      <c r="DX746" s="1444"/>
      <c r="DY746" s="1444"/>
      <c r="DZ746" s="1444">
        <f t="shared" si="30"/>
        <v>0</v>
      </c>
      <c r="EA746" s="1444"/>
      <c r="EB746" s="1444"/>
      <c r="EC746" s="1444"/>
      <c r="ED746" s="1444"/>
      <c r="EE746" s="1444">
        <f t="shared" si="31"/>
        <v>0</v>
      </c>
      <c r="EF746" s="1444"/>
      <c r="EG746" s="1444"/>
      <c r="EH746" s="1444"/>
      <c r="EI746" s="1444"/>
      <c r="EJ746" s="1444">
        <f t="shared" si="32"/>
        <v>0</v>
      </c>
      <c r="EK746" s="1444"/>
      <c r="EL746" s="1444"/>
      <c r="EM746" s="1444"/>
      <c r="EN746" s="1444"/>
      <c r="EO746" s="1444">
        <f t="shared" si="33"/>
        <v>0</v>
      </c>
      <c r="EP746" s="1444"/>
      <c r="EQ746" s="1444"/>
      <c r="ER746" s="1444"/>
      <c r="ES746" s="1444"/>
      <c r="ET746" s="1444">
        <f t="shared" si="34"/>
        <v>0</v>
      </c>
      <c r="EU746" s="1444"/>
      <c r="EV746" s="1444"/>
      <c r="EW746" s="1444"/>
      <c r="EX746" s="1444"/>
      <c r="EZ746" s="1469" t="str">
        <f t="shared" si="35"/>
        <v/>
      </c>
      <c r="FA746" s="1480"/>
      <c r="FB746" s="1480"/>
      <c r="FC746" s="1480"/>
      <c r="FD746" s="1470"/>
      <c r="FE746" s="1469" t="str">
        <f t="shared" si="36"/>
        <v/>
      </c>
      <c r="FF746" s="1480"/>
      <c r="FG746" s="1480"/>
      <c r="FH746" s="1480"/>
      <c r="FI746" s="1470"/>
      <c r="FJ746" s="1469" t="str">
        <f t="shared" si="37"/>
        <v/>
      </c>
      <c r="FK746" s="1480"/>
      <c r="FL746" s="1480"/>
      <c r="FM746" s="1480"/>
      <c r="FN746" s="1470"/>
      <c r="FO746" s="1469" t="str">
        <f t="shared" si="38"/>
        <v/>
      </c>
      <c r="FP746" s="1480"/>
      <c r="FQ746" s="1480"/>
      <c r="FR746" s="1480"/>
      <c r="FS746" s="1470"/>
      <c r="FT746" s="1469" t="str">
        <f t="shared" si="39"/>
        <v/>
      </c>
      <c r="FU746" s="1480"/>
      <c r="FV746" s="1480"/>
      <c r="FW746" s="1480"/>
      <c r="FX746" s="1470"/>
      <c r="FY746" s="1469" t="str">
        <f t="shared" si="40"/>
        <v/>
      </c>
      <c r="FZ746" s="1480"/>
      <c r="GA746" s="1480"/>
      <c r="GB746" s="1480"/>
      <c r="GC746" s="1470"/>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4"/>
        <v>0</v>
      </c>
      <c r="Y747" s="1353"/>
      <c r="Z747" s="1353"/>
      <c r="AA747" s="1353"/>
      <c r="AB747" s="1354"/>
      <c r="AC747" s="1359"/>
      <c r="AD747" s="1360"/>
      <c r="AE747" s="1360"/>
      <c r="AF747" s="1360"/>
      <c r="AG747" s="1361"/>
      <c r="AH747" s="1355" t="str">
        <f t="shared" si="41"/>
        <v/>
      </c>
      <c r="AI747" s="1356"/>
      <c r="AJ747" s="1357"/>
      <c r="AK747" s="1337" t="s">
        <v>591</v>
      </c>
      <c r="AL747" s="1338"/>
      <c r="AM747" s="1338"/>
      <c r="AN747" s="1338"/>
      <c r="AO747" s="1339"/>
      <c r="AP747" s="3"/>
      <c r="AQ747" s="3"/>
      <c r="AR747" s="3"/>
      <c r="AS747" s="3"/>
      <c r="AY747" s="1085"/>
      <c r="AZ747" s="118" t="str">
        <f t="shared" si="14"/>
        <v>N/A</v>
      </c>
      <c r="BA747" s="34"/>
      <c r="BB747" s="34"/>
      <c r="BC747" s="34"/>
      <c r="BD747" s="34"/>
      <c r="BE747" s="34"/>
      <c r="BF747" s="294">
        <f t="shared" si="15"/>
        <v>0</v>
      </c>
      <c r="BG747" s="297">
        <f t="shared" si="16"/>
        <v>0</v>
      </c>
      <c r="BH747" s="298" t="str">
        <f t="shared" si="17"/>
        <v/>
      </c>
      <c r="BI747" s="34"/>
      <c r="BJ747" s="34"/>
      <c r="BK747" s="34"/>
      <c r="BL747" s="34"/>
      <c r="BM747" s="34"/>
      <c r="BN747" s="34"/>
      <c r="BS747" s="294">
        <f t="shared" si="18"/>
        <v>0</v>
      </c>
      <c r="BT747" s="297">
        <f t="shared" si="19"/>
        <v>0</v>
      </c>
      <c r="BU747" s="298" t="str">
        <f t="shared" si="20"/>
        <v/>
      </c>
      <c r="BV747" s="3"/>
      <c r="BW747" s="3"/>
      <c r="BX747" s="3"/>
      <c r="BY747" s="3"/>
      <c r="BZ747" s="3"/>
      <c r="CA747" s="3"/>
      <c r="CB747" s="3"/>
      <c r="CC747" s="3"/>
      <c r="CE747" s="3"/>
      <c r="CF747" s="3"/>
      <c r="CG747" s="1469">
        <f t="shared" si="42"/>
        <v>0</v>
      </c>
      <c r="CH747" s="1470"/>
      <c r="CI747" s="1477">
        <f t="shared" si="43"/>
        <v>0</v>
      </c>
      <c r="CJ747" s="1478"/>
      <c r="CK747" s="1469">
        <f t="shared" si="21"/>
        <v>0</v>
      </c>
      <c r="CL747" s="1470"/>
      <c r="CM747" s="1477">
        <f t="shared" si="22"/>
        <v>0</v>
      </c>
      <c r="CN747" s="1478"/>
      <c r="CO747" s="3"/>
      <c r="CP747" s="1471">
        <f t="shared" si="23"/>
        <v>0</v>
      </c>
      <c r="CQ747" s="1472"/>
      <c r="CR747" s="1472"/>
      <c r="CS747" s="1472"/>
      <c r="CT747" s="1473"/>
      <c r="CU747" s="1445">
        <f t="shared" si="24"/>
        <v>0</v>
      </c>
      <c r="CV747" s="1445"/>
      <c r="CW747" s="1445"/>
      <c r="CX747" s="1445"/>
      <c r="CY747" s="1445"/>
      <c r="CZ747" s="1445">
        <f t="shared" si="25"/>
        <v>0</v>
      </c>
      <c r="DA747" s="1445"/>
      <c r="DB747" s="1445"/>
      <c r="DC747" s="1445"/>
      <c r="DD747" s="1445"/>
      <c r="DE747" s="1445">
        <f t="shared" si="26"/>
        <v>0</v>
      </c>
      <c r="DF747" s="1445"/>
      <c r="DG747" s="1445"/>
      <c r="DH747" s="1445"/>
      <c r="DI747" s="1445"/>
      <c r="DJ747" s="1445">
        <f t="shared" si="27"/>
        <v>0</v>
      </c>
      <c r="DK747" s="1445"/>
      <c r="DL747" s="1445"/>
      <c r="DM747" s="1445"/>
      <c r="DN747" s="1445"/>
      <c r="DO747" s="1445">
        <f t="shared" si="28"/>
        <v>0</v>
      </c>
      <c r="DP747" s="1445"/>
      <c r="DQ747" s="1445"/>
      <c r="DR747" s="1445"/>
      <c r="DS747" s="1445"/>
      <c r="DT747" s="6"/>
      <c r="DU747" s="1444">
        <f t="shared" si="29"/>
        <v>0</v>
      </c>
      <c r="DV747" s="1444"/>
      <c r="DW747" s="1444"/>
      <c r="DX747" s="1444"/>
      <c r="DY747" s="1444"/>
      <c r="DZ747" s="1444">
        <f t="shared" si="30"/>
        <v>0</v>
      </c>
      <c r="EA747" s="1444"/>
      <c r="EB747" s="1444"/>
      <c r="EC747" s="1444"/>
      <c r="ED747" s="1444"/>
      <c r="EE747" s="1444">
        <f t="shared" si="31"/>
        <v>0</v>
      </c>
      <c r="EF747" s="1444"/>
      <c r="EG747" s="1444"/>
      <c r="EH747" s="1444"/>
      <c r="EI747" s="1444"/>
      <c r="EJ747" s="1444">
        <f t="shared" si="32"/>
        <v>0</v>
      </c>
      <c r="EK747" s="1444"/>
      <c r="EL747" s="1444"/>
      <c r="EM747" s="1444"/>
      <c r="EN747" s="1444"/>
      <c r="EO747" s="1444">
        <f t="shared" si="33"/>
        <v>0</v>
      </c>
      <c r="EP747" s="1444"/>
      <c r="EQ747" s="1444"/>
      <c r="ER747" s="1444"/>
      <c r="ES747" s="1444"/>
      <c r="ET747" s="1444">
        <f t="shared" si="34"/>
        <v>0</v>
      </c>
      <c r="EU747" s="1444"/>
      <c r="EV747" s="1444"/>
      <c r="EW747" s="1444"/>
      <c r="EX747" s="1444"/>
      <c r="EZ747" s="1469" t="str">
        <f t="shared" si="35"/>
        <v/>
      </c>
      <c r="FA747" s="1480"/>
      <c r="FB747" s="1480"/>
      <c r="FC747" s="1480"/>
      <c r="FD747" s="1470"/>
      <c r="FE747" s="1469" t="str">
        <f t="shared" si="36"/>
        <v/>
      </c>
      <c r="FF747" s="1480"/>
      <c r="FG747" s="1480"/>
      <c r="FH747" s="1480"/>
      <c r="FI747" s="1470"/>
      <c r="FJ747" s="1469" t="str">
        <f t="shared" si="37"/>
        <v/>
      </c>
      <c r="FK747" s="1480"/>
      <c r="FL747" s="1480"/>
      <c r="FM747" s="1480"/>
      <c r="FN747" s="1470"/>
      <c r="FO747" s="1469" t="str">
        <f t="shared" si="38"/>
        <v/>
      </c>
      <c r="FP747" s="1480"/>
      <c r="FQ747" s="1480"/>
      <c r="FR747" s="1480"/>
      <c r="FS747" s="1470"/>
      <c r="FT747" s="1469" t="str">
        <f t="shared" si="39"/>
        <v/>
      </c>
      <c r="FU747" s="1480"/>
      <c r="FV747" s="1480"/>
      <c r="FW747" s="1480"/>
      <c r="FX747" s="1470"/>
      <c r="FY747" s="1469" t="str">
        <f t="shared" si="40"/>
        <v/>
      </c>
      <c r="FZ747" s="1480"/>
      <c r="GA747" s="1480"/>
      <c r="GB747" s="1480"/>
      <c r="GC747" s="1470"/>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4"/>
        <v>0</v>
      </c>
      <c r="Y748" s="1353"/>
      <c r="Z748" s="1353"/>
      <c r="AA748" s="1353"/>
      <c r="AB748" s="1354"/>
      <c r="AC748" s="1359"/>
      <c r="AD748" s="1360"/>
      <c r="AE748" s="1360"/>
      <c r="AF748" s="1360"/>
      <c r="AG748" s="1361"/>
      <c r="AH748" s="1355" t="str">
        <f t="shared" si="41"/>
        <v/>
      </c>
      <c r="AI748" s="1356"/>
      <c r="AJ748" s="1357"/>
      <c r="AK748" s="1337" t="s">
        <v>591</v>
      </c>
      <c r="AL748" s="1338"/>
      <c r="AM748" s="1338"/>
      <c r="AN748" s="1338"/>
      <c r="AO748" s="1339"/>
      <c r="AT748"/>
      <c r="AU748"/>
      <c r="AV748"/>
      <c r="AW748"/>
      <c r="AX748"/>
      <c r="AY748" s="1085"/>
      <c r="AZ748" s="118" t="str">
        <f t="shared" si="14"/>
        <v>N/A</v>
      </c>
      <c r="BA748" s="34"/>
      <c r="BB748" s="34"/>
      <c r="BC748" s="34"/>
      <c r="BD748" s="34"/>
      <c r="BE748" s="34"/>
      <c r="BF748" s="294">
        <f t="shared" si="15"/>
        <v>0</v>
      </c>
      <c r="BG748" s="297">
        <f t="shared" si="16"/>
        <v>0</v>
      </c>
      <c r="BH748" s="298" t="str">
        <f t="shared" si="17"/>
        <v/>
      </c>
      <c r="BJ748" s="34"/>
      <c r="BK748" s="34"/>
      <c r="BL748" s="34"/>
      <c r="BM748" s="34"/>
      <c r="BN748" s="34"/>
      <c r="BO748"/>
      <c r="BP748"/>
      <c r="BQ748"/>
      <c r="BR748"/>
      <c r="BS748" s="294">
        <f t="shared" si="18"/>
        <v>0</v>
      </c>
      <c r="BT748" s="297">
        <f t="shared" si="19"/>
        <v>0</v>
      </c>
      <c r="BU748" s="298" t="str">
        <f t="shared" si="20"/>
        <v/>
      </c>
      <c r="CD748"/>
      <c r="CG748" s="1469">
        <f t="shared" si="42"/>
        <v>0</v>
      </c>
      <c r="CH748" s="1470"/>
      <c r="CI748" s="1477">
        <f t="shared" si="43"/>
        <v>0</v>
      </c>
      <c r="CJ748" s="1478"/>
      <c r="CK748" s="1469">
        <f t="shared" si="21"/>
        <v>0</v>
      </c>
      <c r="CL748" s="1470"/>
      <c r="CM748" s="1477">
        <f t="shared" si="22"/>
        <v>0</v>
      </c>
      <c r="CN748" s="1478"/>
      <c r="CP748" s="1471">
        <f t="shared" si="23"/>
        <v>0</v>
      </c>
      <c r="CQ748" s="1472"/>
      <c r="CR748" s="1472"/>
      <c r="CS748" s="1472"/>
      <c r="CT748" s="1473"/>
      <c r="CU748" s="1445">
        <f t="shared" si="24"/>
        <v>0</v>
      </c>
      <c r="CV748" s="1445"/>
      <c r="CW748" s="1445"/>
      <c r="CX748" s="1445"/>
      <c r="CY748" s="1445"/>
      <c r="CZ748" s="1445">
        <f t="shared" si="25"/>
        <v>0</v>
      </c>
      <c r="DA748" s="1445"/>
      <c r="DB748" s="1445"/>
      <c r="DC748" s="1445"/>
      <c r="DD748" s="1445"/>
      <c r="DE748" s="1445">
        <f t="shared" si="26"/>
        <v>0</v>
      </c>
      <c r="DF748" s="1445"/>
      <c r="DG748" s="1445"/>
      <c r="DH748" s="1445"/>
      <c r="DI748" s="1445"/>
      <c r="DJ748" s="1445">
        <f t="shared" si="27"/>
        <v>0</v>
      </c>
      <c r="DK748" s="1445"/>
      <c r="DL748" s="1445"/>
      <c r="DM748" s="1445"/>
      <c r="DN748" s="1445"/>
      <c r="DO748" s="1445">
        <f t="shared" si="28"/>
        <v>0</v>
      </c>
      <c r="DP748" s="1445"/>
      <c r="DQ748" s="1445"/>
      <c r="DR748" s="1445"/>
      <c r="DS748" s="1445"/>
      <c r="DT748" s="6"/>
      <c r="DU748" s="1444">
        <f t="shared" si="29"/>
        <v>0</v>
      </c>
      <c r="DV748" s="1444"/>
      <c r="DW748" s="1444"/>
      <c r="DX748" s="1444"/>
      <c r="DY748" s="1444"/>
      <c r="DZ748" s="1444">
        <f t="shared" si="30"/>
        <v>0</v>
      </c>
      <c r="EA748" s="1444"/>
      <c r="EB748" s="1444"/>
      <c r="EC748" s="1444"/>
      <c r="ED748" s="1444"/>
      <c r="EE748" s="1444">
        <f t="shared" si="31"/>
        <v>0</v>
      </c>
      <c r="EF748" s="1444"/>
      <c r="EG748" s="1444"/>
      <c r="EH748" s="1444"/>
      <c r="EI748" s="1444"/>
      <c r="EJ748" s="1444">
        <f t="shared" si="32"/>
        <v>0</v>
      </c>
      <c r="EK748" s="1444"/>
      <c r="EL748" s="1444"/>
      <c r="EM748" s="1444"/>
      <c r="EN748" s="1444"/>
      <c r="EO748" s="1444">
        <f t="shared" si="33"/>
        <v>0</v>
      </c>
      <c r="EP748" s="1444"/>
      <c r="EQ748" s="1444"/>
      <c r="ER748" s="1444"/>
      <c r="ES748" s="1444"/>
      <c r="ET748" s="1444">
        <f t="shared" si="34"/>
        <v>0</v>
      </c>
      <c r="EU748" s="1444"/>
      <c r="EV748" s="1444"/>
      <c r="EW748" s="1444"/>
      <c r="EX748" s="1444"/>
      <c r="EY748"/>
      <c r="EZ748" s="1469" t="str">
        <f t="shared" si="35"/>
        <v/>
      </c>
      <c r="FA748" s="1480"/>
      <c r="FB748" s="1480"/>
      <c r="FC748" s="1480"/>
      <c r="FD748" s="1470"/>
      <c r="FE748" s="1469" t="str">
        <f t="shared" si="36"/>
        <v/>
      </c>
      <c r="FF748" s="1480"/>
      <c r="FG748" s="1480"/>
      <c r="FH748" s="1480"/>
      <c r="FI748" s="1470"/>
      <c r="FJ748" s="1469" t="str">
        <f t="shared" si="37"/>
        <v/>
      </c>
      <c r="FK748" s="1480"/>
      <c r="FL748" s="1480"/>
      <c r="FM748" s="1480"/>
      <c r="FN748" s="1470"/>
      <c r="FO748" s="1469" t="str">
        <f t="shared" si="38"/>
        <v/>
      </c>
      <c r="FP748" s="1480"/>
      <c r="FQ748" s="1480"/>
      <c r="FR748" s="1480"/>
      <c r="FS748" s="1470"/>
      <c r="FT748" s="1469" t="str">
        <f t="shared" si="39"/>
        <v/>
      </c>
      <c r="FU748" s="1480"/>
      <c r="FV748" s="1480"/>
      <c r="FW748" s="1480"/>
      <c r="FX748" s="1470"/>
      <c r="FY748" s="1469" t="str">
        <f t="shared" si="40"/>
        <v/>
      </c>
      <c r="FZ748" s="1480"/>
      <c r="GA748" s="1480"/>
      <c r="GB748" s="1480"/>
      <c r="GC748" s="1470"/>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4"/>
        <v>0</v>
      </c>
      <c r="Y749" s="1353"/>
      <c r="Z749" s="1353"/>
      <c r="AA749" s="1353"/>
      <c r="AB749" s="1354"/>
      <c r="AC749" s="1359"/>
      <c r="AD749" s="1360"/>
      <c r="AE749" s="1360"/>
      <c r="AF749" s="1360"/>
      <c r="AG749" s="1361"/>
      <c r="AH749" s="1355" t="str">
        <f t="shared" si="41"/>
        <v/>
      </c>
      <c r="AI749" s="1356"/>
      <c r="AJ749" s="1357"/>
      <c r="AK749" s="1337" t="s">
        <v>591</v>
      </c>
      <c r="AL749" s="1338"/>
      <c r="AM749" s="1338"/>
      <c r="AN749" s="1338"/>
      <c r="AO749" s="1339"/>
      <c r="AT749"/>
      <c r="AU749"/>
      <c r="AV749"/>
      <c r="AW749"/>
      <c r="AX749"/>
      <c r="AY749" s="1085"/>
      <c r="AZ749" s="118" t="str">
        <f t="shared" si="14"/>
        <v>N/A</v>
      </c>
      <c r="BA749" s="34"/>
      <c r="BB749" s="34"/>
      <c r="BC749" s="34"/>
      <c r="BD749" s="34"/>
      <c r="BE749" s="34"/>
      <c r="BF749" s="294">
        <f t="shared" si="15"/>
        <v>0</v>
      </c>
      <c r="BG749" s="297">
        <f t="shared" si="16"/>
        <v>0</v>
      </c>
      <c r="BH749" s="298" t="str">
        <f t="shared" si="17"/>
        <v/>
      </c>
      <c r="BJ749" s="34"/>
      <c r="BK749" s="34"/>
      <c r="BL749" s="34"/>
      <c r="BM749" s="34"/>
      <c r="BN749" s="34"/>
      <c r="BO749"/>
      <c r="BP749"/>
      <c r="BQ749"/>
      <c r="BR749"/>
      <c r="BS749" s="294">
        <f t="shared" si="18"/>
        <v>0</v>
      </c>
      <c r="BT749" s="297">
        <f t="shared" si="19"/>
        <v>0</v>
      </c>
      <c r="BU749" s="298" t="str">
        <f t="shared" si="20"/>
        <v/>
      </c>
      <c r="CD749"/>
      <c r="CG749" s="1469">
        <f t="shared" si="42"/>
        <v>0</v>
      </c>
      <c r="CH749" s="1470"/>
      <c r="CI749" s="1477">
        <f t="shared" si="43"/>
        <v>0</v>
      </c>
      <c r="CJ749" s="1478"/>
      <c r="CK749" s="1469">
        <f t="shared" si="21"/>
        <v>0</v>
      </c>
      <c r="CL749" s="1470"/>
      <c r="CM749" s="1477">
        <f t="shared" si="22"/>
        <v>0</v>
      </c>
      <c r="CN749" s="1478"/>
      <c r="CP749" s="1471">
        <f t="shared" si="23"/>
        <v>0</v>
      </c>
      <c r="CQ749" s="1472"/>
      <c r="CR749" s="1472"/>
      <c r="CS749" s="1472"/>
      <c r="CT749" s="1473"/>
      <c r="CU749" s="1445">
        <f t="shared" si="24"/>
        <v>0</v>
      </c>
      <c r="CV749" s="1445"/>
      <c r="CW749" s="1445"/>
      <c r="CX749" s="1445"/>
      <c r="CY749" s="1445"/>
      <c r="CZ749" s="1445">
        <f t="shared" si="25"/>
        <v>0</v>
      </c>
      <c r="DA749" s="1445"/>
      <c r="DB749" s="1445"/>
      <c r="DC749" s="1445"/>
      <c r="DD749" s="1445"/>
      <c r="DE749" s="1445">
        <f t="shared" si="26"/>
        <v>0</v>
      </c>
      <c r="DF749" s="1445"/>
      <c r="DG749" s="1445"/>
      <c r="DH749" s="1445"/>
      <c r="DI749" s="1445"/>
      <c r="DJ749" s="1445">
        <f t="shared" si="27"/>
        <v>0</v>
      </c>
      <c r="DK749" s="1445"/>
      <c r="DL749" s="1445"/>
      <c r="DM749" s="1445"/>
      <c r="DN749" s="1445"/>
      <c r="DO749" s="1445">
        <f t="shared" si="28"/>
        <v>0</v>
      </c>
      <c r="DP749" s="1445"/>
      <c r="DQ749" s="1445"/>
      <c r="DR749" s="1445"/>
      <c r="DS749" s="1445"/>
      <c r="DT749" s="6"/>
      <c r="DU749" s="1444">
        <f t="shared" si="29"/>
        <v>0</v>
      </c>
      <c r="DV749" s="1444"/>
      <c r="DW749" s="1444"/>
      <c r="DX749" s="1444"/>
      <c r="DY749" s="1444"/>
      <c r="DZ749" s="1444">
        <f t="shared" si="30"/>
        <v>0</v>
      </c>
      <c r="EA749" s="1444"/>
      <c r="EB749" s="1444"/>
      <c r="EC749" s="1444"/>
      <c r="ED749" s="1444"/>
      <c r="EE749" s="1444">
        <f t="shared" si="31"/>
        <v>0</v>
      </c>
      <c r="EF749" s="1444"/>
      <c r="EG749" s="1444"/>
      <c r="EH749" s="1444"/>
      <c r="EI749" s="1444"/>
      <c r="EJ749" s="1444">
        <f t="shared" si="32"/>
        <v>0</v>
      </c>
      <c r="EK749" s="1444"/>
      <c r="EL749" s="1444"/>
      <c r="EM749" s="1444"/>
      <c r="EN749" s="1444"/>
      <c r="EO749" s="1444">
        <f t="shared" si="33"/>
        <v>0</v>
      </c>
      <c r="EP749" s="1444"/>
      <c r="EQ749" s="1444"/>
      <c r="ER749" s="1444"/>
      <c r="ES749" s="1444"/>
      <c r="ET749" s="1444">
        <f t="shared" si="34"/>
        <v>0</v>
      </c>
      <c r="EU749" s="1444"/>
      <c r="EV749" s="1444"/>
      <c r="EW749" s="1444"/>
      <c r="EX749" s="1444"/>
      <c r="EY749"/>
      <c r="EZ749" s="1469" t="str">
        <f t="shared" si="35"/>
        <v/>
      </c>
      <c r="FA749" s="1480"/>
      <c r="FB749" s="1480"/>
      <c r="FC749" s="1480"/>
      <c r="FD749" s="1470"/>
      <c r="FE749" s="1469" t="str">
        <f t="shared" si="36"/>
        <v/>
      </c>
      <c r="FF749" s="1480"/>
      <c r="FG749" s="1480"/>
      <c r="FH749" s="1480"/>
      <c r="FI749" s="1470"/>
      <c r="FJ749" s="1469" t="str">
        <f t="shared" si="37"/>
        <v/>
      </c>
      <c r="FK749" s="1480"/>
      <c r="FL749" s="1480"/>
      <c r="FM749" s="1480"/>
      <c r="FN749" s="1470"/>
      <c r="FO749" s="1469" t="str">
        <f t="shared" si="38"/>
        <v/>
      </c>
      <c r="FP749" s="1480"/>
      <c r="FQ749" s="1480"/>
      <c r="FR749" s="1480"/>
      <c r="FS749" s="1470"/>
      <c r="FT749" s="1469" t="str">
        <f t="shared" si="39"/>
        <v/>
      </c>
      <c r="FU749" s="1480"/>
      <c r="FV749" s="1480"/>
      <c r="FW749" s="1480"/>
      <c r="FX749" s="1470"/>
      <c r="FY749" s="1469" t="str">
        <f t="shared" si="40"/>
        <v/>
      </c>
      <c r="FZ749" s="1480"/>
      <c r="GA749" s="1480"/>
      <c r="GB749" s="1480"/>
      <c r="GC749" s="1470"/>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4"/>
        <v>0</v>
      </c>
      <c r="Y750" s="1353"/>
      <c r="Z750" s="1353"/>
      <c r="AA750" s="1353"/>
      <c r="AB750" s="1354"/>
      <c r="AC750" s="1359"/>
      <c r="AD750" s="1360"/>
      <c r="AE750" s="1360"/>
      <c r="AF750" s="1360"/>
      <c r="AG750" s="1361"/>
      <c r="AH750" s="1355" t="str">
        <f t="shared" si="41"/>
        <v/>
      </c>
      <c r="AI750" s="1356"/>
      <c r="AJ750" s="1357"/>
      <c r="AK750" s="1337" t="s">
        <v>591</v>
      </c>
      <c r="AL750" s="1338"/>
      <c r="AM750" s="1338"/>
      <c r="AN750" s="1338"/>
      <c r="AO750" s="1339"/>
      <c r="AT750"/>
      <c r="AU750"/>
      <c r="AV750"/>
      <c r="AW750"/>
      <c r="AX750"/>
      <c r="AY750"/>
      <c r="AZ750" s="118" t="str">
        <f t="shared" si="14"/>
        <v>N/A</v>
      </c>
      <c r="BA750" s="34"/>
      <c r="BB750" s="34"/>
      <c r="BC750" s="34"/>
      <c r="BD750" s="34"/>
      <c r="BE750" s="34"/>
      <c r="BF750" s="294">
        <f t="shared" si="15"/>
        <v>0</v>
      </c>
      <c r="BG750" s="297">
        <f t="shared" si="16"/>
        <v>0</v>
      </c>
      <c r="BH750" s="298" t="str">
        <f t="shared" si="17"/>
        <v/>
      </c>
      <c r="BJ750" s="34"/>
      <c r="BK750" s="34"/>
      <c r="BL750" s="34"/>
      <c r="BM750" s="34"/>
      <c r="BN750" s="34"/>
      <c r="BO750"/>
      <c r="BP750"/>
      <c r="BQ750"/>
      <c r="BR750"/>
      <c r="BS750" s="294">
        <f t="shared" si="18"/>
        <v>0</v>
      </c>
      <c r="BT750" s="297">
        <f t="shared" si="19"/>
        <v>0</v>
      </c>
      <c r="BU750" s="298" t="str">
        <f t="shared" si="20"/>
        <v/>
      </c>
      <c r="CD750"/>
      <c r="CG750" s="1469">
        <f t="shared" si="42"/>
        <v>0</v>
      </c>
      <c r="CH750" s="1470"/>
      <c r="CI750" s="1477">
        <f t="shared" si="43"/>
        <v>0</v>
      </c>
      <c r="CJ750" s="1478"/>
      <c r="CK750" s="1469">
        <f t="shared" si="21"/>
        <v>0</v>
      </c>
      <c r="CL750" s="1470"/>
      <c r="CM750" s="1477">
        <f t="shared" si="22"/>
        <v>0</v>
      </c>
      <c r="CN750" s="1478"/>
      <c r="CP750" s="1471">
        <f t="shared" si="23"/>
        <v>0</v>
      </c>
      <c r="CQ750" s="1472"/>
      <c r="CR750" s="1472"/>
      <c r="CS750" s="1472"/>
      <c r="CT750" s="1473"/>
      <c r="CU750" s="1445">
        <f t="shared" si="24"/>
        <v>0</v>
      </c>
      <c r="CV750" s="1445"/>
      <c r="CW750" s="1445"/>
      <c r="CX750" s="1445"/>
      <c r="CY750" s="1445"/>
      <c r="CZ750" s="1445">
        <f t="shared" si="25"/>
        <v>0</v>
      </c>
      <c r="DA750" s="1445"/>
      <c r="DB750" s="1445"/>
      <c r="DC750" s="1445"/>
      <c r="DD750" s="1445"/>
      <c r="DE750" s="1445">
        <f t="shared" si="26"/>
        <v>0</v>
      </c>
      <c r="DF750" s="1445"/>
      <c r="DG750" s="1445"/>
      <c r="DH750" s="1445"/>
      <c r="DI750" s="1445"/>
      <c r="DJ750" s="1445">
        <f t="shared" si="27"/>
        <v>0</v>
      </c>
      <c r="DK750" s="1445"/>
      <c r="DL750" s="1445"/>
      <c r="DM750" s="1445"/>
      <c r="DN750" s="1445"/>
      <c r="DO750" s="1445">
        <f t="shared" si="28"/>
        <v>0</v>
      </c>
      <c r="DP750" s="1445"/>
      <c r="DQ750" s="1445"/>
      <c r="DR750" s="1445"/>
      <c r="DS750" s="1445"/>
      <c r="DT750" s="6"/>
      <c r="DU750" s="1444">
        <f t="shared" si="29"/>
        <v>0</v>
      </c>
      <c r="DV750" s="1444"/>
      <c r="DW750" s="1444"/>
      <c r="DX750" s="1444"/>
      <c r="DY750" s="1444"/>
      <c r="DZ750" s="1444">
        <f t="shared" si="30"/>
        <v>0</v>
      </c>
      <c r="EA750" s="1444"/>
      <c r="EB750" s="1444"/>
      <c r="EC750" s="1444"/>
      <c r="ED750" s="1444"/>
      <c r="EE750" s="1444">
        <f t="shared" si="31"/>
        <v>0</v>
      </c>
      <c r="EF750" s="1444"/>
      <c r="EG750" s="1444"/>
      <c r="EH750" s="1444"/>
      <c r="EI750" s="1444"/>
      <c r="EJ750" s="1444">
        <f t="shared" si="32"/>
        <v>0</v>
      </c>
      <c r="EK750" s="1444"/>
      <c r="EL750" s="1444"/>
      <c r="EM750" s="1444"/>
      <c r="EN750" s="1444"/>
      <c r="EO750" s="1444">
        <f t="shared" si="33"/>
        <v>0</v>
      </c>
      <c r="EP750" s="1444"/>
      <c r="EQ750" s="1444"/>
      <c r="ER750" s="1444"/>
      <c r="ES750" s="1444"/>
      <c r="ET750" s="1444">
        <f t="shared" si="34"/>
        <v>0</v>
      </c>
      <c r="EU750" s="1444"/>
      <c r="EV750" s="1444"/>
      <c r="EW750" s="1444"/>
      <c r="EX750" s="1444"/>
      <c r="EY750"/>
      <c r="EZ750" s="1469" t="str">
        <f t="shared" si="35"/>
        <v/>
      </c>
      <c r="FA750" s="1480"/>
      <c r="FB750" s="1480"/>
      <c r="FC750" s="1480"/>
      <c r="FD750" s="1470"/>
      <c r="FE750" s="1469" t="str">
        <f t="shared" si="36"/>
        <v/>
      </c>
      <c r="FF750" s="1480"/>
      <c r="FG750" s="1480"/>
      <c r="FH750" s="1480"/>
      <c r="FI750" s="1470"/>
      <c r="FJ750" s="1469" t="str">
        <f t="shared" si="37"/>
        <v/>
      </c>
      <c r="FK750" s="1480"/>
      <c r="FL750" s="1480"/>
      <c r="FM750" s="1480"/>
      <c r="FN750" s="1470"/>
      <c r="FO750" s="1469" t="str">
        <f t="shared" si="38"/>
        <v/>
      </c>
      <c r="FP750" s="1480"/>
      <c r="FQ750" s="1480"/>
      <c r="FR750" s="1480"/>
      <c r="FS750" s="1470"/>
      <c r="FT750" s="1469" t="str">
        <f t="shared" si="39"/>
        <v/>
      </c>
      <c r="FU750" s="1480"/>
      <c r="FV750" s="1480"/>
      <c r="FW750" s="1480"/>
      <c r="FX750" s="1470"/>
      <c r="FY750" s="1469" t="str">
        <f t="shared" si="40"/>
        <v/>
      </c>
      <c r="FZ750" s="1480"/>
      <c r="GA750" s="1480"/>
      <c r="GB750" s="1480"/>
      <c r="GC750" s="1470"/>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4"/>
        <v>0</v>
      </c>
      <c r="Y751" s="1353"/>
      <c r="Z751" s="1353"/>
      <c r="AA751" s="1353"/>
      <c r="AB751" s="1354"/>
      <c r="AC751" s="1359"/>
      <c r="AD751" s="1360"/>
      <c r="AE751" s="1360"/>
      <c r="AF751" s="1360"/>
      <c r="AG751" s="1361"/>
      <c r="AH751" s="1355" t="str">
        <f t="shared" si="41"/>
        <v/>
      </c>
      <c r="AI751" s="1356"/>
      <c r="AJ751" s="1357"/>
      <c r="AK751" s="1337" t="s">
        <v>591</v>
      </c>
      <c r="AL751" s="1338"/>
      <c r="AM751" s="1338"/>
      <c r="AN751" s="1338"/>
      <c r="AO751" s="1339"/>
      <c r="AT751"/>
      <c r="AU751"/>
      <c r="AV751"/>
      <c r="AW751"/>
      <c r="AX751"/>
      <c r="AY751"/>
      <c r="AZ751" s="118" t="str">
        <f t="shared" si="14"/>
        <v>N/A</v>
      </c>
      <c r="BA751" s="34"/>
      <c r="BB751" s="34"/>
      <c r="BC751" s="34"/>
      <c r="BD751" s="34"/>
      <c r="BE751" s="34"/>
      <c r="BF751" s="294">
        <f t="shared" si="15"/>
        <v>0</v>
      </c>
      <c r="BG751" s="297">
        <f t="shared" si="16"/>
        <v>0</v>
      </c>
      <c r="BH751" s="298" t="str">
        <f t="shared" si="17"/>
        <v/>
      </c>
      <c r="BJ751" s="34"/>
      <c r="BK751" s="34"/>
      <c r="BL751" s="34"/>
      <c r="BM751" s="34"/>
      <c r="BN751" s="34"/>
      <c r="BO751"/>
      <c r="BP751"/>
      <c r="BQ751"/>
      <c r="BR751"/>
      <c r="BS751" s="294">
        <f t="shared" si="18"/>
        <v>0</v>
      </c>
      <c r="BT751" s="297">
        <f t="shared" si="19"/>
        <v>0</v>
      </c>
      <c r="BU751" s="298" t="str">
        <f t="shared" si="20"/>
        <v/>
      </c>
      <c r="CD751"/>
      <c r="CG751" s="1469">
        <f t="shared" si="42"/>
        <v>0</v>
      </c>
      <c r="CH751" s="1470"/>
      <c r="CI751" s="1477">
        <f t="shared" si="43"/>
        <v>0</v>
      </c>
      <c r="CJ751" s="1478"/>
      <c r="CK751" s="1469">
        <f t="shared" si="21"/>
        <v>0</v>
      </c>
      <c r="CL751" s="1470"/>
      <c r="CM751" s="1477">
        <f t="shared" si="22"/>
        <v>0</v>
      </c>
      <c r="CN751" s="1478"/>
      <c r="CP751" s="1471">
        <f t="shared" si="23"/>
        <v>0</v>
      </c>
      <c r="CQ751" s="1472"/>
      <c r="CR751" s="1472"/>
      <c r="CS751" s="1472"/>
      <c r="CT751" s="1473"/>
      <c r="CU751" s="1445">
        <f t="shared" si="24"/>
        <v>0</v>
      </c>
      <c r="CV751" s="1445"/>
      <c r="CW751" s="1445"/>
      <c r="CX751" s="1445"/>
      <c r="CY751" s="1445"/>
      <c r="CZ751" s="1445">
        <f t="shared" si="25"/>
        <v>0</v>
      </c>
      <c r="DA751" s="1445"/>
      <c r="DB751" s="1445"/>
      <c r="DC751" s="1445"/>
      <c r="DD751" s="1445"/>
      <c r="DE751" s="1445">
        <f t="shared" si="26"/>
        <v>0</v>
      </c>
      <c r="DF751" s="1445"/>
      <c r="DG751" s="1445"/>
      <c r="DH751" s="1445"/>
      <c r="DI751" s="1445"/>
      <c r="DJ751" s="1445">
        <f t="shared" si="27"/>
        <v>0</v>
      </c>
      <c r="DK751" s="1445"/>
      <c r="DL751" s="1445"/>
      <c r="DM751" s="1445"/>
      <c r="DN751" s="1445"/>
      <c r="DO751" s="1445">
        <f t="shared" si="28"/>
        <v>0</v>
      </c>
      <c r="DP751" s="1445"/>
      <c r="DQ751" s="1445"/>
      <c r="DR751" s="1445"/>
      <c r="DS751" s="1445"/>
      <c r="DT751" s="6"/>
      <c r="DU751" s="1444">
        <f t="shared" si="29"/>
        <v>0</v>
      </c>
      <c r="DV751" s="1444"/>
      <c r="DW751" s="1444"/>
      <c r="DX751" s="1444"/>
      <c r="DY751" s="1444"/>
      <c r="DZ751" s="1444">
        <f t="shared" si="30"/>
        <v>0</v>
      </c>
      <c r="EA751" s="1444"/>
      <c r="EB751" s="1444"/>
      <c r="EC751" s="1444"/>
      <c r="ED751" s="1444"/>
      <c r="EE751" s="1444">
        <f t="shared" si="31"/>
        <v>0</v>
      </c>
      <c r="EF751" s="1444"/>
      <c r="EG751" s="1444"/>
      <c r="EH751" s="1444"/>
      <c r="EI751" s="1444"/>
      <c r="EJ751" s="1444">
        <f t="shared" si="32"/>
        <v>0</v>
      </c>
      <c r="EK751" s="1444"/>
      <c r="EL751" s="1444"/>
      <c r="EM751" s="1444"/>
      <c r="EN751" s="1444"/>
      <c r="EO751" s="1444">
        <f t="shared" si="33"/>
        <v>0</v>
      </c>
      <c r="EP751" s="1444"/>
      <c r="EQ751" s="1444"/>
      <c r="ER751" s="1444"/>
      <c r="ES751" s="1444"/>
      <c r="ET751" s="1444">
        <f t="shared" si="34"/>
        <v>0</v>
      </c>
      <c r="EU751" s="1444"/>
      <c r="EV751" s="1444"/>
      <c r="EW751" s="1444"/>
      <c r="EX751" s="1444"/>
      <c r="EY751"/>
      <c r="EZ751" s="1469" t="str">
        <f t="shared" si="35"/>
        <v/>
      </c>
      <c r="FA751" s="1480"/>
      <c r="FB751" s="1480"/>
      <c r="FC751" s="1480"/>
      <c r="FD751" s="1470"/>
      <c r="FE751" s="1469" t="str">
        <f t="shared" si="36"/>
        <v/>
      </c>
      <c r="FF751" s="1480"/>
      <c r="FG751" s="1480"/>
      <c r="FH751" s="1480"/>
      <c r="FI751" s="1470"/>
      <c r="FJ751" s="1469" t="str">
        <f t="shared" si="37"/>
        <v/>
      </c>
      <c r="FK751" s="1480"/>
      <c r="FL751" s="1480"/>
      <c r="FM751" s="1480"/>
      <c r="FN751" s="1470"/>
      <c r="FO751" s="1469" t="str">
        <f t="shared" si="38"/>
        <v/>
      </c>
      <c r="FP751" s="1480"/>
      <c r="FQ751" s="1480"/>
      <c r="FR751" s="1480"/>
      <c r="FS751" s="1470"/>
      <c r="FT751" s="1469" t="str">
        <f t="shared" si="39"/>
        <v/>
      </c>
      <c r="FU751" s="1480"/>
      <c r="FV751" s="1480"/>
      <c r="FW751" s="1480"/>
      <c r="FX751" s="1470"/>
      <c r="FY751" s="1469" t="str">
        <f t="shared" si="40"/>
        <v/>
      </c>
      <c r="FZ751" s="1480"/>
      <c r="GA751" s="1480"/>
      <c r="GB751" s="1480"/>
      <c r="GC751" s="1470"/>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41"/>
        <v/>
      </c>
      <c r="AI752" s="1356"/>
      <c r="AJ752" s="1357"/>
      <c r="AK752" s="1337" t="s">
        <v>591</v>
      </c>
      <c r="AL752" s="1338"/>
      <c r="AM752" s="1338"/>
      <c r="AN752" s="1338"/>
      <c r="AO752" s="1339"/>
      <c r="AT752"/>
      <c r="AU752"/>
      <c r="AV752"/>
      <c r="AW752"/>
      <c r="AX752"/>
      <c r="AY752"/>
      <c r="AZ752" s="118" t="str">
        <f t="shared" si="14"/>
        <v>N/A</v>
      </c>
      <c r="BA752" s="34"/>
      <c r="BB752" s="34"/>
      <c r="BC752" s="34"/>
      <c r="BE752"/>
      <c r="BF752" s="294">
        <f t="shared" si="15"/>
        <v>0</v>
      </c>
      <c r="BG752" s="297">
        <f t="shared" si="16"/>
        <v>0</v>
      </c>
      <c r="BH752" s="298" t="str">
        <f t="shared" si="17"/>
        <v/>
      </c>
      <c r="BJ752" s="34"/>
      <c r="BK752" s="34"/>
      <c r="BL752" s="34"/>
      <c r="BM752" s="34"/>
      <c r="BN752" s="34"/>
      <c r="BO752"/>
      <c r="BP752"/>
      <c r="BQ752"/>
      <c r="BR752"/>
      <c r="BS752" s="860">
        <f t="shared" si="18"/>
        <v>0</v>
      </c>
      <c r="BT752" s="297">
        <f t="shared" si="19"/>
        <v>0</v>
      </c>
      <c r="BU752" s="298" t="str">
        <f t="shared" si="20"/>
        <v/>
      </c>
      <c r="CD752"/>
      <c r="CG752" s="1469">
        <f t="shared" si="42"/>
        <v>0</v>
      </c>
      <c r="CH752" s="1470"/>
      <c r="CI752" s="1477">
        <f t="shared" si="43"/>
        <v>0</v>
      </c>
      <c r="CJ752" s="1478"/>
      <c r="CK752" s="1469">
        <f t="shared" si="21"/>
        <v>0</v>
      </c>
      <c r="CL752" s="1470"/>
      <c r="CM752" s="1477">
        <f t="shared" si="22"/>
        <v>0</v>
      </c>
      <c r="CN752" s="1478"/>
      <c r="CP752" s="1471">
        <f t="shared" si="23"/>
        <v>0</v>
      </c>
      <c r="CQ752" s="1472"/>
      <c r="CR752" s="1472"/>
      <c r="CS752" s="1472"/>
      <c r="CT752" s="1473"/>
      <c r="CU752" s="1445">
        <f t="shared" si="24"/>
        <v>0</v>
      </c>
      <c r="CV752" s="1445"/>
      <c r="CW752" s="1445"/>
      <c r="CX752" s="1445"/>
      <c r="CY752" s="1445"/>
      <c r="CZ752" s="1445">
        <f t="shared" si="25"/>
        <v>0</v>
      </c>
      <c r="DA752" s="1445"/>
      <c r="DB752" s="1445"/>
      <c r="DC752" s="1445"/>
      <c r="DD752" s="1445"/>
      <c r="DE752" s="1445">
        <f t="shared" si="26"/>
        <v>0</v>
      </c>
      <c r="DF752" s="1445"/>
      <c r="DG752" s="1445"/>
      <c r="DH752" s="1445"/>
      <c r="DI752" s="1445"/>
      <c r="DJ752" s="1445">
        <f t="shared" si="27"/>
        <v>0</v>
      </c>
      <c r="DK752" s="1445"/>
      <c r="DL752" s="1445"/>
      <c r="DM752" s="1445"/>
      <c r="DN752" s="1445"/>
      <c r="DO752" s="1445">
        <f t="shared" si="28"/>
        <v>0</v>
      </c>
      <c r="DP752" s="1445"/>
      <c r="DQ752" s="1445"/>
      <c r="DR752" s="1445"/>
      <c r="DS752" s="1445"/>
      <c r="DT752" s="6"/>
      <c r="DU752" s="1444">
        <f t="shared" si="29"/>
        <v>0</v>
      </c>
      <c r="DV752" s="1444"/>
      <c r="DW752" s="1444"/>
      <c r="DX752" s="1444"/>
      <c r="DY752" s="1444"/>
      <c r="DZ752" s="1444">
        <f t="shared" si="30"/>
        <v>0</v>
      </c>
      <c r="EA752" s="1444"/>
      <c r="EB752" s="1444"/>
      <c r="EC752" s="1444"/>
      <c r="ED752" s="1444"/>
      <c r="EE752" s="1444">
        <f t="shared" si="31"/>
        <v>0</v>
      </c>
      <c r="EF752" s="1444"/>
      <c r="EG752" s="1444"/>
      <c r="EH752" s="1444"/>
      <c r="EI752" s="1444"/>
      <c r="EJ752" s="1444">
        <f t="shared" si="32"/>
        <v>0</v>
      </c>
      <c r="EK752" s="1444"/>
      <c r="EL752" s="1444"/>
      <c r="EM752" s="1444"/>
      <c r="EN752" s="1444"/>
      <c r="EO752" s="1444">
        <f t="shared" si="33"/>
        <v>0</v>
      </c>
      <c r="EP752" s="1444"/>
      <c r="EQ752" s="1444"/>
      <c r="ER752" s="1444"/>
      <c r="ES752" s="1444"/>
      <c r="ET752" s="1444">
        <f t="shared" si="34"/>
        <v>0</v>
      </c>
      <c r="EU752" s="1444"/>
      <c r="EV752" s="1444"/>
      <c r="EW752" s="1444"/>
      <c r="EX752" s="1444"/>
      <c r="EY752"/>
      <c r="EZ752" s="1469" t="str">
        <f t="shared" si="35"/>
        <v/>
      </c>
      <c r="FA752" s="1480"/>
      <c r="FB752" s="1480"/>
      <c r="FC752" s="1480"/>
      <c r="FD752" s="1470"/>
      <c r="FE752" s="1469" t="str">
        <f t="shared" si="36"/>
        <v/>
      </c>
      <c r="FF752" s="1480"/>
      <c r="FG752" s="1480"/>
      <c r="FH752" s="1480"/>
      <c r="FI752" s="1470"/>
      <c r="FJ752" s="1469" t="str">
        <f t="shared" si="37"/>
        <v/>
      </c>
      <c r="FK752" s="1480"/>
      <c r="FL752" s="1480"/>
      <c r="FM752" s="1480"/>
      <c r="FN752" s="1470"/>
      <c r="FO752" s="1469" t="str">
        <f t="shared" si="38"/>
        <v/>
      </c>
      <c r="FP752" s="1480"/>
      <c r="FQ752" s="1480"/>
      <c r="FR752" s="1480"/>
      <c r="FS752" s="1470"/>
      <c r="FT752" s="1469" t="str">
        <f t="shared" si="39"/>
        <v/>
      </c>
      <c r="FU752" s="1480"/>
      <c r="FV752" s="1480"/>
      <c r="FW752" s="1480"/>
      <c r="FX752" s="1470"/>
      <c r="FY752" s="1469" t="str">
        <f t="shared" si="40"/>
        <v/>
      </c>
      <c r="FZ752" s="1480"/>
      <c r="GA752" s="1480"/>
      <c r="GB752" s="1480"/>
      <c r="GC752" s="1470"/>
    </row>
    <row r="753" spans="1:185" s="3" customFormat="1" ht="12.95" customHeight="1">
      <c r="A753"/>
      <c r="B753" s="1654" t="s">
        <v>125</v>
      </c>
      <c r="C753" s="1655"/>
      <c r="D753" s="1655"/>
      <c r="E753" s="1655"/>
      <c r="F753" s="1656"/>
      <c r="G753" s="1622">
        <f>SUM(G718:G752)</f>
        <v>53</v>
      </c>
      <c r="H753" s="1623"/>
      <c r="I753" s="1623"/>
      <c r="J753" s="1624"/>
      <c r="K753" s="902" t="s">
        <v>124</v>
      </c>
      <c r="L753" s="5"/>
      <c r="M753" s="5"/>
      <c r="N753" s="46"/>
      <c r="O753" s="1352">
        <f>SUMPRODUCT(G718:G752,O718:O752)</f>
        <v>22048</v>
      </c>
      <c r="P753" s="1353"/>
      <c r="Q753" s="1353"/>
      <c r="R753" s="1353"/>
      <c r="S753" s="1354"/>
      <c r="T753"/>
      <c r="U753"/>
      <c r="V753"/>
      <c r="W753"/>
      <c r="X753" s="904" t="s">
        <v>900</v>
      </c>
      <c r="Y753" s="903"/>
      <c r="Z753" s="903"/>
      <c r="AA753" s="903"/>
      <c r="AB753" s="905"/>
      <c r="AC753" s="1606">
        <f>BH753</f>
        <v>0.3</v>
      </c>
      <c r="AD753" s="1607"/>
      <c r="AE753" s="1607"/>
      <c r="AF753" s="1607"/>
      <c r="AG753" s="1608"/>
      <c r="AH753" s="1606">
        <f>IFERROR(BU753,"")</f>
        <v>0.29965947786606129</v>
      </c>
      <c r="AI753" s="1607"/>
      <c r="AJ753" s="1608"/>
      <c r="AK753"/>
      <c r="AL753"/>
      <c r="AM753"/>
      <c r="AN753"/>
      <c r="AO753"/>
      <c r="AP753" s="205"/>
      <c r="AQ753" s="205"/>
      <c r="AR753" s="205"/>
      <c r="AS753" s="205"/>
      <c r="AT753"/>
      <c r="AU753"/>
      <c r="AV753"/>
      <c r="AW753"/>
      <c r="AX753"/>
      <c r="AY753"/>
      <c r="AZ753" s="34"/>
      <c r="BA753" s="34"/>
      <c r="BB753" s="34"/>
      <c r="BC753" s="34"/>
      <c r="BE753" s="290" t="s">
        <v>899</v>
      </c>
      <c r="BF753" s="299">
        <f>SUM(BF718:BF752)</f>
        <v>53</v>
      </c>
      <c r="BG753" s="300">
        <f>SUM(BG718:BG752)</f>
        <v>1</v>
      </c>
      <c r="BH753" s="300">
        <f>SUM(BH718:BH752)</f>
        <v>0.3</v>
      </c>
      <c r="BI753"/>
      <c r="BJ753"/>
      <c r="BK753"/>
      <c r="BL753"/>
      <c r="BO753"/>
      <c r="BP753"/>
      <c r="BQ753"/>
      <c r="BR753"/>
      <c r="BS753" s="859">
        <f>SUM(BS718:BS752)</f>
        <v>53</v>
      </c>
      <c r="BT753" s="300">
        <f>SUM(BT718:BT752)</f>
        <v>1</v>
      </c>
      <c r="BU753" s="300">
        <f>SUM(BU718:BU752)</f>
        <v>0.29965947786606129</v>
      </c>
      <c r="CI753" s="1469">
        <f>SUM(CI718:CJ752)</f>
        <v>0</v>
      </c>
      <c r="CJ753" s="1470"/>
      <c r="CM753" s="1469">
        <f>SUM(CM718:CN752)</f>
        <v>53</v>
      </c>
      <c r="CN753" s="1470"/>
      <c r="CP753" s="1469">
        <f>SUM(CP718:CT752)</f>
        <v>0</v>
      </c>
      <c r="CQ753" s="1480"/>
      <c r="CR753" s="1480"/>
      <c r="CS753" s="1480"/>
      <c r="CT753" s="1470"/>
      <c r="CU753" s="1468">
        <f>SUM(CU718:CY752)</f>
        <v>53</v>
      </c>
      <c r="CV753" s="1468"/>
      <c r="CW753" s="1468"/>
      <c r="CX753" s="1468"/>
      <c r="CY753" s="1468"/>
      <c r="CZ753" s="1468">
        <f>SUM(CZ718:DD752)</f>
        <v>0</v>
      </c>
      <c r="DA753" s="1468"/>
      <c r="DB753" s="1468"/>
      <c r="DC753" s="1468"/>
      <c r="DD753" s="1468"/>
      <c r="DE753" s="1468">
        <f>SUM(DE718:DI752)</f>
        <v>0</v>
      </c>
      <c r="DF753" s="1468"/>
      <c r="DG753" s="1468"/>
      <c r="DH753" s="1468"/>
      <c r="DI753" s="1468"/>
      <c r="DJ753" s="1468">
        <f>SUM(DJ718:DN752)</f>
        <v>0</v>
      </c>
      <c r="DK753" s="1468"/>
      <c r="DL753" s="1468"/>
      <c r="DM753" s="1468"/>
      <c r="DN753" s="1468"/>
      <c r="DO753" s="1468">
        <f>SUM(DO718:DS752)</f>
        <v>0</v>
      </c>
      <c r="DP753" s="1468"/>
      <c r="DQ753" s="1468"/>
      <c r="DR753" s="1468"/>
      <c r="DS753" s="1468"/>
      <c r="DT753" s="354"/>
      <c r="DU753" s="1468">
        <f>SUM(DU718:DY752)</f>
        <v>0</v>
      </c>
      <c r="DV753" s="1468"/>
      <c r="DW753" s="1468"/>
      <c r="DX753" s="1468"/>
      <c r="DY753" s="1468"/>
      <c r="DZ753" s="1468">
        <f>SUM(DZ718:ED752)</f>
        <v>53</v>
      </c>
      <c r="EA753" s="1468"/>
      <c r="EB753" s="1468"/>
      <c r="EC753" s="1468"/>
      <c r="ED753" s="1468"/>
      <c r="EE753" s="1468">
        <f>SUM(EE718:EI752)</f>
        <v>0</v>
      </c>
      <c r="EF753" s="1468"/>
      <c r="EG753" s="1468"/>
      <c r="EH753" s="1468"/>
      <c r="EI753" s="1468"/>
      <c r="EJ753" s="1468">
        <f>SUM(EJ718:EN752)</f>
        <v>0</v>
      </c>
      <c r="EK753" s="1468"/>
      <c r="EL753" s="1468"/>
      <c r="EM753" s="1468"/>
      <c r="EN753" s="1468"/>
      <c r="EO753" s="1468">
        <f>SUM(EO718:ES752)</f>
        <v>0</v>
      </c>
      <c r="EP753" s="1468"/>
      <c r="EQ753" s="1468"/>
      <c r="ER753" s="1468"/>
      <c r="ES753" s="1468"/>
      <c r="ET753" s="1468">
        <f>SUM(ET718:EX752)</f>
        <v>0</v>
      </c>
      <c r="EU753" s="1468"/>
      <c r="EV753" s="1468"/>
      <c r="EW753" s="1468"/>
      <c r="EX753" s="1468"/>
      <c r="EY753"/>
      <c r="EZ753" s="1468">
        <f>SUM(EZ718:FD752)</f>
        <v>0</v>
      </c>
      <c r="FA753" s="1468"/>
      <c r="FB753" s="1468"/>
      <c r="FC753" s="1468"/>
      <c r="FD753" s="1468"/>
      <c r="FE753" s="1468">
        <f>SUM(FE718:FI752)</f>
        <v>832</v>
      </c>
      <c r="FF753" s="1468"/>
      <c r="FG753" s="1468"/>
      <c r="FH753" s="1468"/>
      <c r="FI753" s="1468"/>
      <c r="FJ753" s="1468">
        <f>SUM(FJ718:FN752)</f>
        <v>0</v>
      </c>
      <c r="FK753" s="1468"/>
      <c r="FL753" s="1468"/>
      <c r="FM753" s="1468"/>
      <c r="FN753" s="1468"/>
      <c r="FO753" s="1468">
        <f>SUM(FO718:FS752)</f>
        <v>0</v>
      </c>
      <c r="FP753" s="1468"/>
      <c r="FQ753" s="1468"/>
      <c r="FR753" s="1468"/>
      <c r="FS753" s="1468"/>
      <c r="FT753" s="1468">
        <f>SUM(FT718:FX752)</f>
        <v>0</v>
      </c>
      <c r="FU753" s="1468"/>
      <c r="FV753" s="1468"/>
      <c r="FW753" s="1468"/>
      <c r="FX753" s="1468"/>
      <c r="FY753" s="1468">
        <f>SUM(FY718:GC752)</f>
        <v>0</v>
      </c>
      <c r="FZ753" s="1468"/>
      <c r="GA753" s="1468"/>
      <c r="GB753" s="1468"/>
      <c r="GC753" s="1468"/>
    </row>
    <row r="754" spans="1:185" s="3" customFormat="1" ht="12.95"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9">
        <f>CP753+CU753+CZ753+DE753+DJ753+DO753</f>
        <v>53</v>
      </c>
      <c r="DP754" s="1480"/>
      <c r="DQ754" s="1480"/>
      <c r="DR754" s="1480"/>
      <c r="DS754" s="1470"/>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53</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53</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8">
        <f>DU755</f>
        <v>53</v>
      </c>
      <c r="P756" s="1468"/>
      <c r="Q756" s="1468"/>
      <c r="R756" s="1468"/>
      <c r="S756" s="969"/>
      <c r="T756" s="969"/>
      <c r="U756" s="118" t="s">
        <v>1893</v>
      </c>
      <c r="V756" s="1032"/>
      <c r="W756" s="1032"/>
      <c r="X756" s="1032"/>
      <c r="Y756" s="1033"/>
      <c r="Z756" s="1033"/>
      <c r="AA756" s="1033"/>
      <c r="AB756" s="1033"/>
      <c r="AC756" s="1032"/>
      <c r="AD756" s="1032"/>
      <c r="AE756" s="1032"/>
      <c r="AF756" s="1032"/>
      <c r="AG756" s="1628">
        <v>27</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20" t="s">
        <v>284</v>
      </c>
      <c r="P769" s="1620"/>
      <c r="Q769" s="1620"/>
      <c r="R769" s="1620"/>
      <c r="S769" s="1620"/>
      <c r="T769" s="1729" t="s">
        <v>1679</v>
      </c>
      <c r="U769" s="1730"/>
      <c r="V769" s="1730"/>
      <c r="W769" s="1731"/>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32"/>
      <c r="U770" s="1733"/>
      <c r="V770" s="1733"/>
      <c r="W770" s="173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32"/>
      <c r="U771" s="1733"/>
      <c r="V771" s="1733"/>
      <c r="W771" s="173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35"/>
      <c r="U772" s="1736"/>
      <c r="V772" s="1736"/>
      <c r="W772" s="173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164</v>
      </c>
      <c r="K773" s="1338"/>
      <c r="L773" s="1338"/>
      <c r="M773" s="1338"/>
      <c r="N773" s="1339"/>
      <c r="O773" s="1615">
        <v>1</v>
      </c>
      <c r="P773" s="1615"/>
      <c r="Q773" s="1615"/>
      <c r="R773" s="1615"/>
      <c r="S773" s="1615"/>
      <c r="T773" s="1343">
        <v>1240</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71">
        <f>IF(J773="SRO/Studio",O773,0)</f>
        <v>0</v>
      </c>
      <c r="CQ773" s="1472"/>
      <c r="CR773" s="1472"/>
      <c r="CS773" s="1472"/>
      <c r="CT773" s="1473"/>
      <c r="CU773" s="1445">
        <f>IF(J773="1 Bedroom",O773,0)</f>
        <v>0</v>
      </c>
      <c r="CV773" s="1445"/>
      <c r="CW773" s="1445"/>
      <c r="CX773" s="1445"/>
      <c r="CY773" s="1445"/>
      <c r="CZ773" s="1445">
        <f>IF(J773="2 Bedrooms",O773,0)</f>
        <v>0</v>
      </c>
      <c r="DA773" s="1445"/>
      <c r="DB773" s="1445"/>
      <c r="DC773" s="1445"/>
      <c r="DD773" s="1445"/>
      <c r="DE773" s="1445">
        <f>IF(J773="3 Bedrooms",O773,0)</f>
        <v>1</v>
      </c>
      <c r="DF773" s="1445"/>
      <c r="DG773" s="1445"/>
      <c r="DH773" s="1445"/>
      <c r="DI773" s="1445"/>
      <c r="DJ773" s="1445">
        <f>IF(J773="4 Bedrooms",O773,0)</f>
        <v>0</v>
      </c>
      <c r="DK773" s="1445"/>
      <c r="DL773" s="1445"/>
      <c r="DM773" s="1445"/>
      <c r="DN773" s="1445"/>
      <c r="DO773" s="1445">
        <f>IF(J773="5 Bedrooms",O773,0)</f>
        <v>0</v>
      </c>
      <c r="DP773" s="1445"/>
      <c r="DQ773" s="1445"/>
      <c r="DR773" s="1445"/>
      <c r="DS773" s="1445"/>
      <c r="DT773" s="6"/>
      <c r="DU773" s="3"/>
      <c r="DV773" s="3"/>
    </row>
    <row r="774" spans="1:126" ht="12.95" customHeight="1">
      <c r="J774" s="1337"/>
      <c r="K774" s="1338"/>
      <c r="L774" s="1338"/>
      <c r="M774" s="1338"/>
      <c r="N774" s="1339"/>
      <c r="O774" s="1615"/>
      <c r="P774" s="1615"/>
      <c r="Q774" s="1615"/>
      <c r="R774" s="1615"/>
      <c r="S774" s="1615"/>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71">
        <f>IF(J774="SRO/Studio",O774,0)</f>
        <v>0</v>
      </c>
      <c r="CQ774" s="1472"/>
      <c r="CR774" s="1472"/>
      <c r="CS774" s="1472"/>
      <c r="CT774" s="1473"/>
      <c r="CU774" s="1445">
        <f>IF(J774="1 Bedroom",O774,0)</f>
        <v>0</v>
      </c>
      <c r="CV774" s="1445"/>
      <c r="CW774" s="1445"/>
      <c r="CX774" s="1445"/>
      <c r="CY774" s="1445"/>
      <c r="CZ774" s="1445">
        <f>IF(J774="2 Bedrooms",O774,0)</f>
        <v>0</v>
      </c>
      <c r="DA774" s="1445"/>
      <c r="DB774" s="1445"/>
      <c r="DC774" s="1445"/>
      <c r="DD774" s="1445"/>
      <c r="DE774" s="1445">
        <f>IF(J774="3 Bedrooms",O774,0)</f>
        <v>0</v>
      </c>
      <c r="DF774" s="1445"/>
      <c r="DG774" s="1445"/>
      <c r="DH774" s="1445"/>
      <c r="DI774" s="1445"/>
      <c r="DJ774" s="1445">
        <f>IF(J774="4 Bedrooms",O774,0)</f>
        <v>0</v>
      </c>
      <c r="DK774" s="1445"/>
      <c r="DL774" s="1445"/>
      <c r="DM774" s="1445"/>
      <c r="DN774" s="1445"/>
      <c r="DO774" s="1445">
        <f>IF(J774="5 Bedrooms",O774,0)</f>
        <v>0</v>
      </c>
      <c r="DP774" s="1445"/>
      <c r="DQ774" s="1445"/>
      <c r="DR774" s="1445"/>
      <c r="DS774" s="1445"/>
      <c r="DT774" s="6"/>
      <c r="DU774" s="3"/>
      <c r="DV774" s="3"/>
    </row>
    <row r="775" spans="1:126" ht="12.95" customHeight="1">
      <c r="J775" s="1337"/>
      <c r="K775" s="1338"/>
      <c r="L775" s="1338"/>
      <c r="M775" s="1338"/>
      <c r="N775" s="1339"/>
      <c r="O775" s="1615"/>
      <c r="P775" s="1615"/>
      <c r="Q775" s="1615"/>
      <c r="R775" s="1615"/>
      <c r="S775" s="1615"/>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71">
        <f>IF(J775="SRO/Studio",O775,0)</f>
        <v>0</v>
      </c>
      <c r="CQ775" s="1472"/>
      <c r="CR775" s="1472"/>
      <c r="CS775" s="1472"/>
      <c r="CT775" s="1473"/>
      <c r="CU775" s="1445">
        <f>IF(J775="1 Bedroom",O775,0)</f>
        <v>0</v>
      </c>
      <c r="CV775" s="1445"/>
      <c r="CW775" s="1445"/>
      <c r="CX775" s="1445"/>
      <c r="CY775" s="1445"/>
      <c r="CZ775" s="1445">
        <f>IF(J775="2 Bedrooms",O775,0)</f>
        <v>0</v>
      </c>
      <c r="DA775" s="1445"/>
      <c r="DB775" s="1445"/>
      <c r="DC775" s="1445"/>
      <c r="DD775" s="1445"/>
      <c r="DE775" s="1445">
        <f>IF(J775="3 Bedrooms",O775,0)</f>
        <v>0</v>
      </c>
      <c r="DF775" s="1445"/>
      <c r="DG775" s="1445"/>
      <c r="DH775" s="1445"/>
      <c r="DI775" s="1445"/>
      <c r="DJ775" s="1445">
        <f>IF(J775="4 Bedrooms",O775,0)</f>
        <v>0</v>
      </c>
      <c r="DK775" s="1445"/>
      <c r="DL775" s="1445"/>
      <c r="DM775" s="1445"/>
      <c r="DN775" s="1445"/>
      <c r="DO775" s="1445">
        <f>IF(J775="5 Bedrooms",O775,0)</f>
        <v>0</v>
      </c>
      <c r="DP775" s="1445"/>
      <c r="DQ775" s="1445"/>
      <c r="DR775" s="1445"/>
      <c r="DS775" s="1445"/>
      <c r="DT775" s="1012"/>
    </row>
    <row r="776" spans="1:126" ht="12.95" customHeight="1">
      <c r="J776" s="1337"/>
      <c r="K776" s="1338"/>
      <c r="L776" s="1338"/>
      <c r="M776" s="1338"/>
      <c r="N776" s="1339"/>
      <c r="O776" s="1615"/>
      <c r="P776" s="1615"/>
      <c r="Q776" s="1615"/>
      <c r="R776" s="1615"/>
      <c r="S776" s="1615"/>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71">
        <f>IF(J776="SRO/Studio",O776,0)</f>
        <v>0</v>
      </c>
      <c r="CQ776" s="1472"/>
      <c r="CR776" s="1472"/>
      <c r="CS776" s="1472"/>
      <c r="CT776" s="1473"/>
      <c r="CU776" s="1445">
        <f>IF(J776="1 Bedroom",O776,0)</f>
        <v>0</v>
      </c>
      <c r="CV776" s="1445"/>
      <c r="CW776" s="1445"/>
      <c r="CX776" s="1445"/>
      <c r="CY776" s="1445"/>
      <c r="CZ776" s="1445">
        <f>IF(J776="2 Bedrooms",O776,0)</f>
        <v>0</v>
      </c>
      <c r="DA776" s="1445"/>
      <c r="DB776" s="1445"/>
      <c r="DC776" s="1445"/>
      <c r="DD776" s="1445"/>
      <c r="DE776" s="1445">
        <f>IF(J776="3 Bedrooms",O776,0)</f>
        <v>0</v>
      </c>
      <c r="DF776" s="1445"/>
      <c r="DG776" s="1445"/>
      <c r="DH776" s="1445"/>
      <c r="DI776" s="1445"/>
      <c r="DJ776" s="1445">
        <f>IF(J776="4 Bedrooms",O776,0)</f>
        <v>0</v>
      </c>
      <c r="DK776" s="1445"/>
      <c r="DL776" s="1445"/>
      <c r="DM776" s="1445"/>
      <c r="DN776" s="1445"/>
      <c r="DO776" s="1445">
        <f>IF(J776="5 Bedrooms",O776,0)</f>
        <v>0</v>
      </c>
      <c r="DP776" s="1445"/>
      <c r="DQ776" s="1445"/>
      <c r="DR776" s="1445"/>
      <c r="DS776" s="1445"/>
    </row>
    <row r="777" spans="1:126" ht="12.95" customHeight="1">
      <c r="J777" s="1654" t="s">
        <v>125</v>
      </c>
      <c r="K777" s="1655"/>
      <c r="L777" s="1655"/>
      <c r="M777" s="1655"/>
      <c r="N777" s="1656"/>
      <c r="O777" s="1477">
        <f>SUM(O773:S776)</f>
        <v>1</v>
      </c>
      <c r="P777" s="1479"/>
      <c r="Q777" s="1479"/>
      <c r="R777" s="1479"/>
      <c r="S777" s="1478"/>
      <c r="X777" s="1654" t="s">
        <v>124</v>
      </c>
      <c r="Y777" s="1655"/>
      <c r="Z777" s="1655"/>
      <c r="AA777" s="1655"/>
      <c r="AB777" s="1656"/>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7">
        <f>SUM(CP773:CT776)</f>
        <v>0</v>
      </c>
      <c r="CQ777" s="1479"/>
      <c r="CR777" s="1479"/>
      <c r="CS777" s="1479"/>
      <c r="CT777" s="1478"/>
      <c r="CU777" s="1481">
        <f>SUM(CU773:CY776)</f>
        <v>0</v>
      </c>
      <c r="CV777" s="1482"/>
      <c r="CW777" s="1482"/>
      <c r="CX777" s="1482"/>
      <c r="CY777" s="1483"/>
      <c r="CZ777" s="1481">
        <f>SUM(CZ773:DD776)</f>
        <v>0</v>
      </c>
      <c r="DA777" s="1482"/>
      <c r="DB777" s="1482"/>
      <c r="DC777" s="1482"/>
      <c r="DD777" s="1483"/>
      <c r="DE777" s="1481">
        <f>SUM(DE773:DI776)</f>
        <v>1</v>
      </c>
      <c r="DF777" s="1482"/>
      <c r="DG777" s="1482"/>
      <c r="DH777" s="1482"/>
      <c r="DI777" s="1483"/>
      <c r="DJ777" s="1481">
        <f>SUM(DJ773:DN776)</f>
        <v>0</v>
      </c>
      <c r="DK777" s="1482"/>
      <c r="DL777" s="1482"/>
      <c r="DM777" s="1482"/>
      <c r="DN777" s="1483"/>
      <c r="DO777" s="1481">
        <f>SUM(DO773:DS776)</f>
        <v>0</v>
      </c>
      <c r="DP777" s="1482"/>
      <c r="DQ777" s="1482"/>
      <c r="DR777" s="1482"/>
      <c r="DS777" s="1483"/>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2.95" customHeight="1">
      <c r="B779" s="56"/>
      <c r="C779" s="56"/>
      <c r="D779" s="56"/>
      <c r="E779" s="56"/>
      <c r="F779" s="56"/>
      <c r="G779" s="6"/>
      <c r="H779" s="6"/>
      <c r="I779" s="6"/>
      <c r="J779" s="1696" t="s">
        <v>669</v>
      </c>
      <c r="K779" s="1696"/>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20" t="s">
        <v>284</v>
      </c>
      <c r="P783" s="1620"/>
      <c r="Q783" s="1620"/>
      <c r="R783" s="1620"/>
      <c r="S783" s="1620"/>
      <c r="T783" s="1729" t="s">
        <v>1679</v>
      </c>
      <c r="U783" s="1730"/>
      <c r="V783" s="1730"/>
      <c r="W783" s="1731"/>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32"/>
      <c r="U784" s="1733"/>
      <c r="V784" s="1733"/>
      <c r="W784" s="173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32"/>
      <c r="U785" s="1733"/>
      <c r="V785" s="1733"/>
      <c r="W785" s="173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35"/>
      <c r="U786" s="1736"/>
      <c r="V786" s="1736"/>
      <c r="W786" s="173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5">
        <v>0</v>
      </c>
      <c r="P787" s="1615"/>
      <c r="Q787" s="1615"/>
      <c r="R787" s="1615"/>
      <c r="S787" s="1615"/>
      <c r="T787" s="1343"/>
      <c r="U787" s="1344"/>
      <c r="V787" s="1344"/>
      <c r="W787" s="1345"/>
      <c r="X787" s="1340"/>
      <c r="Y787" s="1341"/>
      <c r="Z787" s="1341"/>
      <c r="AA787" s="1341"/>
      <c r="AB787" s="1342"/>
      <c r="AC787" s="1352">
        <f t="shared" ref="AC787:AC796" si="45">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71">
        <f t="shared" ref="CP787:CP796" si="46">IF(J787="SRO/Studio",O787,0)</f>
        <v>0</v>
      </c>
      <c r="CQ787" s="1472"/>
      <c r="CR787" s="1472"/>
      <c r="CS787" s="1472"/>
      <c r="CT787" s="1473"/>
      <c r="CU787" s="1471">
        <f t="shared" ref="CU787:CU796" si="47">IF(J787="1 Bedroom",O787,0)</f>
        <v>0</v>
      </c>
      <c r="CV787" s="1472"/>
      <c r="CW787" s="1472"/>
      <c r="CX787" s="1472"/>
      <c r="CY787" s="1473"/>
      <c r="CZ787" s="1471">
        <f t="shared" ref="CZ787:CZ796" si="48">IF(J787="2 Bedrooms",O787,0)</f>
        <v>0</v>
      </c>
      <c r="DA787" s="1472"/>
      <c r="DB787" s="1472"/>
      <c r="DC787" s="1472"/>
      <c r="DD787" s="1473"/>
      <c r="DE787" s="1471">
        <f t="shared" ref="DE787:DE796" si="49">IF(J787="3 Bedrooms",O787,0)</f>
        <v>0</v>
      </c>
      <c r="DF787" s="1472"/>
      <c r="DG787" s="1472"/>
      <c r="DH787" s="1472"/>
      <c r="DI787" s="1473"/>
      <c r="DJ787" s="1471">
        <f t="shared" ref="DJ787:DJ796" si="50">IF(J787="4 Bedrooms",O787,0)</f>
        <v>0</v>
      </c>
      <c r="DK787" s="1472"/>
      <c r="DL787" s="1472"/>
      <c r="DM787" s="1472"/>
      <c r="DN787" s="1473"/>
      <c r="DO787" s="1471">
        <f t="shared" ref="DO787:DO796" si="51">IF(J787="5 Bedrooms",O787,0)</f>
        <v>0</v>
      </c>
      <c r="DP787" s="1472"/>
      <c r="DQ787" s="1472"/>
      <c r="DR787" s="1472"/>
      <c r="DS787" s="1473"/>
      <c r="DT787" s="6"/>
      <c r="DU787" s="1471">
        <f t="shared" ref="DU787:DU796" si="52">IF(AND(CP787&gt;=1,AH787&gt;=0.1,AH787&lt;=1),O787,0)</f>
        <v>0</v>
      </c>
      <c r="DV787" s="1472"/>
      <c r="DW787" s="1472"/>
      <c r="DX787" s="1472"/>
      <c r="DY787" s="1473"/>
      <c r="DZ787" s="1471">
        <f t="shared" ref="DZ787:DZ796" si="53">IF(AND(CU787&gt;=1,AH787&gt;=0.1,AH787&lt;=1),O787,0)</f>
        <v>0</v>
      </c>
      <c r="EA787" s="1472"/>
      <c r="EB787" s="1472"/>
      <c r="EC787" s="1472"/>
      <c r="ED787" s="1473"/>
      <c r="EE787" s="1471">
        <f t="shared" ref="EE787:EE796" si="54">IF(AND(CZ787&gt;=1,AH787&gt;=0.1,AH787&lt;=1),O787,0)</f>
        <v>0</v>
      </c>
      <c r="EF787" s="1472"/>
      <c r="EG787" s="1472"/>
      <c r="EH787" s="1472"/>
      <c r="EI787" s="1473"/>
      <c r="EJ787" s="1471">
        <f t="shared" ref="EJ787:EJ796" si="55">IF(AND(DE787&gt;=1,AH787&gt;=0.1,AH787&lt;=1),O787,0)</f>
        <v>0</v>
      </c>
      <c r="EK787" s="1472"/>
      <c r="EL787" s="1472"/>
      <c r="EM787" s="1472"/>
      <c r="EN787" s="1473"/>
      <c r="EO787" s="1471">
        <f t="shared" ref="EO787:EO796" si="56">IF(AND(DJ787&gt;=1,AH787&gt;=0.1,AH787&lt;=1),O787,0)</f>
        <v>0</v>
      </c>
      <c r="EP787" s="1472"/>
      <c r="EQ787" s="1472"/>
      <c r="ER787" s="1472"/>
      <c r="ES787" s="1473"/>
      <c r="ET787" s="1471">
        <f t="shared" ref="ET787:ET796" si="57">IF(AND(DO787&gt;=1,AH787&gt;=0.1,AH787&lt;=1),O787,0)</f>
        <v>0</v>
      </c>
      <c r="EU787" s="1472"/>
      <c r="EV787" s="1472"/>
      <c r="EW787" s="1472"/>
      <c r="EX787" s="1473"/>
    </row>
    <row r="788" spans="1:154" s="14" customFormat="1" ht="12.95" customHeight="1">
      <c r="A788"/>
      <c r="B788"/>
      <c r="C788"/>
      <c r="D788"/>
      <c r="E788"/>
      <c r="F788"/>
      <c r="G788"/>
      <c r="H788"/>
      <c r="I788"/>
      <c r="J788" s="1337"/>
      <c r="K788" s="1338"/>
      <c r="L788" s="1338"/>
      <c r="M788" s="1338"/>
      <c r="N788" s="1339"/>
      <c r="O788" s="1615"/>
      <c r="P788" s="1615"/>
      <c r="Q788" s="1615"/>
      <c r="R788" s="1615"/>
      <c r="S788" s="1615"/>
      <c r="T788" s="1343"/>
      <c r="U788" s="1344"/>
      <c r="V788" s="1344"/>
      <c r="W788" s="1345"/>
      <c r="X788" s="1340"/>
      <c r="Y788" s="1341"/>
      <c r="Z788" s="1341"/>
      <c r="AA788" s="1341"/>
      <c r="AB788" s="1342"/>
      <c r="AC788" s="1352">
        <f t="shared" si="45"/>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71">
        <f t="shared" si="46"/>
        <v>0</v>
      </c>
      <c r="CQ788" s="1472"/>
      <c r="CR788" s="1472"/>
      <c r="CS788" s="1472"/>
      <c r="CT788" s="1473"/>
      <c r="CU788" s="1471">
        <f t="shared" si="47"/>
        <v>0</v>
      </c>
      <c r="CV788" s="1472"/>
      <c r="CW788" s="1472"/>
      <c r="CX788" s="1472"/>
      <c r="CY788" s="1473"/>
      <c r="CZ788" s="1471">
        <f t="shared" si="48"/>
        <v>0</v>
      </c>
      <c r="DA788" s="1472"/>
      <c r="DB788" s="1472"/>
      <c r="DC788" s="1472"/>
      <c r="DD788" s="1473"/>
      <c r="DE788" s="1471">
        <f t="shared" si="49"/>
        <v>0</v>
      </c>
      <c r="DF788" s="1472"/>
      <c r="DG788" s="1472"/>
      <c r="DH788" s="1472"/>
      <c r="DI788" s="1473"/>
      <c r="DJ788" s="1471">
        <f t="shared" si="50"/>
        <v>0</v>
      </c>
      <c r="DK788" s="1472"/>
      <c r="DL788" s="1472"/>
      <c r="DM788" s="1472"/>
      <c r="DN788" s="1473"/>
      <c r="DO788" s="1471">
        <f t="shared" si="51"/>
        <v>0</v>
      </c>
      <c r="DP788" s="1472"/>
      <c r="DQ788" s="1472"/>
      <c r="DR788" s="1472"/>
      <c r="DS788" s="1473"/>
      <c r="DT788" s="6"/>
      <c r="DU788" s="1471">
        <f t="shared" si="52"/>
        <v>0</v>
      </c>
      <c r="DV788" s="1472"/>
      <c r="DW788" s="1472"/>
      <c r="DX788" s="1472"/>
      <c r="DY788" s="1473"/>
      <c r="DZ788" s="1471">
        <f t="shared" si="53"/>
        <v>0</v>
      </c>
      <c r="EA788" s="1472"/>
      <c r="EB788" s="1472"/>
      <c r="EC788" s="1472"/>
      <c r="ED788" s="1473"/>
      <c r="EE788" s="1471">
        <f t="shared" si="54"/>
        <v>0</v>
      </c>
      <c r="EF788" s="1472"/>
      <c r="EG788" s="1472"/>
      <c r="EH788" s="1472"/>
      <c r="EI788" s="1473"/>
      <c r="EJ788" s="1471">
        <f t="shared" si="55"/>
        <v>0</v>
      </c>
      <c r="EK788" s="1472"/>
      <c r="EL788" s="1472"/>
      <c r="EM788" s="1472"/>
      <c r="EN788" s="1473"/>
      <c r="EO788" s="1471">
        <f t="shared" si="56"/>
        <v>0</v>
      </c>
      <c r="EP788" s="1472"/>
      <c r="EQ788" s="1472"/>
      <c r="ER788" s="1472"/>
      <c r="ES788" s="1473"/>
      <c r="ET788" s="1471">
        <f t="shared" si="57"/>
        <v>0</v>
      </c>
      <c r="EU788" s="1472"/>
      <c r="EV788" s="1472"/>
      <c r="EW788" s="1472"/>
      <c r="EX788" s="1473"/>
    </row>
    <row r="789" spans="1:154" s="14" customFormat="1" ht="12.95" customHeight="1">
      <c r="A789"/>
      <c r="B789"/>
      <c r="C789"/>
      <c r="D789"/>
      <c r="E789"/>
      <c r="F789"/>
      <c r="G789"/>
      <c r="H789"/>
      <c r="I789"/>
      <c r="J789" s="1337"/>
      <c r="K789" s="1338"/>
      <c r="L789" s="1338"/>
      <c r="M789" s="1338"/>
      <c r="N789" s="1339"/>
      <c r="O789" s="1615"/>
      <c r="P789" s="1615"/>
      <c r="Q789" s="1615"/>
      <c r="R789" s="1615"/>
      <c r="S789" s="1615"/>
      <c r="T789" s="1343"/>
      <c r="U789" s="1344"/>
      <c r="V789" s="1344"/>
      <c r="W789" s="1345"/>
      <c r="X789" s="1340"/>
      <c r="Y789" s="1341"/>
      <c r="Z789" s="1341"/>
      <c r="AA789" s="1341"/>
      <c r="AB789" s="1342"/>
      <c r="AC789" s="1352">
        <f t="shared" si="45"/>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71">
        <f t="shared" si="46"/>
        <v>0</v>
      </c>
      <c r="CQ789" s="1472"/>
      <c r="CR789" s="1472"/>
      <c r="CS789" s="1472"/>
      <c r="CT789" s="1473"/>
      <c r="CU789" s="1471">
        <f t="shared" si="47"/>
        <v>0</v>
      </c>
      <c r="CV789" s="1472"/>
      <c r="CW789" s="1472"/>
      <c r="CX789" s="1472"/>
      <c r="CY789" s="1473"/>
      <c r="CZ789" s="1471">
        <f t="shared" si="48"/>
        <v>0</v>
      </c>
      <c r="DA789" s="1472"/>
      <c r="DB789" s="1472"/>
      <c r="DC789" s="1472"/>
      <c r="DD789" s="1473"/>
      <c r="DE789" s="1471">
        <f t="shared" si="49"/>
        <v>0</v>
      </c>
      <c r="DF789" s="1472"/>
      <c r="DG789" s="1472"/>
      <c r="DH789" s="1472"/>
      <c r="DI789" s="1473"/>
      <c r="DJ789" s="1471">
        <f t="shared" si="50"/>
        <v>0</v>
      </c>
      <c r="DK789" s="1472"/>
      <c r="DL789" s="1472"/>
      <c r="DM789" s="1472"/>
      <c r="DN789" s="1473"/>
      <c r="DO789" s="1471">
        <f t="shared" si="51"/>
        <v>0</v>
      </c>
      <c r="DP789" s="1472"/>
      <c r="DQ789" s="1472"/>
      <c r="DR789" s="1472"/>
      <c r="DS789" s="1473"/>
      <c r="DT789" s="6"/>
      <c r="DU789" s="1471">
        <f t="shared" si="52"/>
        <v>0</v>
      </c>
      <c r="DV789" s="1472"/>
      <c r="DW789" s="1472"/>
      <c r="DX789" s="1472"/>
      <c r="DY789" s="1473"/>
      <c r="DZ789" s="1471">
        <f t="shared" si="53"/>
        <v>0</v>
      </c>
      <c r="EA789" s="1472"/>
      <c r="EB789" s="1472"/>
      <c r="EC789" s="1472"/>
      <c r="ED789" s="1473"/>
      <c r="EE789" s="1471">
        <f t="shared" si="54"/>
        <v>0</v>
      </c>
      <c r="EF789" s="1472"/>
      <c r="EG789" s="1472"/>
      <c r="EH789" s="1472"/>
      <c r="EI789" s="1473"/>
      <c r="EJ789" s="1471">
        <f t="shared" si="55"/>
        <v>0</v>
      </c>
      <c r="EK789" s="1472"/>
      <c r="EL789" s="1472"/>
      <c r="EM789" s="1472"/>
      <c r="EN789" s="1473"/>
      <c r="EO789" s="1471">
        <f t="shared" si="56"/>
        <v>0</v>
      </c>
      <c r="EP789" s="1472"/>
      <c r="EQ789" s="1472"/>
      <c r="ER789" s="1472"/>
      <c r="ES789" s="1473"/>
      <c r="ET789" s="1471">
        <f t="shared" si="57"/>
        <v>0</v>
      </c>
      <c r="EU789" s="1472"/>
      <c r="EV789" s="1472"/>
      <c r="EW789" s="1472"/>
      <c r="EX789" s="1473"/>
    </row>
    <row r="790" spans="1:154" s="14" customFormat="1" ht="12.95" customHeight="1">
      <c r="A790"/>
      <c r="B790"/>
      <c r="C790"/>
      <c r="D790"/>
      <c r="E790"/>
      <c r="F790"/>
      <c r="G790"/>
      <c r="H790"/>
      <c r="I790"/>
      <c r="J790" s="1337"/>
      <c r="K790" s="1338"/>
      <c r="L790" s="1338"/>
      <c r="M790" s="1338"/>
      <c r="N790" s="1339"/>
      <c r="O790" s="1615"/>
      <c r="P790" s="1615"/>
      <c r="Q790" s="1615"/>
      <c r="R790" s="1615"/>
      <c r="S790" s="1615"/>
      <c r="T790" s="1343"/>
      <c r="U790" s="1344"/>
      <c r="V790" s="1344"/>
      <c r="W790" s="1345"/>
      <c r="X790" s="1340"/>
      <c r="Y790" s="1341"/>
      <c r="Z790" s="1341"/>
      <c r="AA790" s="1341"/>
      <c r="AB790" s="1342"/>
      <c r="AC790" s="1352">
        <f t="shared" si="45"/>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71">
        <f t="shared" si="46"/>
        <v>0</v>
      </c>
      <c r="CQ790" s="1472"/>
      <c r="CR790" s="1472"/>
      <c r="CS790" s="1472"/>
      <c r="CT790" s="1473"/>
      <c r="CU790" s="1471">
        <f t="shared" si="47"/>
        <v>0</v>
      </c>
      <c r="CV790" s="1472"/>
      <c r="CW790" s="1472"/>
      <c r="CX790" s="1472"/>
      <c r="CY790" s="1473"/>
      <c r="CZ790" s="1471">
        <f t="shared" si="48"/>
        <v>0</v>
      </c>
      <c r="DA790" s="1472"/>
      <c r="DB790" s="1472"/>
      <c r="DC790" s="1472"/>
      <c r="DD790" s="1473"/>
      <c r="DE790" s="1471">
        <f t="shared" si="49"/>
        <v>0</v>
      </c>
      <c r="DF790" s="1472"/>
      <c r="DG790" s="1472"/>
      <c r="DH790" s="1472"/>
      <c r="DI790" s="1473"/>
      <c r="DJ790" s="1471">
        <f t="shared" si="50"/>
        <v>0</v>
      </c>
      <c r="DK790" s="1472"/>
      <c r="DL790" s="1472"/>
      <c r="DM790" s="1472"/>
      <c r="DN790" s="1473"/>
      <c r="DO790" s="1471">
        <f t="shared" si="51"/>
        <v>0</v>
      </c>
      <c r="DP790" s="1472"/>
      <c r="DQ790" s="1472"/>
      <c r="DR790" s="1472"/>
      <c r="DS790" s="1473"/>
      <c r="DT790" s="6"/>
      <c r="DU790" s="1471">
        <f t="shared" si="52"/>
        <v>0</v>
      </c>
      <c r="DV790" s="1472"/>
      <c r="DW790" s="1472"/>
      <c r="DX790" s="1472"/>
      <c r="DY790" s="1473"/>
      <c r="DZ790" s="1471">
        <f t="shared" si="53"/>
        <v>0</v>
      </c>
      <c r="EA790" s="1472"/>
      <c r="EB790" s="1472"/>
      <c r="EC790" s="1472"/>
      <c r="ED790" s="1473"/>
      <c r="EE790" s="1471">
        <f t="shared" si="54"/>
        <v>0</v>
      </c>
      <c r="EF790" s="1472"/>
      <c r="EG790" s="1472"/>
      <c r="EH790" s="1472"/>
      <c r="EI790" s="1473"/>
      <c r="EJ790" s="1471">
        <f t="shared" si="55"/>
        <v>0</v>
      </c>
      <c r="EK790" s="1472"/>
      <c r="EL790" s="1472"/>
      <c r="EM790" s="1472"/>
      <c r="EN790" s="1473"/>
      <c r="EO790" s="1471">
        <f t="shared" si="56"/>
        <v>0</v>
      </c>
      <c r="EP790" s="1472"/>
      <c r="EQ790" s="1472"/>
      <c r="ER790" s="1472"/>
      <c r="ES790" s="1473"/>
      <c r="ET790" s="1471">
        <f t="shared" si="57"/>
        <v>0</v>
      </c>
      <c r="EU790" s="1472"/>
      <c r="EV790" s="1472"/>
      <c r="EW790" s="1472"/>
      <c r="EX790" s="1473"/>
    </row>
    <row r="791" spans="1:154" s="14" customFormat="1" ht="12.95" customHeight="1">
      <c r="A791"/>
      <c r="B791"/>
      <c r="C791"/>
      <c r="D791"/>
      <c r="E791"/>
      <c r="F791"/>
      <c r="G791"/>
      <c r="H791"/>
      <c r="I791"/>
      <c r="J791" s="1337"/>
      <c r="K791" s="1338"/>
      <c r="L791" s="1338"/>
      <c r="M791" s="1338"/>
      <c r="N791" s="1339"/>
      <c r="O791" s="1615"/>
      <c r="P791" s="1615"/>
      <c r="Q791" s="1615"/>
      <c r="R791" s="1615"/>
      <c r="S791" s="1615"/>
      <c r="T791" s="1343"/>
      <c r="U791" s="1344"/>
      <c r="V791" s="1344"/>
      <c r="W791" s="1345"/>
      <c r="X791" s="1340"/>
      <c r="Y791" s="1341"/>
      <c r="Z791" s="1341"/>
      <c r="AA791" s="1341"/>
      <c r="AB791" s="1342"/>
      <c r="AC791" s="1352">
        <f t="shared" si="45"/>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71">
        <f t="shared" si="46"/>
        <v>0</v>
      </c>
      <c r="CQ791" s="1472"/>
      <c r="CR791" s="1472"/>
      <c r="CS791" s="1472"/>
      <c r="CT791" s="1473"/>
      <c r="CU791" s="1471">
        <f t="shared" si="47"/>
        <v>0</v>
      </c>
      <c r="CV791" s="1472"/>
      <c r="CW791" s="1472"/>
      <c r="CX791" s="1472"/>
      <c r="CY791" s="1473"/>
      <c r="CZ791" s="1471">
        <f t="shared" si="48"/>
        <v>0</v>
      </c>
      <c r="DA791" s="1472"/>
      <c r="DB791" s="1472"/>
      <c r="DC791" s="1472"/>
      <c r="DD791" s="1473"/>
      <c r="DE791" s="1471">
        <f t="shared" si="49"/>
        <v>0</v>
      </c>
      <c r="DF791" s="1472"/>
      <c r="DG791" s="1472"/>
      <c r="DH791" s="1472"/>
      <c r="DI791" s="1473"/>
      <c r="DJ791" s="1471">
        <f t="shared" si="50"/>
        <v>0</v>
      </c>
      <c r="DK791" s="1472"/>
      <c r="DL791" s="1472"/>
      <c r="DM791" s="1472"/>
      <c r="DN791" s="1473"/>
      <c r="DO791" s="1471">
        <f t="shared" si="51"/>
        <v>0</v>
      </c>
      <c r="DP791" s="1472"/>
      <c r="DQ791" s="1472"/>
      <c r="DR791" s="1472"/>
      <c r="DS791" s="1473"/>
      <c r="DT791" s="6"/>
      <c r="DU791" s="1471">
        <f t="shared" si="52"/>
        <v>0</v>
      </c>
      <c r="DV791" s="1472"/>
      <c r="DW791" s="1472"/>
      <c r="DX791" s="1472"/>
      <c r="DY791" s="1473"/>
      <c r="DZ791" s="1471">
        <f t="shared" si="53"/>
        <v>0</v>
      </c>
      <c r="EA791" s="1472"/>
      <c r="EB791" s="1472"/>
      <c r="EC791" s="1472"/>
      <c r="ED791" s="1473"/>
      <c r="EE791" s="1471">
        <f t="shared" si="54"/>
        <v>0</v>
      </c>
      <c r="EF791" s="1472"/>
      <c r="EG791" s="1472"/>
      <c r="EH791" s="1472"/>
      <c r="EI791" s="1473"/>
      <c r="EJ791" s="1471">
        <f t="shared" si="55"/>
        <v>0</v>
      </c>
      <c r="EK791" s="1472"/>
      <c r="EL791" s="1472"/>
      <c r="EM791" s="1472"/>
      <c r="EN791" s="1473"/>
      <c r="EO791" s="1471">
        <f t="shared" si="56"/>
        <v>0</v>
      </c>
      <c r="EP791" s="1472"/>
      <c r="EQ791" s="1472"/>
      <c r="ER791" s="1472"/>
      <c r="ES791" s="1473"/>
      <c r="ET791" s="1471">
        <f t="shared" si="57"/>
        <v>0</v>
      </c>
      <c r="EU791" s="1472"/>
      <c r="EV791" s="1472"/>
      <c r="EW791" s="1472"/>
      <c r="EX791" s="1473"/>
    </row>
    <row r="792" spans="1:154" s="14" customFormat="1" ht="12.95" customHeight="1">
      <c r="A792"/>
      <c r="B792"/>
      <c r="C792"/>
      <c r="D792"/>
      <c r="E792"/>
      <c r="F792"/>
      <c r="G792"/>
      <c r="H792"/>
      <c r="I792"/>
      <c r="J792" s="1337"/>
      <c r="K792" s="1338"/>
      <c r="L792" s="1338"/>
      <c r="M792" s="1338"/>
      <c r="N792" s="1339"/>
      <c r="O792" s="1615"/>
      <c r="P792" s="1615"/>
      <c r="Q792" s="1615"/>
      <c r="R792" s="1615"/>
      <c r="S792" s="1615"/>
      <c r="T792" s="1343"/>
      <c r="U792" s="1344"/>
      <c r="V792" s="1344"/>
      <c r="W792" s="1345"/>
      <c r="X792" s="1340"/>
      <c r="Y792" s="1341"/>
      <c r="Z792" s="1341"/>
      <c r="AA792" s="1341"/>
      <c r="AB792" s="1342"/>
      <c r="AC792" s="1352">
        <f t="shared" si="45"/>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71">
        <f t="shared" si="46"/>
        <v>0</v>
      </c>
      <c r="CQ792" s="1472"/>
      <c r="CR792" s="1472"/>
      <c r="CS792" s="1472"/>
      <c r="CT792" s="1473"/>
      <c r="CU792" s="1471">
        <f t="shared" si="47"/>
        <v>0</v>
      </c>
      <c r="CV792" s="1472"/>
      <c r="CW792" s="1472"/>
      <c r="CX792" s="1472"/>
      <c r="CY792" s="1473"/>
      <c r="CZ792" s="1471">
        <f t="shared" si="48"/>
        <v>0</v>
      </c>
      <c r="DA792" s="1472"/>
      <c r="DB792" s="1472"/>
      <c r="DC792" s="1472"/>
      <c r="DD792" s="1473"/>
      <c r="DE792" s="1471">
        <f t="shared" si="49"/>
        <v>0</v>
      </c>
      <c r="DF792" s="1472"/>
      <c r="DG792" s="1472"/>
      <c r="DH792" s="1472"/>
      <c r="DI792" s="1473"/>
      <c r="DJ792" s="1471">
        <f t="shared" si="50"/>
        <v>0</v>
      </c>
      <c r="DK792" s="1472"/>
      <c r="DL792" s="1472"/>
      <c r="DM792" s="1472"/>
      <c r="DN792" s="1473"/>
      <c r="DO792" s="1471">
        <f t="shared" si="51"/>
        <v>0</v>
      </c>
      <c r="DP792" s="1472"/>
      <c r="DQ792" s="1472"/>
      <c r="DR792" s="1472"/>
      <c r="DS792" s="1473"/>
      <c r="DT792" s="6"/>
      <c r="DU792" s="1471">
        <f t="shared" si="52"/>
        <v>0</v>
      </c>
      <c r="DV792" s="1472"/>
      <c r="DW792" s="1472"/>
      <c r="DX792" s="1472"/>
      <c r="DY792" s="1473"/>
      <c r="DZ792" s="1471">
        <f t="shared" si="53"/>
        <v>0</v>
      </c>
      <c r="EA792" s="1472"/>
      <c r="EB792" s="1472"/>
      <c r="EC792" s="1472"/>
      <c r="ED792" s="1473"/>
      <c r="EE792" s="1471">
        <f t="shared" si="54"/>
        <v>0</v>
      </c>
      <c r="EF792" s="1472"/>
      <c r="EG792" s="1472"/>
      <c r="EH792" s="1472"/>
      <c r="EI792" s="1473"/>
      <c r="EJ792" s="1471">
        <f t="shared" si="55"/>
        <v>0</v>
      </c>
      <c r="EK792" s="1472"/>
      <c r="EL792" s="1472"/>
      <c r="EM792" s="1472"/>
      <c r="EN792" s="1473"/>
      <c r="EO792" s="1471">
        <f t="shared" si="56"/>
        <v>0</v>
      </c>
      <c r="EP792" s="1472"/>
      <c r="EQ792" s="1472"/>
      <c r="ER792" s="1472"/>
      <c r="ES792" s="1473"/>
      <c r="ET792" s="1471">
        <f t="shared" si="57"/>
        <v>0</v>
      </c>
      <c r="EU792" s="1472"/>
      <c r="EV792" s="1472"/>
      <c r="EW792" s="1472"/>
      <c r="EX792" s="1473"/>
    </row>
    <row r="793" spans="1:154" s="14" customFormat="1" ht="12.95" customHeight="1">
      <c r="A793"/>
      <c r="B793"/>
      <c r="C793"/>
      <c r="D793"/>
      <c r="E793"/>
      <c r="F793"/>
      <c r="G793"/>
      <c r="H793"/>
      <c r="I793"/>
      <c r="J793" s="1337"/>
      <c r="K793" s="1338"/>
      <c r="L793" s="1338"/>
      <c r="M793" s="1338"/>
      <c r="N793" s="1339"/>
      <c r="O793" s="1615"/>
      <c r="P793" s="1615"/>
      <c r="Q793" s="1615"/>
      <c r="R793" s="1615"/>
      <c r="S793" s="1615"/>
      <c r="T793" s="1343"/>
      <c r="U793" s="1344"/>
      <c r="V793" s="1344"/>
      <c r="W793" s="1345"/>
      <c r="X793" s="1340"/>
      <c r="Y793" s="1341"/>
      <c r="Z793" s="1341"/>
      <c r="AA793" s="1341"/>
      <c r="AB793" s="1342"/>
      <c r="AC793" s="1352">
        <f t="shared" si="45"/>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71">
        <f t="shared" si="46"/>
        <v>0</v>
      </c>
      <c r="CQ793" s="1472"/>
      <c r="CR793" s="1472"/>
      <c r="CS793" s="1472"/>
      <c r="CT793" s="1473"/>
      <c r="CU793" s="1471">
        <f t="shared" si="47"/>
        <v>0</v>
      </c>
      <c r="CV793" s="1472"/>
      <c r="CW793" s="1472"/>
      <c r="CX793" s="1472"/>
      <c r="CY793" s="1473"/>
      <c r="CZ793" s="1471">
        <f t="shared" si="48"/>
        <v>0</v>
      </c>
      <c r="DA793" s="1472"/>
      <c r="DB793" s="1472"/>
      <c r="DC793" s="1472"/>
      <c r="DD793" s="1473"/>
      <c r="DE793" s="1471">
        <f t="shared" si="49"/>
        <v>0</v>
      </c>
      <c r="DF793" s="1472"/>
      <c r="DG793" s="1472"/>
      <c r="DH793" s="1472"/>
      <c r="DI793" s="1473"/>
      <c r="DJ793" s="1471">
        <f t="shared" si="50"/>
        <v>0</v>
      </c>
      <c r="DK793" s="1472"/>
      <c r="DL793" s="1472"/>
      <c r="DM793" s="1472"/>
      <c r="DN793" s="1473"/>
      <c r="DO793" s="1471">
        <f t="shared" si="51"/>
        <v>0</v>
      </c>
      <c r="DP793" s="1472"/>
      <c r="DQ793" s="1472"/>
      <c r="DR793" s="1472"/>
      <c r="DS793" s="1473"/>
      <c r="DT793" s="6"/>
      <c r="DU793" s="1471">
        <f t="shared" si="52"/>
        <v>0</v>
      </c>
      <c r="DV793" s="1472"/>
      <c r="DW793" s="1472"/>
      <c r="DX793" s="1472"/>
      <c r="DY793" s="1473"/>
      <c r="DZ793" s="1471">
        <f t="shared" si="53"/>
        <v>0</v>
      </c>
      <c r="EA793" s="1472"/>
      <c r="EB793" s="1472"/>
      <c r="EC793" s="1472"/>
      <c r="ED793" s="1473"/>
      <c r="EE793" s="1471">
        <f t="shared" si="54"/>
        <v>0</v>
      </c>
      <c r="EF793" s="1472"/>
      <c r="EG793" s="1472"/>
      <c r="EH793" s="1472"/>
      <c r="EI793" s="1473"/>
      <c r="EJ793" s="1471">
        <f t="shared" si="55"/>
        <v>0</v>
      </c>
      <c r="EK793" s="1472"/>
      <c r="EL793" s="1472"/>
      <c r="EM793" s="1472"/>
      <c r="EN793" s="1473"/>
      <c r="EO793" s="1471">
        <f t="shared" si="56"/>
        <v>0</v>
      </c>
      <c r="EP793" s="1472"/>
      <c r="EQ793" s="1472"/>
      <c r="ER793" s="1472"/>
      <c r="ES793" s="1473"/>
      <c r="ET793" s="1471">
        <f t="shared" si="57"/>
        <v>0</v>
      </c>
      <c r="EU793" s="1472"/>
      <c r="EV793" s="1472"/>
      <c r="EW793" s="1472"/>
      <c r="EX793" s="1473"/>
    </row>
    <row r="794" spans="1:154" s="14" customFormat="1" ht="12.95" customHeight="1">
      <c r="A794"/>
      <c r="B794"/>
      <c r="C794"/>
      <c r="D794"/>
      <c r="E794"/>
      <c r="F794"/>
      <c r="G794"/>
      <c r="H794"/>
      <c r="I794"/>
      <c r="J794" s="1337"/>
      <c r="K794" s="1338"/>
      <c r="L794" s="1338"/>
      <c r="M794" s="1338"/>
      <c r="N794" s="1339"/>
      <c r="O794" s="1615"/>
      <c r="P794" s="1615"/>
      <c r="Q794" s="1615"/>
      <c r="R794" s="1615"/>
      <c r="S794" s="1615"/>
      <c r="T794" s="1343"/>
      <c r="U794" s="1344"/>
      <c r="V794" s="1344"/>
      <c r="W794" s="1345"/>
      <c r="X794" s="1340"/>
      <c r="Y794" s="1341"/>
      <c r="Z794" s="1341"/>
      <c r="AA794" s="1341"/>
      <c r="AB794" s="1342"/>
      <c r="AC794" s="1352">
        <f t="shared" si="45"/>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71">
        <f t="shared" si="46"/>
        <v>0</v>
      </c>
      <c r="CQ794" s="1472"/>
      <c r="CR794" s="1472"/>
      <c r="CS794" s="1472"/>
      <c r="CT794" s="1473"/>
      <c r="CU794" s="1471">
        <f t="shared" si="47"/>
        <v>0</v>
      </c>
      <c r="CV794" s="1472"/>
      <c r="CW794" s="1472"/>
      <c r="CX794" s="1472"/>
      <c r="CY794" s="1473"/>
      <c r="CZ794" s="1471">
        <f t="shared" si="48"/>
        <v>0</v>
      </c>
      <c r="DA794" s="1472"/>
      <c r="DB794" s="1472"/>
      <c r="DC794" s="1472"/>
      <c r="DD794" s="1473"/>
      <c r="DE794" s="1471">
        <f t="shared" si="49"/>
        <v>0</v>
      </c>
      <c r="DF794" s="1472"/>
      <c r="DG794" s="1472"/>
      <c r="DH794" s="1472"/>
      <c r="DI794" s="1473"/>
      <c r="DJ794" s="1471">
        <f t="shared" si="50"/>
        <v>0</v>
      </c>
      <c r="DK794" s="1472"/>
      <c r="DL794" s="1472"/>
      <c r="DM794" s="1472"/>
      <c r="DN794" s="1473"/>
      <c r="DO794" s="1471">
        <f t="shared" si="51"/>
        <v>0</v>
      </c>
      <c r="DP794" s="1472"/>
      <c r="DQ794" s="1472"/>
      <c r="DR794" s="1472"/>
      <c r="DS794" s="1473"/>
      <c r="DT794" s="6"/>
      <c r="DU794" s="1471">
        <f t="shared" si="52"/>
        <v>0</v>
      </c>
      <c r="DV794" s="1472"/>
      <c r="DW794" s="1472"/>
      <c r="DX794" s="1472"/>
      <c r="DY794" s="1473"/>
      <c r="DZ794" s="1471">
        <f t="shared" si="53"/>
        <v>0</v>
      </c>
      <c r="EA794" s="1472"/>
      <c r="EB794" s="1472"/>
      <c r="EC794" s="1472"/>
      <c r="ED794" s="1473"/>
      <c r="EE794" s="1471">
        <f t="shared" si="54"/>
        <v>0</v>
      </c>
      <c r="EF794" s="1472"/>
      <c r="EG794" s="1472"/>
      <c r="EH794" s="1472"/>
      <c r="EI794" s="1473"/>
      <c r="EJ794" s="1471">
        <f t="shared" si="55"/>
        <v>0</v>
      </c>
      <c r="EK794" s="1472"/>
      <c r="EL794" s="1472"/>
      <c r="EM794" s="1472"/>
      <c r="EN794" s="1473"/>
      <c r="EO794" s="1471">
        <f t="shared" si="56"/>
        <v>0</v>
      </c>
      <c r="EP794" s="1472"/>
      <c r="EQ794" s="1472"/>
      <c r="ER794" s="1472"/>
      <c r="ES794" s="1473"/>
      <c r="ET794" s="1471">
        <f t="shared" si="57"/>
        <v>0</v>
      </c>
      <c r="EU794" s="1472"/>
      <c r="EV794" s="1472"/>
      <c r="EW794" s="1472"/>
      <c r="EX794" s="1473"/>
    </row>
    <row r="795" spans="1:154" s="14" customFormat="1" ht="12.95" customHeight="1">
      <c r="A795"/>
      <c r="B795"/>
      <c r="C795"/>
      <c r="D795"/>
      <c r="E795"/>
      <c r="F795"/>
      <c r="G795"/>
      <c r="H795"/>
      <c r="I795"/>
      <c r="J795" s="1337"/>
      <c r="K795" s="1338"/>
      <c r="L795" s="1338"/>
      <c r="M795" s="1338"/>
      <c r="N795" s="1339"/>
      <c r="O795" s="1615"/>
      <c r="P795" s="1615"/>
      <c r="Q795" s="1615"/>
      <c r="R795" s="1615"/>
      <c r="S795" s="1615"/>
      <c r="T795" s="1343"/>
      <c r="U795" s="1344"/>
      <c r="V795" s="1344"/>
      <c r="W795" s="1345"/>
      <c r="X795" s="1340"/>
      <c r="Y795" s="1341"/>
      <c r="Z795" s="1341"/>
      <c r="AA795" s="1341"/>
      <c r="AB795" s="1342"/>
      <c r="AC795" s="1352">
        <f t="shared" si="45"/>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71">
        <f t="shared" si="46"/>
        <v>0</v>
      </c>
      <c r="CQ795" s="1472"/>
      <c r="CR795" s="1472"/>
      <c r="CS795" s="1472"/>
      <c r="CT795" s="1473"/>
      <c r="CU795" s="1471">
        <f t="shared" si="47"/>
        <v>0</v>
      </c>
      <c r="CV795" s="1472"/>
      <c r="CW795" s="1472"/>
      <c r="CX795" s="1472"/>
      <c r="CY795" s="1473"/>
      <c r="CZ795" s="1471">
        <f t="shared" si="48"/>
        <v>0</v>
      </c>
      <c r="DA795" s="1472"/>
      <c r="DB795" s="1472"/>
      <c r="DC795" s="1472"/>
      <c r="DD795" s="1473"/>
      <c r="DE795" s="1471">
        <f t="shared" si="49"/>
        <v>0</v>
      </c>
      <c r="DF795" s="1472"/>
      <c r="DG795" s="1472"/>
      <c r="DH795" s="1472"/>
      <c r="DI795" s="1473"/>
      <c r="DJ795" s="1471">
        <f t="shared" si="50"/>
        <v>0</v>
      </c>
      <c r="DK795" s="1472"/>
      <c r="DL795" s="1472"/>
      <c r="DM795" s="1472"/>
      <c r="DN795" s="1473"/>
      <c r="DO795" s="1471">
        <f t="shared" si="51"/>
        <v>0</v>
      </c>
      <c r="DP795" s="1472"/>
      <c r="DQ795" s="1472"/>
      <c r="DR795" s="1472"/>
      <c r="DS795" s="1473"/>
      <c r="DT795" s="6"/>
      <c r="DU795" s="1471">
        <f t="shared" si="52"/>
        <v>0</v>
      </c>
      <c r="DV795" s="1472"/>
      <c r="DW795" s="1472"/>
      <c r="DX795" s="1472"/>
      <c r="DY795" s="1473"/>
      <c r="DZ795" s="1471">
        <f t="shared" si="53"/>
        <v>0</v>
      </c>
      <c r="EA795" s="1472"/>
      <c r="EB795" s="1472"/>
      <c r="EC795" s="1472"/>
      <c r="ED795" s="1473"/>
      <c r="EE795" s="1471">
        <f t="shared" si="54"/>
        <v>0</v>
      </c>
      <c r="EF795" s="1472"/>
      <c r="EG795" s="1472"/>
      <c r="EH795" s="1472"/>
      <c r="EI795" s="1473"/>
      <c r="EJ795" s="1471">
        <f t="shared" si="55"/>
        <v>0</v>
      </c>
      <c r="EK795" s="1472"/>
      <c r="EL795" s="1472"/>
      <c r="EM795" s="1472"/>
      <c r="EN795" s="1473"/>
      <c r="EO795" s="1471">
        <f t="shared" si="56"/>
        <v>0</v>
      </c>
      <c r="EP795" s="1472"/>
      <c r="EQ795" s="1472"/>
      <c r="ER795" s="1472"/>
      <c r="ES795" s="1473"/>
      <c r="ET795" s="1471">
        <f t="shared" si="57"/>
        <v>0</v>
      </c>
      <c r="EU795" s="1472"/>
      <c r="EV795" s="1472"/>
      <c r="EW795" s="1472"/>
      <c r="EX795" s="1473"/>
    </row>
    <row r="796" spans="1:154" s="4" customFormat="1" ht="12.95" customHeight="1">
      <c r="A796"/>
      <c r="B796"/>
      <c r="C796"/>
      <c r="D796"/>
      <c r="E796"/>
      <c r="F796"/>
      <c r="G796"/>
      <c r="H796"/>
      <c r="I796"/>
      <c r="J796" s="1337"/>
      <c r="K796" s="1338"/>
      <c r="L796" s="1338"/>
      <c r="M796" s="1338"/>
      <c r="N796" s="1339"/>
      <c r="O796" s="1615"/>
      <c r="P796" s="1615"/>
      <c r="Q796" s="1615"/>
      <c r="R796" s="1615"/>
      <c r="S796" s="1615"/>
      <c r="T796" s="1343"/>
      <c r="U796" s="1344"/>
      <c r="V796" s="1344"/>
      <c r="W796" s="1345"/>
      <c r="X796" s="1340"/>
      <c r="Y796" s="1341"/>
      <c r="Z796" s="1341"/>
      <c r="AA796" s="1341"/>
      <c r="AB796" s="1342"/>
      <c r="AC796" s="1352">
        <f t="shared" si="45"/>
        <v>0</v>
      </c>
      <c r="AD796" s="1353"/>
      <c r="AE796" s="1353"/>
      <c r="AF796" s="1353"/>
      <c r="AG796" s="1354"/>
      <c r="AH796"/>
      <c r="AI796"/>
      <c r="AJ796"/>
      <c r="AK796"/>
      <c r="AL796"/>
      <c r="AM796"/>
      <c r="AN796"/>
      <c r="AO796"/>
      <c r="AP796"/>
      <c r="AQ796"/>
      <c r="AR796"/>
      <c r="AS796"/>
      <c r="AT796"/>
      <c r="AU796"/>
      <c r="AV796"/>
      <c r="AW796"/>
      <c r="AX796"/>
      <c r="AY796"/>
      <c r="AZ796" s="3"/>
      <c r="CP796" s="1471">
        <f t="shared" si="46"/>
        <v>0</v>
      </c>
      <c r="CQ796" s="1472"/>
      <c r="CR796" s="1472"/>
      <c r="CS796" s="1472"/>
      <c r="CT796" s="1473"/>
      <c r="CU796" s="1471">
        <f t="shared" si="47"/>
        <v>0</v>
      </c>
      <c r="CV796" s="1472"/>
      <c r="CW796" s="1472"/>
      <c r="CX796" s="1472"/>
      <c r="CY796" s="1473"/>
      <c r="CZ796" s="1471">
        <f t="shared" si="48"/>
        <v>0</v>
      </c>
      <c r="DA796" s="1472"/>
      <c r="DB796" s="1472"/>
      <c r="DC796" s="1472"/>
      <c r="DD796" s="1473"/>
      <c r="DE796" s="1471">
        <f t="shared" si="49"/>
        <v>0</v>
      </c>
      <c r="DF796" s="1472"/>
      <c r="DG796" s="1472"/>
      <c r="DH796" s="1472"/>
      <c r="DI796" s="1473"/>
      <c r="DJ796" s="1471">
        <f t="shared" si="50"/>
        <v>0</v>
      </c>
      <c r="DK796" s="1472"/>
      <c r="DL796" s="1472"/>
      <c r="DM796" s="1472"/>
      <c r="DN796" s="1473"/>
      <c r="DO796" s="1471">
        <f t="shared" si="51"/>
        <v>0</v>
      </c>
      <c r="DP796" s="1472"/>
      <c r="DQ796" s="1472"/>
      <c r="DR796" s="1472"/>
      <c r="DS796" s="1473"/>
      <c r="DT796" s="6"/>
      <c r="DU796" s="1471">
        <f t="shared" si="52"/>
        <v>0</v>
      </c>
      <c r="DV796" s="1472"/>
      <c r="DW796" s="1472"/>
      <c r="DX796" s="1472"/>
      <c r="DY796" s="1473"/>
      <c r="DZ796" s="1471">
        <f t="shared" si="53"/>
        <v>0</v>
      </c>
      <c r="EA796" s="1472"/>
      <c r="EB796" s="1472"/>
      <c r="EC796" s="1472"/>
      <c r="ED796" s="1473"/>
      <c r="EE796" s="1471">
        <f t="shared" si="54"/>
        <v>0</v>
      </c>
      <c r="EF796" s="1472"/>
      <c r="EG796" s="1472"/>
      <c r="EH796" s="1472"/>
      <c r="EI796" s="1473"/>
      <c r="EJ796" s="1471">
        <f t="shared" si="55"/>
        <v>0</v>
      </c>
      <c r="EK796" s="1472"/>
      <c r="EL796" s="1472"/>
      <c r="EM796" s="1472"/>
      <c r="EN796" s="1473"/>
      <c r="EO796" s="1471">
        <f t="shared" si="56"/>
        <v>0</v>
      </c>
      <c r="EP796" s="1472"/>
      <c r="EQ796" s="1472"/>
      <c r="ER796" s="1472"/>
      <c r="ES796" s="1473"/>
      <c r="ET796" s="1471">
        <f t="shared" si="57"/>
        <v>0</v>
      </c>
      <c r="EU796" s="1472"/>
      <c r="EV796" s="1472"/>
      <c r="EW796" s="1472"/>
      <c r="EX796" s="1473"/>
    </row>
    <row r="797" spans="1:154" s="4" customFormat="1" ht="12.95" customHeight="1">
      <c r="A797"/>
      <c r="B797"/>
      <c r="C797"/>
      <c r="D797"/>
      <c r="E797"/>
      <c r="F797"/>
      <c r="G797"/>
      <c r="H797"/>
      <c r="I797"/>
      <c r="J797" s="1654" t="s">
        <v>125</v>
      </c>
      <c r="K797" s="1655"/>
      <c r="L797" s="1655"/>
      <c r="M797" s="1655"/>
      <c r="N797" s="1656"/>
      <c r="O797" s="1739">
        <f>SUM(O787:S796)</f>
        <v>0</v>
      </c>
      <c r="P797" s="1739"/>
      <c r="Q797" s="1739"/>
      <c r="R797" s="1739"/>
      <c r="S797" s="173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7">
        <f>SUM(CP787:CT796)</f>
        <v>0</v>
      </c>
      <c r="CQ797" s="1479"/>
      <c r="CR797" s="1479"/>
      <c r="CS797" s="1479"/>
      <c r="CT797" s="1478"/>
      <c r="CU797" s="1481">
        <f>SUM(CU787:CY796)</f>
        <v>0</v>
      </c>
      <c r="CV797" s="1482"/>
      <c r="CW797" s="1482"/>
      <c r="CX797" s="1482"/>
      <c r="CY797" s="1483"/>
      <c r="CZ797" s="1481">
        <f>SUM(CZ787:DD796)</f>
        <v>0</v>
      </c>
      <c r="DA797" s="1482"/>
      <c r="DB797" s="1482"/>
      <c r="DC797" s="1482"/>
      <c r="DD797" s="1483"/>
      <c r="DE797" s="1481">
        <f>SUM(DE787:DI796)</f>
        <v>0</v>
      </c>
      <c r="DF797" s="1482"/>
      <c r="DG797" s="1482"/>
      <c r="DH797" s="1482"/>
      <c r="DI797" s="1483"/>
      <c r="DJ797" s="1481">
        <f>SUM(DJ787:DN796)</f>
        <v>0</v>
      </c>
      <c r="DK797" s="1482"/>
      <c r="DL797" s="1482"/>
      <c r="DM797" s="1482"/>
      <c r="DN797" s="1483"/>
      <c r="DO797" s="1481">
        <f>SUM(DO787:DS796)</f>
        <v>0</v>
      </c>
      <c r="DP797" s="1482"/>
      <c r="DQ797" s="1482"/>
      <c r="DR797" s="1482"/>
      <c r="DS797" s="1483"/>
      <c r="DT797" s="1012"/>
      <c r="DU797" s="1477">
        <f>SUM(DU787:DY796)</f>
        <v>0</v>
      </c>
      <c r="DV797" s="1479"/>
      <c r="DW797" s="1479"/>
      <c r="DX797" s="1479"/>
      <c r="DY797" s="1478"/>
      <c r="DZ797" s="1477">
        <f>SUM(DZ787:ED796)</f>
        <v>0</v>
      </c>
      <c r="EA797" s="1479"/>
      <c r="EB797" s="1479"/>
      <c r="EC797" s="1479"/>
      <c r="ED797" s="1478"/>
      <c r="EE797" s="1477">
        <f>SUM(EE787:EI796)</f>
        <v>0</v>
      </c>
      <c r="EF797" s="1479"/>
      <c r="EG797" s="1479"/>
      <c r="EH797" s="1479"/>
      <c r="EI797" s="1478"/>
      <c r="EJ797" s="1477">
        <f>SUM(EJ787:EN796)</f>
        <v>0</v>
      </c>
      <c r="EK797" s="1479"/>
      <c r="EL797" s="1479"/>
      <c r="EM797" s="1479"/>
      <c r="EN797" s="1478"/>
      <c r="EO797" s="1477">
        <f>SUM(EO787:ES796)</f>
        <v>0</v>
      </c>
      <c r="EP797" s="1479"/>
      <c r="EQ797" s="1479"/>
      <c r="ER797" s="1479"/>
      <c r="ES797" s="1478"/>
      <c r="ET797" s="1477">
        <f>SUM(ET787:EX796)</f>
        <v>0</v>
      </c>
      <c r="EU797" s="1479"/>
      <c r="EV797" s="1479"/>
      <c r="EW797" s="1479"/>
      <c r="EX797" s="1478"/>
    </row>
    <row r="798" spans="1:154" s="4" customFormat="1" ht="12.95" customHeight="1">
      <c r="A798"/>
      <c r="B798"/>
      <c r="C798" s="1742" t="str">
        <f>IF(O797&lt;&gt;AG438,"! Total market rate units in the Unit Mix Table above does not match the number of  market rate units on row #"&amp;TEXT(ROW(D438),"#"),"")</f>
        <v/>
      </c>
      <c r="D798" s="1742"/>
      <c r="E798" s="1742"/>
      <c r="F798" s="1742"/>
      <c r="G798" s="1742"/>
      <c r="H798" s="1742"/>
      <c r="I798" s="1742"/>
      <c r="J798" s="1742"/>
      <c r="K798" s="1742"/>
      <c r="L798" s="1742"/>
      <c r="M798" s="1742"/>
      <c r="N798" s="1742"/>
      <c r="O798" s="1742"/>
      <c r="P798" s="1742"/>
      <c r="Q798" s="1742"/>
      <c r="R798" s="1742"/>
      <c r="S798" s="1742"/>
      <c r="T798" s="1742"/>
      <c r="U798" s="1742"/>
      <c r="V798" s="1742"/>
      <c r="W798" s="1742"/>
      <c r="X798" s="1742"/>
      <c r="Y798" s="1742"/>
      <c r="Z798" s="1742"/>
      <c r="AA798" s="1742"/>
      <c r="AB798" s="1742"/>
      <c r="AC798" s="1742"/>
      <c r="AD798" s="1742"/>
      <c r="AE798" s="1742"/>
      <c r="AF798" s="1742"/>
      <c r="AG798" s="1742"/>
      <c r="AH798" s="1742"/>
      <c r="AI798" s="1742"/>
      <c r="AJ798" s="1742"/>
      <c r="AK798" s="1742"/>
      <c r="AL798" s="1742"/>
      <c r="AM798" s="1742"/>
      <c r="AN798" s="174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42"/>
      <c r="D799" s="1742"/>
      <c r="E799" s="1742"/>
      <c r="F799" s="1742"/>
      <c r="G799" s="1742"/>
      <c r="H799" s="1742"/>
      <c r="I799" s="1742"/>
      <c r="J799" s="1742"/>
      <c r="K799" s="1742"/>
      <c r="L799" s="1742"/>
      <c r="M799" s="1742"/>
      <c r="N799" s="1742"/>
      <c r="O799" s="1742"/>
      <c r="P799" s="1742"/>
      <c r="Q799" s="1742"/>
      <c r="R799" s="1742"/>
      <c r="S799" s="1742"/>
      <c r="T799" s="1742"/>
      <c r="U799" s="1742"/>
      <c r="V799" s="1742"/>
      <c r="W799" s="1742"/>
      <c r="X799" s="1742"/>
      <c r="Y799" s="1742"/>
      <c r="Z799" s="1742"/>
      <c r="AA799" s="1742"/>
      <c r="AB799" s="1742"/>
      <c r="AC799" s="1742"/>
      <c r="AD799" s="1742"/>
      <c r="AE799" s="1742"/>
      <c r="AF799" s="1742"/>
      <c r="AG799" s="1742"/>
      <c r="AH799" s="1742"/>
      <c r="AI799" s="1742"/>
      <c r="AJ799" s="1742"/>
      <c r="AK799" s="1742"/>
      <c r="AL799" s="1742"/>
      <c r="AM799" s="1742"/>
      <c r="AN799" s="174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1">
        <f>SUM(DU797:EX797)</f>
        <v>0</v>
      </c>
      <c r="EU799" s="1862"/>
      <c r="EV799" s="1862"/>
      <c r="EW799" s="1862"/>
      <c r="EX799" s="1863"/>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3">
        <f>O753+AC777+AC797</f>
        <v>22048</v>
      </c>
      <c r="Z800" s="1713"/>
      <c r="AA800" s="1713"/>
      <c r="AB800" s="1713"/>
      <c r="AC800" s="171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3">
        <f>(O753+AC777+AC797)*12</f>
        <v>264576</v>
      </c>
      <c r="Z801" s="1713"/>
      <c r="AA801" s="1713"/>
      <c r="AB801" s="1713"/>
      <c r="AC801" s="171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81">
        <f>CP753+CP777+CP797</f>
        <v>0</v>
      </c>
      <c r="CQ802" s="1482"/>
      <c r="CR802" s="1482"/>
      <c r="CS802" s="1482"/>
      <c r="CT802" s="1483"/>
      <c r="CU802" s="1481">
        <f>CU753+CU777+CU797</f>
        <v>53</v>
      </c>
      <c r="CV802" s="1482"/>
      <c r="CW802" s="1482"/>
      <c r="CX802" s="1482"/>
      <c r="CY802" s="1483"/>
      <c r="CZ802" s="1481">
        <f>CZ753+CZ777+CZ797</f>
        <v>0</v>
      </c>
      <c r="DA802" s="1482"/>
      <c r="DB802" s="1482"/>
      <c r="DC802" s="1482"/>
      <c r="DD802" s="1483"/>
      <c r="DE802" s="1481">
        <f>DE753+DE777+DE797</f>
        <v>1</v>
      </c>
      <c r="DF802" s="1482"/>
      <c r="DG802" s="1482"/>
      <c r="DH802" s="1482"/>
      <c r="DI802" s="1483"/>
      <c r="DJ802" s="1481">
        <f>DJ753+DJ777+DJ797</f>
        <v>0</v>
      </c>
      <c r="DK802" s="1482"/>
      <c r="DL802" s="1482"/>
      <c r="DM802" s="1482"/>
      <c r="DN802" s="1483"/>
      <c r="DO802" s="1469">
        <f>DO797+DO777+DO753</f>
        <v>0</v>
      </c>
      <c r="DP802" s="1480"/>
      <c r="DQ802" s="1480"/>
      <c r="DR802" s="1480"/>
      <c r="DS802" s="1470"/>
      <c r="DT802" s="3"/>
      <c r="DU802" s="861">
        <f>DU755+DU800</f>
        <v>53</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2">
        <v>53</v>
      </c>
      <c r="AA806" s="1563"/>
      <c r="AB806" s="1563"/>
      <c r="AC806" s="1563"/>
      <c r="AD806" s="1563"/>
      <c r="AE806" s="156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41">
        <v>20</v>
      </c>
      <c r="AA807" s="1563"/>
      <c r="AB807" s="1563"/>
      <c r="AC807" s="1563"/>
      <c r="AD807" s="1563"/>
      <c r="AE807" s="156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8">
        <f>M955+7300</f>
        <v>52652</v>
      </c>
      <c r="AA808" s="1537"/>
      <c r="AB808" s="1537"/>
      <c r="AC808" s="1537"/>
      <c r="AD808" s="1537"/>
      <c r="AE808" s="153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460464</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4">
        <v>3240</v>
      </c>
      <c r="AA813" s="1475"/>
      <c r="AB813" s="1475"/>
      <c r="AC813" s="1475"/>
      <c r="AD813" s="1475"/>
      <c r="AE813" s="147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4"/>
      <c r="AA814" s="1475"/>
      <c r="AB814" s="1475"/>
      <c r="AC814" s="1475"/>
      <c r="AD814" s="1475"/>
      <c r="AE814" s="147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4"/>
      <c r="AA815" s="1475"/>
      <c r="AB815" s="1475"/>
      <c r="AC815" s="1475"/>
      <c r="AD815" s="1475"/>
      <c r="AE815" s="147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5" t="s">
        <v>333</v>
      </c>
      <c r="Q816" s="1596"/>
      <c r="R816" s="1596"/>
      <c r="S816" s="1596"/>
      <c r="T816" s="1596"/>
      <c r="U816" s="1596"/>
      <c r="V816" s="1596"/>
      <c r="W816" s="1596"/>
      <c r="X816" s="1596"/>
      <c r="Y816" s="1597"/>
      <c r="Z816" s="1474"/>
      <c r="AA816" s="1475"/>
      <c r="AB816" s="1475"/>
      <c r="AC816" s="1475"/>
      <c r="AD816" s="1475"/>
      <c r="AE816" s="147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3240</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7">
        <f>Z817+Y801+Z809</f>
        <v>728280</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7" t="s">
        <v>126</v>
      </c>
      <c r="N823" s="1587"/>
      <c r="O823" s="1587"/>
      <c r="P823" s="1657"/>
      <c r="Q823" s="1616" t="s">
        <v>289</v>
      </c>
      <c r="R823" s="1616"/>
      <c r="S823" s="1616"/>
      <c r="T823" s="1616"/>
      <c r="U823" s="1616" t="s">
        <v>290</v>
      </c>
      <c r="V823" s="1616"/>
      <c r="W823" s="1616"/>
      <c r="X823" s="1616"/>
      <c r="Y823" s="1616" t="s">
        <v>291</v>
      </c>
      <c r="Z823" s="1616"/>
      <c r="AA823" s="1616"/>
      <c r="AB823" s="1616"/>
      <c r="AC823" s="1616" t="s">
        <v>360</v>
      </c>
      <c r="AD823" s="1616"/>
      <c r="AE823" s="1616"/>
      <c r="AF823" s="1616"/>
      <c r="AG823" s="1740" t="s">
        <v>334</v>
      </c>
      <c r="AH823" s="1740"/>
      <c r="AI823" s="1740"/>
      <c r="AJ823" s="174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1"/>
      <c r="N824" s="1591"/>
      <c r="O824" s="1591"/>
      <c r="P824" s="1602"/>
      <c r="Q824" s="1616"/>
      <c r="R824" s="1616"/>
      <c r="S824" s="1616"/>
      <c r="T824" s="1616"/>
      <c r="U824" s="1616"/>
      <c r="V824" s="1616"/>
      <c r="W824" s="1616"/>
      <c r="X824" s="1616"/>
      <c r="Y824" s="1616"/>
      <c r="Z824" s="1616"/>
      <c r="AA824" s="1616"/>
      <c r="AB824" s="1616"/>
      <c r="AC824" s="1616"/>
      <c r="AD824" s="1616"/>
      <c r="AE824" s="1616"/>
      <c r="AF824" s="1616"/>
      <c r="AG824" s="1740"/>
      <c r="AH824" s="1740"/>
      <c r="AI824" s="1740"/>
      <c r="AJ824" s="174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0" t="s">
        <v>40</v>
      </c>
      <c r="D825" s="1358"/>
      <c r="E825" s="1358"/>
      <c r="F825" s="1358"/>
      <c r="G825" s="1358"/>
      <c r="H825" s="1358"/>
      <c r="I825" s="48"/>
      <c r="J825" s="48"/>
      <c r="K825" s="48"/>
      <c r="L825" s="49"/>
      <c r="M825" s="1643"/>
      <c r="N825" s="1643"/>
      <c r="O825" s="1643"/>
      <c r="P825" s="1643"/>
      <c r="Q825" s="1643">
        <v>23</v>
      </c>
      <c r="R825" s="1643"/>
      <c r="S825" s="1643"/>
      <c r="T825" s="1643"/>
      <c r="U825" s="1643"/>
      <c r="V825" s="1643"/>
      <c r="W825" s="1643"/>
      <c r="X825" s="1643"/>
      <c r="Y825" s="1643"/>
      <c r="Z825" s="1643"/>
      <c r="AA825" s="1643"/>
      <c r="AB825" s="1643"/>
      <c r="AC825" s="1449"/>
      <c r="AD825" s="1450"/>
      <c r="AE825" s="1450"/>
      <c r="AF825" s="1451"/>
      <c r="AG825" s="1449"/>
      <c r="AH825" s="1450"/>
      <c r="AI825" s="1450"/>
      <c r="AJ825" s="1451"/>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49"/>
      <c r="AD826" s="1450"/>
      <c r="AE826" s="1450"/>
      <c r="AF826" s="1451"/>
      <c r="AG826" s="1449"/>
      <c r="AH826" s="1450"/>
      <c r="AI826" s="1450"/>
      <c r="AJ826" s="1451"/>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v>10</v>
      </c>
      <c r="R827" s="1643"/>
      <c r="S827" s="1643"/>
      <c r="T827" s="1643"/>
      <c r="U827" s="1643"/>
      <c r="V827" s="1643"/>
      <c r="W827" s="1643"/>
      <c r="X827" s="1643"/>
      <c r="Y827" s="1643"/>
      <c r="Z827" s="1643"/>
      <c r="AA827" s="1643"/>
      <c r="AB827" s="1643"/>
      <c r="AC827" s="1449"/>
      <c r="AD827" s="1450"/>
      <c r="AE827" s="1450"/>
      <c r="AF827" s="1451"/>
      <c r="AG827" s="1449"/>
      <c r="AH827" s="1450"/>
      <c r="AI827" s="1450"/>
      <c r="AJ827" s="1451"/>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49"/>
      <c r="AD828" s="1450"/>
      <c r="AE828" s="1450"/>
      <c r="AF828" s="1451"/>
      <c r="AG828" s="1449"/>
      <c r="AH828" s="1450"/>
      <c r="AI828" s="1450"/>
      <c r="AJ828" s="1451"/>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459</v>
      </c>
      <c r="D829" s="1627"/>
      <c r="E829" s="1627"/>
      <c r="F829" s="1627"/>
      <c r="G829" s="1627"/>
      <c r="H829" s="1627"/>
      <c r="I829" s="60"/>
      <c r="J829" s="60"/>
      <c r="K829" s="60"/>
      <c r="L829" s="61"/>
      <c r="M829" s="1643"/>
      <c r="N829" s="1643"/>
      <c r="O829" s="1643"/>
      <c r="P829" s="1643"/>
      <c r="Q829" s="1643">
        <v>35</v>
      </c>
      <c r="R829" s="1643"/>
      <c r="S829" s="1643"/>
      <c r="T829" s="1643"/>
      <c r="U829" s="1643"/>
      <c r="V829" s="1643"/>
      <c r="W829" s="1643"/>
      <c r="X829" s="1643"/>
      <c r="Y829" s="1643"/>
      <c r="Z829" s="1643"/>
      <c r="AA829" s="1643"/>
      <c r="AB829" s="1643"/>
      <c r="AC829" s="1449"/>
      <c r="AD829" s="1450"/>
      <c r="AE829" s="1450"/>
      <c r="AF829" s="1451"/>
      <c r="AG829" s="1449"/>
      <c r="AH829" s="1450"/>
      <c r="AI829" s="1450"/>
      <c r="AJ829" s="1451"/>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49"/>
      <c r="AD830" s="1450"/>
      <c r="AE830" s="1450"/>
      <c r="AF830" s="1451"/>
      <c r="AG830" s="1449"/>
      <c r="AH830" s="1450"/>
      <c r="AI830" s="1450"/>
      <c r="AJ830" s="1451"/>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5" t="s">
        <v>2723</v>
      </c>
      <c r="G831" s="1596"/>
      <c r="H831" s="1596"/>
      <c r="I831" s="1596"/>
      <c r="J831" s="1596"/>
      <c r="K831" s="1596"/>
      <c r="L831" s="1596"/>
      <c r="M831" s="1643"/>
      <c r="N831" s="1643"/>
      <c r="O831" s="1643"/>
      <c r="P831" s="1643"/>
      <c r="Q831" s="1643">
        <f>30+14</f>
        <v>44</v>
      </c>
      <c r="R831" s="1643"/>
      <c r="S831" s="1643"/>
      <c r="T831" s="1643"/>
      <c r="U831" s="1643"/>
      <c r="V831" s="1643"/>
      <c r="W831" s="1643"/>
      <c r="X831" s="1643"/>
      <c r="Y831" s="1643"/>
      <c r="Z831" s="1643"/>
      <c r="AA831" s="1643"/>
      <c r="AB831" s="1643"/>
      <c r="AC831" s="1449"/>
      <c r="AD831" s="1450"/>
      <c r="AE831" s="1450"/>
      <c r="AF831" s="1451"/>
      <c r="AG831" s="1449"/>
      <c r="AH831" s="1450"/>
      <c r="AI831" s="1450"/>
      <c r="AJ831" s="1451"/>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654" t="s">
        <v>124</v>
      </c>
      <c r="D832" s="1655"/>
      <c r="E832" s="1655"/>
      <c r="F832" s="1655"/>
      <c r="G832" s="1655"/>
      <c r="H832" s="1655"/>
      <c r="I832" s="1655"/>
      <c r="J832" s="1655"/>
      <c r="K832" s="1655"/>
      <c r="L832" s="1656"/>
      <c r="M832" s="1637">
        <f>SUM(M825:P831)</f>
        <v>0</v>
      </c>
      <c r="N832" s="1637"/>
      <c r="O832" s="1637"/>
      <c r="P832" s="1637"/>
      <c r="Q832" s="1637">
        <f>SUM(Q825:T831)</f>
        <v>112</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6" t="s">
        <v>2724</v>
      </c>
      <c r="D837" s="1717"/>
      <c r="E837" s="1717"/>
      <c r="F837" s="1717"/>
      <c r="G837" s="1717"/>
      <c r="H837" s="1717"/>
      <c r="I837" s="1717"/>
      <c r="J837" s="1717"/>
      <c r="K837" s="1717"/>
      <c r="L837" s="1717"/>
      <c r="M837" s="1717"/>
      <c r="N837" s="1717"/>
      <c r="O837" s="1717"/>
      <c r="P837" s="1717"/>
      <c r="Q837" s="1717"/>
      <c r="R837" s="1717"/>
      <c r="S837" s="1717"/>
      <c r="T837" s="1717"/>
      <c r="U837" s="1717"/>
      <c r="V837" s="1717"/>
      <c r="W837" s="1717"/>
      <c r="X837" s="1717"/>
      <c r="Y837" s="1717"/>
      <c r="Z837" s="1717"/>
      <c r="AA837" s="1717"/>
      <c r="AB837" s="1717"/>
      <c r="AC837" s="1717"/>
      <c r="AD837" s="1717"/>
      <c r="AE837" s="1717"/>
      <c r="AF837" s="1717"/>
      <c r="AG837" s="1717"/>
      <c r="AH837" s="1717"/>
      <c r="AI837" s="1717"/>
      <c r="AJ837" s="171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7">
        <v>2200</v>
      </c>
      <c r="X842" s="1487"/>
      <c r="Y842" s="1487"/>
      <c r="Z842" s="1487"/>
      <c r="AA842" s="1487"/>
      <c r="AB842" s="1487"/>
      <c r="AC842" s="148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7">
        <v>2500</v>
      </c>
      <c r="X843" s="1487"/>
      <c r="Y843" s="1487"/>
      <c r="Z843" s="1487"/>
      <c r="AA843" s="1487"/>
      <c r="AB843" s="1487"/>
      <c r="AC843" s="148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7">
        <v>15000</v>
      </c>
      <c r="X844" s="1487"/>
      <c r="Y844" s="1487"/>
      <c r="Z844" s="1487"/>
      <c r="AA844" s="1487"/>
      <c r="AB844" s="1487"/>
      <c r="AC844" s="1487"/>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7">
        <v>2500</v>
      </c>
      <c r="X845" s="1487"/>
      <c r="Y845" s="1487"/>
      <c r="Z845" s="1487"/>
      <c r="AA845" s="1487"/>
      <c r="AB845" s="1487"/>
      <c r="AC845" s="1487"/>
      <c r="AZ845" s="30"/>
      <c r="BA845" s="30"/>
      <c r="BB845" s="14"/>
      <c r="BC845" s="14"/>
      <c r="BD845" s="14"/>
      <c r="BE845" s="14"/>
      <c r="BF845" s="14"/>
      <c r="BG845" s="14"/>
      <c r="BH845" s="14"/>
      <c r="BI845" s="14"/>
      <c r="BJ845" s="14"/>
      <c r="BK845" s="14"/>
      <c r="BL845" s="14"/>
    </row>
    <row r="846" spans="1:64" ht="12.95" customHeight="1">
      <c r="J846" s="45" t="s">
        <v>169</v>
      </c>
      <c r="K846" s="5"/>
      <c r="L846" s="5"/>
      <c r="M846" s="1595" t="s">
        <v>2744</v>
      </c>
      <c r="N846" s="1596"/>
      <c r="O846" s="1596"/>
      <c r="P846" s="1596"/>
      <c r="Q846" s="1596"/>
      <c r="R846" s="1596"/>
      <c r="S846" s="1596"/>
      <c r="T846" s="1596"/>
      <c r="U846" s="1596"/>
      <c r="V846" s="1597"/>
      <c r="W846" s="1487">
        <v>24770</v>
      </c>
      <c r="X846" s="1487"/>
      <c r="Y846" s="1487"/>
      <c r="Z846" s="1487"/>
      <c r="AA846" s="1487"/>
      <c r="AB846" s="1487"/>
      <c r="AC846" s="148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7">
        <f>SUM(W842:W846)</f>
        <v>46970</v>
      </c>
      <c r="X847" s="1618"/>
      <c r="Y847" s="1618"/>
      <c r="Z847" s="1618"/>
      <c r="AA847" s="1618"/>
      <c r="AB847" s="1618"/>
      <c r="AC847" s="1619"/>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343</v>
      </c>
      <c r="J849" s="1654" t="s">
        <v>344</v>
      </c>
      <c r="K849" s="1655"/>
      <c r="L849" s="1655"/>
      <c r="M849" s="1655"/>
      <c r="N849" s="1655"/>
      <c r="O849" s="1655"/>
      <c r="P849" s="1655"/>
      <c r="Q849" s="1655"/>
      <c r="R849" s="1655"/>
      <c r="S849" s="1655"/>
      <c r="T849" s="1655"/>
      <c r="U849" s="1655"/>
      <c r="V849" s="1656"/>
      <c r="W849" s="1474">
        <v>42768</v>
      </c>
      <c r="X849" s="1475"/>
      <c r="Y849" s="1475"/>
      <c r="Z849" s="1475"/>
      <c r="AA849" s="1475"/>
      <c r="AB849" s="1475"/>
      <c r="AC849" s="1476"/>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2">
        <v>0</v>
      </c>
      <c r="X851" s="1652"/>
      <c r="Y851" s="1652"/>
      <c r="Z851" s="1652"/>
      <c r="AA851" s="1652"/>
      <c r="AB851" s="1652"/>
      <c r="AC851" s="1652"/>
      <c r="AZ851" s="1728"/>
      <c r="BA851" s="1728"/>
      <c r="BB851" s="14"/>
      <c r="BC851" s="14"/>
    </row>
    <row r="852" spans="3:55" ht="12.95" customHeight="1">
      <c r="J852" s="45" t="s">
        <v>350</v>
      </c>
      <c r="K852" s="5"/>
      <c r="L852" s="5"/>
      <c r="M852" s="5"/>
      <c r="N852" s="5"/>
      <c r="O852" s="5"/>
      <c r="P852" s="5"/>
      <c r="Q852" s="5"/>
      <c r="R852" s="5"/>
      <c r="S852" s="5"/>
      <c r="T852" s="5"/>
      <c r="U852" s="5"/>
      <c r="V852" s="46"/>
      <c r="W852" s="1652">
        <v>6919</v>
      </c>
      <c r="X852" s="1652"/>
      <c r="Y852" s="1652"/>
      <c r="Z852" s="1652"/>
      <c r="AA852" s="1652"/>
      <c r="AB852" s="1652"/>
      <c r="AC852" s="1652"/>
      <c r="AZ852" s="30"/>
      <c r="BA852" s="30"/>
      <c r="BB852" s="14"/>
      <c r="BC852" s="14"/>
    </row>
    <row r="853" spans="3:55" ht="12.95" customHeight="1">
      <c r="J853" s="45" t="s">
        <v>459</v>
      </c>
      <c r="K853" s="5"/>
      <c r="L853" s="5"/>
      <c r="M853" s="5"/>
      <c r="N853" s="5"/>
      <c r="O853" s="5"/>
      <c r="P853" s="5"/>
      <c r="Q853" s="5"/>
      <c r="R853" s="5"/>
      <c r="S853" s="5"/>
      <c r="T853" s="5"/>
      <c r="U853" s="5"/>
      <c r="V853" s="46"/>
      <c r="W853" s="1652">
        <f>15743+2000</f>
        <v>17743</v>
      </c>
      <c r="X853" s="1652"/>
      <c r="Y853" s="1652"/>
      <c r="Z853" s="1652"/>
      <c r="AA853" s="1652"/>
      <c r="AB853" s="1652"/>
      <c r="AC853" s="1652"/>
      <c r="AZ853" s="30"/>
      <c r="BA853" s="30"/>
      <c r="BB853" s="14"/>
      <c r="BC853" s="14"/>
    </row>
    <row r="854" spans="3:55" ht="12.95" customHeight="1">
      <c r="J854" s="62" t="s">
        <v>620</v>
      </c>
      <c r="K854" s="5"/>
      <c r="L854" s="5"/>
      <c r="M854" s="5"/>
      <c r="N854" s="5"/>
      <c r="O854" s="5"/>
      <c r="P854" s="5"/>
      <c r="Q854" s="5"/>
      <c r="R854" s="5"/>
      <c r="S854" s="5"/>
      <c r="T854" s="5"/>
      <c r="U854" s="5"/>
      <c r="V854" s="46"/>
      <c r="W854" s="1652">
        <v>41611</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271</v>
      </c>
      <c r="W855" s="1715">
        <f>SUM(W851:W854)</f>
        <v>66273</v>
      </c>
      <c r="X855" s="1715"/>
      <c r="Y855" s="1715"/>
      <c r="Z855" s="1715"/>
      <c r="AA855" s="1715"/>
      <c r="AB855" s="1715"/>
      <c r="AC855" s="1715"/>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1">
        <v>99840</v>
      </c>
      <c r="X857" s="1632"/>
      <c r="Y857" s="1632"/>
      <c r="Z857" s="1632"/>
      <c r="AA857" s="1632"/>
      <c r="AB857" s="1632"/>
      <c r="AC857" s="1633"/>
      <c r="AD857" s="528"/>
      <c r="AZ857" s="34"/>
      <c r="BA857" s="34"/>
      <c r="BB857" s="34"/>
      <c r="BC857" s="34"/>
    </row>
    <row r="858" spans="3:55" ht="12.95" customHeight="1">
      <c r="C858" s="2" t="s">
        <v>346</v>
      </c>
      <c r="J858" s="121" t="s">
        <v>1655</v>
      </c>
      <c r="K858" s="5"/>
      <c r="L858" s="5"/>
      <c r="M858" s="5"/>
      <c r="N858" s="5"/>
      <c r="O858" s="5"/>
      <c r="P858" s="5"/>
      <c r="Q858" s="5"/>
      <c r="R858" s="5"/>
      <c r="S858" s="5"/>
      <c r="T858" s="1719">
        <v>1</v>
      </c>
      <c r="U858" s="1693"/>
      <c r="V858" s="1720"/>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1">
        <v>38973</v>
      </c>
      <c r="X859" s="1632"/>
      <c r="Y859" s="1632"/>
      <c r="Z859" s="1632"/>
      <c r="AA859" s="1632"/>
      <c r="AB859" s="1632"/>
      <c r="AC859" s="1633"/>
      <c r="AD859" s="533"/>
      <c r="AZ859" s="34"/>
      <c r="BA859" s="34"/>
      <c r="BB859" s="34"/>
      <c r="BC859" s="34"/>
    </row>
    <row r="860" spans="3:55" ht="12.95" customHeight="1">
      <c r="C860" s="2"/>
      <c r="J860" s="121" t="s">
        <v>1656</v>
      </c>
      <c r="K860" s="5"/>
      <c r="L860" s="5"/>
      <c r="M860" s="5"/>
      <c r="N860" s="5"/>
      <c r="O860" s="5"/>
      <c r="P860" s="5"/>
      <c r="Q860" s="5"/>
      <c r="R860" s="5"/>
      <c r="S860" s="5"/>
      <c r="T860" s="1719"/>
      <c r="U860" s="1693"/>
      <c r="V860" s="1720"/>
      <c r="W860" s="874"/>
      <c r="X860" s="875"/>
      <c r="Y860" s="875"/>
      <c r="Z860" s="875"/>
      <c r="AA860" s="875"/>
      <c r="AB860" s="875"/>
      <c r="AC860" s="876"/>
      <c r="AD860" s="533"/>
      <c r="AZ860" s="34"/>
      <c r="BA860" s="34"/>
      <c r="BB860" s="34"/>
      <c r="BC860" s="34"/>
    </row>
    <row r="861" spans="3:55" ht="12.95" customHeight="1">
      <c r="J861" s="45" t="s">
        <v>169</v>
      </c>
      <c r="K861" s="5"/>
      <c r="L861" s="5"/>
      <c r="M861" s="1595" t="s">
        <v>333</v>
      </c>
      <c r="N861" s="1596"/>
      <c r="O861" s="1596"/>
      <c r="P861" s="1596"/>
      <c r="Q861" s="1596"/>
      <c r="R861" s="1596"/>
      <c r="S861" s="1596"/>
      <c r="T861" s="1596"/>
      <c r="U861" s="1596"/>
      <c r="V861" s="1597"/>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21">
        <f>SUM(W857:W861)</f>
        <v>138813</v>
      </c>
      <c r="X862" s="1722"/>
      <c r="Y862" s="1722"/>
      <c r="Z862" s="1722"/>
      <c r="AA862" s="1722"/>
      <c r="AB862" s="1722"/>
      <c r="AC862" s="1723"/>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1">
        <v>25848</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7">
        <v>3500</v>
      </c>
      <c r="X865" s="1487"/>
      <c r="Y865" s="1487"/>
      <c r="Z865" s="1487"/>
      <c r="AA865" s="1487"/>
      <c r="AB865" s="1487"/>
      <c r="AC865" s="1487"/>
      <c r="AU865" s="14"/>
      <c r="AZ865" s="34"/>
      <c r="BA865" s="34"/>
      <c r="BB865" s="34"/>
      <c r="BC865" s="34"/>
    </row>
    <row r="866" spans="3:55" ht="12.95" customHeight="1">
      <c r="J866" s="45" t="s">
        <v>522</v>
      </c>
      <c r="K866" s="5"/>
      <c r="L866" s="5"/>
      <c r="M866" s="5"/>
      <c r="N866" s="5"/>
      <c r="O866" s="5"/>
      <c r="P866" s="5"/>
      <c r="Q866" s="5"/>
      <c r="R866" s="5"/>
      <c r="S866" s="5"/>
      <c r="T866" s="5"/>
      <c r="U866" s="5"/>
      <c r="V866" s="46"/>
      <c r="W866" s="1487">
        <v>22400</v>
      </c>
      <c r="X866" s="1487"/>
      <c r="Y866" s="1487"/>
      <c r="Z866" s="1487"/>
      <c r="AA866" s="1487"/>
      <c r="AB866" s="1487"/>
      <c r="AC866" s="1487"/>
      <c r="AU866" s="4"/>
      <c r="AZ866" s="34"/>
      <c r="BA866" s="34"/>
      <c r="BB866" s="34"/>
      <c r="BC866" s="34"/>
    </row>
    <row r="867" spans="3:55" ht="12.95" customHeight="1">
      <c r="J867" s="45" t="s">
        <v>521</v>
      </c>
      <c r="K867" s="5"/>
      <c r="L867" s="5"/>
      <c r="M867" s="5"/>
      <c r="N867" s="5"/>
      <c r="O867" s="5"/>
      <c r="P867" s="5"/>
      <c r="Q867" s="5"/>
      <c r="R867" s="5"/>
      <c r="S867" s="5"/>
      <c r="T867" s="5"/>
      <c r="U867" s="5"/>
      <c r="V867" s="46"/>
      <c r="W867" s="1487">
        <v>10286</v>
      </c>
      <c r="X867" s="1487"/>
      <c r="Y867" s="1487"/>
      <c r="Z867" s="1487"/>
      <c r="AA867" s="1487"/>
      <c r="AB867" s="1487"/>
      <c r="AC867" s="1487"/>
      <c r="AU867" s="4"/>
      <c r="AZ867" s="34"/>
      <c r="BA867" s="34"/>
      <c r="BB867" s="34"/>
      <c r="BC867" s="34"/>
    </row>
    <row r="868" spans="3:55" ht="12.95" customHeight="1">
      <c r="J868" s="45" t="s">
        <v>520</v>
      </c>
      <c r="K868" s="5"/>
      <c r="L868" s="5"/>
      <c r="M868" s="5"/>
      <c r="N868" s="5"/>
      <c r="O868" s="5"/>
      <c r="P868" s="5"/>
      <c r="Q868" s="5"/>
      <c r="R868" s="5"/>
      <c r="S868" s="5"/>
      <c r="T868" s="5"/>
      <c r="U868" s="5"/>
      <c r="V868" s="46"/>
      <c r="W868" s="1487">
        <v>2700</v>
      </c>
      <c r="X868" s="1487"/>
      <c r="Y868" s="1487"/>
      <c r="Z868" s="1487"/>
      <c r="AA868" s="1487"/>
      <c r="AB868" s="1487"/>
      <c r="AC868" s="1487"/>
      <c r="AU868" s="4"/>
      <c r="AZ868" s="34"/>
      <c r="BA868" s="34"/>
      <c r="BB868" s="34"/>
      <c r="BC868" s="34"/>
    </row>
    <row r="869" spans="3:55" ht="12.95" customHeight="1">
      <c r="J869" s="45" t="s">
        <v>519</v>
      </c>
      <c r="K869" s="5"/>
      <c r="L869" s="5"/>
      <c r="M869" s="5"/>
      <c r="N869" s="5"/>
      <c r="O869" s="5"/>
      <c r="P869" s="5"/>
      <c r="Q869" s="5"/>
      <c r="R869" s="5"/>
      <c r="S869" s="5"/>
      <c r="T869" s="5"/>
      <c r="U869" s="5"/>
      <c r="V869" s="46"/>
      <c r="W869" s="1487">
        <v>20000</v>
      </c>
      <c r="X869" s="1487"/>
      <c r="Y869" s="1487"/>
      <c r="Z869" s="1487"/>
      <c r="AA869" s="1487"/>
      <c r="AB869" s="1487"/>
      <c r="AC869" s="1487"/>
      <c r="AU869" s="4"/>
      <c r="AZ869" s="34"/>
      <c r="BA869" s="34"/>
      <c r="BB869" s="34"/>
      <c r="BC869" s="34"/>
    </row>
    <row r="870" spans="3:55" ht="12.95" customHeight="1">
      <c r="J870" s="45" t="s">
        <v>518</v>
      </c>
      <c r="K870" s="5"/>
      <c r="L870" s="5"/>
      <c r="M870" s="5"/>
      <c r="N870" s="5"/>
      <c r="O870" s="5"/>
      <c r="P870" s="5"/>
      <c r="Q870" s="5"/>
      <c r="R870" s="5"/>
      <c r="S870" s="5"/>
      <c r="T870" s="5"/>
      <c r="U870" s="5"/>
      <c r="V870" s="46"/>
      <c r="W870" s="1487">
        <v>13000</v>
      </c>
      <c r="X870" s="1487"/>
      <c r="Y870" s="1487"/>
      <c r="Z870" s="1487"/>
      <c r="AA870" s="1487"/>
      <c r="AB870" s="1487"/>
      <c r="AC870" s="1487"/>
      <c r="AU870" s="4"/>
      <c r="AZ870" s="34"/>
      <c r="BA870" s="34"/>
      <c r="BB870" s="34"/>
      <c r="BC870" s="34"/>
    </row>
    <row r="871" spans="3:55" ht="12.95" customHeight="1">
      <c r="J871" s="45" t="s">
        <v>169</v>
      </c>
      <c r="K871" s="5"/>
      <c r="L871" s="5"/>
      <c r="M871" s="1595" t="s">
        <v>2744</v>
      </c>
      <c r="N871" s="1596"/>
      <c r="O871" s="1596"/>
      <c r="P871" s="1596"/>
      <c r="Q871" s="1596"/>
      <c r="R871" s="1596"/>
      <c r="S871" s="1596"/>
      <c r="T871" s="1596"/>
      <c r="U871" s="1596"/>
      <c r="V871" s="1597"/>
      <c r="W871" s="1487">
        <v>3500</v>
      </c>
      <c r="X871" s="1487"/>
      <c r="Y871" s="1487"/>
      <c r="Z871" s="1487"/>
      <c r="AA871" s="1487"/>
      <c r="AB871" s="1487"/>
      <c r="AC871" s="1487"/>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13">
        <f>SUM(W865:W871)</f>
        <v>75386</v>
      </c>
      <c r="X872" s="1713"/>
      <c r="Y872" s="1713"/>
      <c r="Z872" s="1713"/>
      <c r="AA872" s="1713"/>
      <c r="AB872" s="1713"/>
      <c r="AC872" s="171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5" t="s">
        <v>2745</v>
      </c>
      <c r="N874" s="1596"/>
      <c r="O874" s="1596"/>
      <c r="P874" s="1596"/>
      <c r="Q874" s="1596"/>
      <c r="R874" s="1596"/>
      <c r="S874" s="1596"/>
      <c r="T874" s="1596"/>
      <c r="U874" s="1596"/>
      <c r="V874" s="1597"/>
      <c r="W874" s="1474">
        <v>800</v>
      </c>
      <c r="X874" s="1475"/>
      <c r="Y874" s="1475"/>
      <c r="Z874" s="1475"/>
      <c r="AA874" s="1475"/>
      <c r="AB874" s="1475"/>
      <c r="AC874" s="1476"/>
      <c r="AD874" s="533"/>
      <c r="AV874" s="14"/>
      <c r="AW874" s="14"/>
      <c r="AX874" s="14"/>
      <c r="AY874" s="14"/>
      <c r="AZ874" s="34"/>
      <c r="BA874" s="34"/>
      <c r="BB874" s="34"/>
      <c r="BC874" s="34"/>
    </row>
    <row r="875" spans="3:55" ht="12.95" customHeight="1">
      <c r="C875" s="2" t="s">
        <v>1244</v>
      </c>
      <c r="J875" s="45" t="s">
        <v>169</v>
      </c>
      <c r="K875" s="5"/>
      <c r="L875" s="5"/>
      <c r="M875" s="1595" t="s">
        <v>333</v>
      </c>
      <c r="N875" s="1596"/>
      <c r="O875" s="1596"/>
      <c r="P875" s="1596"/>
      <c r="Q875" s="1596"/>
      <c r="R875" s="1596"/>
      <c r="S875" s="1596"/>
      <c r="T875" s="1596"/>
      <c r="U875" s="1596"/>
      <c r="V875" s="1597"/>
      <c r="W875" s="1474"/>
      <c r="X875" s="1475"/>
      <c r="Y875" s="1475"/>
      <c r="Z875" s="1475"/>
      <c r="AA875" s="1475"/>
      <c r="AB875" s="1475"/>
      <c r="AC875" s="1476"/>
      <c r="AD875" s="533"/>
      <c r="AV875" s="14"/>
      <c r="AW875" s="14"/>
      <c r="AX875" s="14"/>
      <c r="AY875" s="14"/>
      <c r="AZ875" s="34"/>
      <c r="BA875" s="34"/>
      <c r="BB875" s="34"/>
      <c r="BC875" s="34"/>
    </row>
    <row r="876" spans="3:55" ht="12.95" customHeight="1">
      <c r="J876" s="45" t="s">
        <v>169</v>
      </c>
      <c r="K876" s="5"/>
      <c r="L876" s="5"/>
      <c r="M876" s="1595" t="s">
        <v>333</v>
      </c>
      <c r="N876" s="1596"/>
      <c r="O876" s="1596"/>
      <c r="P876" s="1596"/>
      <c r="Q876" s="1596"/>
      <c r="R876" s="1596"/>
      <c r="S876" s="1596"/>
      <c r="T876" s="1596"/>
      <c r="U876" s="1596"/>
      <c r="V876" s="1597"/>
      <c r="W876" s="1474"/>
      <c r="X876" s="1475"/>
      <c r="Y876" s="1475"/>
      <c r="Z876" s="1475"/>
      <c r="AA876" s="1475"/>
      <c r="AB876" s="1475"/>
      <c r="AC876" s="1476"/>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5" t="s">
        <v>333</v>
      </c>
      <c r="N877" s="1596"/>
      <c r="O877" s="1596"/>
      <c r="P877" s="1596"/>
      <c r="Q877" s="1596"/>
      <c r="R877" s="1596"/>
      <c r="S877" s="1596"/>
      <c r="T877" s="1596"/>
      <c r="U877" s="1596"/>
      <c r="V877" s="1597"/>
      <c r="W877" s="1474"/>
      <c r="X877" s="1475"/>
      <c r="Y877" s="1475"/>
      <c r="Z877" s="1475"/>
      <c r="AA877" s="1475"/>
      <c r="AB877" s="1475"/>
      <c r="AC877" s="1476"/>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5" t="s">
        <v>333</v>
      </c>
      <c r="N878" s="1596"/>
      <c r="O878" s="1596"/>
      <c r="P878" s="1596"/>
      <c r="Q878" s="1596"/>
      <c r="R878" s="1596"/>
      <c r="S878" s="1596"/>
      <c r="T878" s="1596"/>
      <c r="U878" s="1596"/>
      <c r="V878" s="1597"/>
      <c r="W878" s="1474"/>
      <c r="X878" s="1475"/>
      <c r="Y878" s="1475"/>
      <c r="Z878" s="1475"/>
      <c r="AA878" s="1475"/>
      <c r="AB878" s="1475"/>
      <c r="AC878" s="1476"/>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7">
        <f>SUM(W874:W878)</f>
        <v>800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8">
        <f>W847+W855+W862+W863+W872+W879+W849</f>
        <v>396858</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24">
        <f>O797+O777+G753</f>
        <v>54</v>
      </c>
      <c r="AD884" s="1724"/>
      <c r="AE884" s="1724"/>
      <c r="AF884" s="1724"/>
      <c r="AG884" s="1724"/>
      <c r="AH884" s="1725"/>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13">
        <f>IF(ISERROR((ROUNDDOWN(AC883/AC884,0))),0,(ROUNDDOWN(AC883/AC884,0)))</f>
        <v>7349</v>
      </c>
      <c r="AD885" s="1713"/>
      <c r="AE885" s="1713"/>
      <c r="AF885" s="1713"/>
      <c r="AG885" s="1713"/>
      <c r="AH885" s="171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6">
        <v>166330</v>
      </c>
      <c r="AD886" s="1727"/>
      <c r="AE886" s="1727"/>
      <c r="AF886" s="1727"/>
      <c r="AG886" s="1727"/>
      <c r="AH886" s="172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6"/>
      <c r="AD887" s="1487"/>
      <c r="AE887" s="1487"/>
      <c r="AF887" s="1487"/>
      <c r="AG887" s="1487"/>
      <c r="AH887" s="148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5">
        <v>45000</v>
      </c>
      <c r="AD888" s="1475"/>
      <c r="AE888" s="1475"/>
      <c r="AF888" s="1475"/>
      <c r="AG888" s="1475"/>
      <c r="AH888" s="1476"/>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5">
        <v>27000</v>
      </c>
      <c r="AD889" s="1475"/>
      <c r="AE889" s="1475"/>
      <c r="AF889" s="1475"/>
      <c r="AG889" s="1475"/>
      <c r="AH889" s="1476"/>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49">
        <v>9000</v>
      </c>
      <c r="AD890" s="1450"/>
      <c r="AE890" s="1450"/>
      <c r="AF890" s="1450"/>
      <c r="AG890" s="1450"/>
      <c r="AH890" s="145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5">
        <v>19791</v>
      </c>
      <c r="AD891" s="1475"/>
      <c r="AE891" s="1475"/>
      <c r="AF891" s="1475"/>
      <c r="AG891" s="1475"/>
      <c r="AH891" s="1476"/>
      <c r="AZ891" s="34"/>
      <c r="BA891" s="34"/>
      <c r="BB891" s="34"/>
      <c r="BC891" s="34"/>
    </row>
    <row r="892" spans="3:55" ht="12.95" hidden="1" customHeight="1">
      <c r="C892" s="1654" t="s">
        <v>2234</v>
      </c>
      <c r="D892" s="1655"/>
      <c r="E892" s="1655"/>
      <c r="F892" s="1655"/>
      <c r="G892" s="1655"/>
      <c r="H892" s="1655"/>
      <c r="I892" s="1655"/>
      <c r="J892" s="1655"/>
      <c r="K892" s="1655"/>
      <c r="L892" s="1655"/>
      <c r="M892" s="1655"/>
      <c r="N892" s="1655"/>
      <c r="O892" s="1655"/>
      <c r="P892" s="1655"/>
      <c r="Q892" s="1655"/>
      <c r="R892" s="1655"/>
      <c r="S892" s="1655"/>
      <c r="T892" s="1655"/>
      <c r="U892" s="1655"/>
      <c r="V892" s="1655"/>
      <c r="W892" s="1655"/>
      <c r="X892" s="1655"/>
      <c r="Y892" s="1655"/>
      <c r="Z892" s="1655"/>
      <c r="AA892" s="1655"/>
      <c r="AB892" s="1656"/>
      <c r="AC892" s="1475"/>
      <c r="AD892" s="1475"/>
      <c r="AE892" s="1475"/>
      <c r="AF892" s="1475"/>
      <c r="AG892" s="1475"/>
      <c r="AH892" s="1476"/>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5"/>
      <c r="AD893" s="1475"/>
      <c r="AE893" s="1475"/>
      <c r="AF893" s="1475"/>
      <c r="AG893" s="1475"/>
      <c r="AH893" s="1476"/>
      <c r="AZ893" s="34"/>
      <c r="BA893" s="34"/>
      <c r="BB893" s="34"/>
      <c r="BC893" s="34"/>
    </row>
    <row r="894" spans="3:55" ht="12.95" customHeight="1">
      <c r="C894" s="1634" t="s">
        <v>956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7"/>
      <c r="AD894" s="1487"/>
      <c r="AE894" s="1487"/>
      <c r="AF894" s="1487"/>
      <c r="AG894" s="1487"/>
      <c r="AH894" s="1487"/>
      <c r="AZ894" s="34"/>
      <c r="BA894" s="34"/>
      <c r="BB894" s="34"/>
      <c r="BC894" s="34"/>
    </row>
    <row r="895" spans="3:55" ht="12.95"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7"/>
      <c r="AD895" s="1487"/>
      <c r="AE895" s="1487"/>
      <c r="AF895" s="1487"/>
      <c r="AG895" s="1487"/>
      <c r="AH895" s="1487"/>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4"/>
      <c r="AA899" s="1475"/>
      <c r="AB899" s="1475"/>
      <c r="AC899" s="1475"/>
      <c r="AD899" s="1475"/>
      <c r="AE899" s="1476"/>
      <c r="AF899" s="533"/>
      <c r="AZ899" s="34"/>
      <c r="BB899" s="30"/>
      <c r="BC899" s="816"/>
      <c r="BD899" s="1630"/>
      <c r="BE899" s="1630"/>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4"/>
      <c r="AA900" s="1475"/>
      <c r="AB900" s="1475"/>
      <c r="AC900" s="1475"/>
      <c r="AD900" s="1475"/>
      <c r="AE900" s="1476"/>
      <c r="AZ900" s="34"/>
      <c r="BB900" s="30"/>
      <c r="BC900" s="816"/>
      <c r="BD900" s="1630"/>
      <c r="BE900" s="1630"/>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4"/>
      <c r="AA901" s="1475"/>
      <c r="AB901" s="1475"/>
      <c r="AC901" s="1475"/>
      <c r="AD901" s="1475"/>
      <c r="AE901" s="1476"/>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7">
        <f>Z899-(Z900+Z901)</f>
        <v>0</v>
      </c>
      <c r="AA902" s="1618"/>
      <c r="AB902" s="1618"/>
      <c r="AC902" s="1618"/>
      <c r="AD902" s="1618"/>
      <c r="AE902" s="1619"/>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4"/>
      <c r="BE905" s="1714"/>
      <c r="BF905" s="1714"/>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30"/>
      <c r="BE910" s="1629"/>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792</v>
      </c>
      <c r="G915" s="1650"/>
      <c r="H915" s="1650"/>
      <c r="I915" s="1650"/>
      <c r="J915" s="1650"/>
      <c r="K915" s="1650"/>
      <c r="L915" s="1650"/>
      <c r="M915" s="1650"/>
      <c r="N915" s="1650"/>
      <c r="O915" s="1650"/>
      <c r="P915" s="1650"/>
      <c r="Q915" s="1650"/>
      <c r="R915" s="1650"/>
      <c r="S915" s="1650"/>
      <c r="T915" s="1651"/>
      <c r="U915" s="1586" t="s">
        <v>31</v>
      </c>
      <c r="V915" s="1587"/>
      <c r="W915" s="1587"/>
      <c r="X915" s="1587"/>
      <c r="Y915" s="1587"/>
      <c r="Z915" s="1587"/>
      <c r="AA915" s="43"/>
      <c r="AB915" s="105"/>
      <c r="AC915" s="105"/>
      <c r="AD915" s="105"/>
      <c r="AE915" s="105"/>
      <c r="AF915" s="106"/>
      <c r="AZ915" s="34"/>
      <c r="BA915" s="34"/>
      <c r="BB915" s="34"/>
      <c r="BC915" s="34"/>
    </row>
    <row r="916" spans="1:58" ht="12.95" customHeight="1">
      <c r="B916" s="2"/>
      <c r="F916" s="1588" t="s">
        <v>818</v>
      </c>
      <c r="G916" s="1589"/>
      <c r="H916" s="1589"/>
      <c r="I916" s="1589"/>
      <c r="J916" s="1589"/>
      <c r="K916" s="1589"/>
      <c r="L916" s="1589"/>
      <c r="M916" s="1589"/>
      <c r="N916" s="1589"/>
      <c r="O916" s="1589"/>
      <c r="P916" s="1589"/>
      <c r="Q916" s="1589"/>
      <c r="R916" s="1589"/>
      <c r="S916" s="1589"/>
      <c r="T916" s="1601"/>
      <c r="U916" s="1588"/>
      <c r="V916" s="1589"/>
      <c r="W916" s="1589"/>
      <c r="X916" s="1589"/>
      <c r="Y916" s="1589"/>
      <c r="Z916" s="1589"/>
      <c r="AA916" s="44"/>
      <c r="AB916" s="4"/>
      <c r="AC916" s="4"/>
      <c r="AD916" s="4"/>
      <c r="AE916" s="4"/>
      <c r="AF916" s="107"/>
      <c r="AZ916" s="34"/>
      <c r="BA916" s="34"/>
      <c r="BB916" s="34"/>
      <c r="BC916" s="34"/>
    </row>
    <row r="917" spans="1:58" ht="12.95" customHeight="1">
      <c r="B917" s="2"/>
      <c r="F917" s="1590"/>
      <c r="G917" s="1591"/>
      <c r="H917" s="1591"/>
      <c r="I917" s="1591"/>
      <c r="J917" s="1591"/>
      <c r="K917" s="1591"/>
      <c r="L917" s="1591"/>
      <c r="M917" s="1591"/>
      <c r="N917" s="1591"/>
      <c r="O917" s="1591"/>
      <c r="P917" s="1591"/>
      <c r="Q917" s="1591"/>
      <c r="R917" s="1591"/>
      <c r="S917" s="1591"/>
      <c r="T917" s="1602"/>
      <c r="U917" s="1590"/>
      <c r="V917" s="1591"/>
      <c r="W917" s="1591"/>
      <c r="X917" s="1591"/>
      <c r="Y917" s="1591"/>
      <c r="Z917" s="1591"/>
      <c r="AA917" s="108"/>
      <c r="AB917" s="1638" t="s">
        <v>390</v>
      </c>
      <c r="AC917" s="1638"/>
      <c r="AD917" s="1638"/>
      <c r="AE917" s="1638"/>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1" t="s">
        <v>545</v>
      </c>
      <c r="V918" s="1402"/>
      <c r="W918" s="1402"/>
      <c r="X918" s="1402"/>
      <c r="Y918" s="1402"/>
      <c r="Z918" s="1403"/>
      <c r="AA918" s="1407">
        <v>18797915</v>
      </c>
      <c r="AB918" s="1408"/>
      <c r="AC918" s="1408"/>
      <c r="AD918" s="1408"/>
      <c r="AE918" s="1408"/>
      <c r="AF918" s="1409"/>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1" t="s">
        <v>545</v>
      </c>
      <c r="V919" s="1402"/>
      <c r="W919" s="1402"/>
      <c r="X919" s="1402"/>
      <c r="Y919" s="1402"/>
      <c r="Z919" s="1403"/>
      <c r="AA919" s="1407">
        <v>1581520</v>
      </c>
      <c r="AB919" s="1408"/>
      <c r="AC919" s="1408"/>
      <c r="AD919" s="1408"/>
      <c r="AE919" s="1408"/>
      <c r="AF919" s="1409"/>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1" t="s">
        <v>591</v>
      </c>
      <c r="V920" s="1402"/>
      <c r="W920" s="1402"/>
      <c r="X920" s="1402"/>
      <c r="Y920" s="1402"/>
      <c r="Z920" s="1403"/>
      <c r="AA920" s="1407"/>
      <c r="AB920" s="1408"/>
      <c r="AC920" s="1408"/>
      <c r="AD920" s="1408"/>
      <c r="AE920" s="1408"/>
      <c r="AF920" s="1409"/>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1" t="s">
        <v>591</v>
      </c>
      <c r="V921" s="1402"/>
      <c r="W921" s="1402"/>
      <c r="X921" s="1402"/>
      <c r="Y921" s="1402"/>
      <c r="Z921" s="1403"/>
      <c r="AA921" s="1407"/>
      <c r="AB921" s="1408"/>
      <c r="AC921" s="1408"/>
      <c r="AD921" s="1408"/>
      <c r="AE921" s="1408"/>
      <c r="AF921" s="1409"/>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1" t="s">
        <v>591</v>
      </c>
      <c r="V922" s="1402"/>
      <c r="W922" s="1402"/>
      <c r="X922" s="1402"/>
      <c r="Y922" s="1402"/>
      <c r="Z922" s="1403"/>
      <c r="AA922" s="1407"/>
      <c r="AB922" s="1408"/>
      <c r="AC922" s="1408"/>
      <c r="AD922" s="1408"/>
      <c r="AE922" s="1408"/>
      <c r="AF922" s="1409"/>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1" t="s">
        <v>591</v>
      </c>
      <c r="V923" s="1402"/>
      <c r="W923" s="1402"/>
      <c r="X923" s="1402"/>
      <c r="Y923" s="1402"/>
      <c r="Z923" s="1403"/>
      <c r="AA923" s="1407"/>
      <c r="AB923" s="1408"/>
      <c r="AC923" s="1408"/>
      <c r="AD923" s="1408"/>
      <c r="AE923" s="1408"/>
      <c r="AF923" s="1409"/>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1" t="s">
        <v>591</v>
      </c>
      <c r="V924" s="1402"/>
      <c r="W924" s="1402"/>
      <c r="X924" s="1402"/>
      <c r="Y924" s="1402"/>
      <c r="Z924" s="1403"/>
      <c r="AA924" s="1407"/>
      <c r="AB924" s="1408"/>
      <c r="AC924" s="1408"/>
      <c r="AD924" s="1408"/>
      <c r="AE924" s="1408"/>
      <c r="AF924" s="1409"/>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1" t="s">
        <v>591</v>
      </c>
      <c r="V925" s="1402"/>
      <c r="W925" s="1402"/>
      <c r="X925" s="1402"/>
      <c r="Y925" s="1402"/>
      <c r="Z925" s="1403"/>
      <c r="AA925" s="1407"/>
      <c r="AB925" s="1408"/>
      <c r="AC925" s="1408"/>
      <c r="AD925" s="1408"/>
      <c r="AE925" s="1408"/>
      <c r="AF925" s="1409"/>
      <c r="AZ925" s="34"/>
      <c r="BA925" s="34"/>
      <c r="BB925" s="34"/>
      <c r="BC925" s="34"/>
    </row>
    <row r="926" spans="1:58" ht="12.95" customHeight="1">
      <c r="F926" s="1603" t="s">
        <v>2193</v>
      </c>
      <c r="G926" s="1604"/>
      <c r="H926" s="1604"/>
      <c r="I926" s="1604"/>
      <c r="J926" s="1604"/>
      <c r="K926" s="1604"/>
      <c r="L926" s="1604"/>
      <c r="M926" s="1604"/>
      <c r="N926" s="1604"/>
      <c r="O926" s="1604"/>
      <c r="P926" s="1604"/>
      <c r="Q926" s="1604"/>
      <c r="R926" s="1604"/>
      <c r="S926" s="1604"/>
      <c r="T926" s="1605"/>
      <c r="U926" s="1401" t="s">
        <v>591</v>
      </c>
      <c r="V926" s="1402"/>
      <c r="W926" s="1402"/>
      <c r="X926" s="1402"/>
      <c r="Y926" s="1402"/>
      <c r="Z926" s="1403"/>
      <c r="AA926" s="1407"/>
      <c r="AB926" s="1408"/>
      <c r="AC926" s="1408"/>
      <c r="AD926" s="1408"/>
      <c r="AE926" s="1408"/>
      <c r="AF926" s="1409"/>
      <c r="AZ926" s="34"/>
      <c r="BA926" s="34"/>
      <c r="BB926" s="34"/>
      <c r="BC926" s="34"/>
    </row>
    <row r="927" spans="1:58" ht="12.95" customHeight="1">
      <c r="F927" s="1603" t="s">
        <v>679</v>
      </c>
      <c r="G927" s="1604"/>
      <c r="H927" s="1604"/>
      <c r="I927" s="1604"/>
      <c r="J927" s="1604"/>
      <c r="K927" s="1604"/>
      <c r="L927" s="1604"/>
      <c r="M927" s="1604"/>
      <c r="N927" s="1604"/>
      <c r="O927" s="1604"/>
      <c r="P927" s="1604"/>
      <c r="Q927" s="1604"/>
      <c r="R927" s="1604"/>
      <c r="S927" s="1604"/>
      <c r="T927" s="1605"/>
      <c r="U927" s="1401" t="s">
        <v>591</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3" t="s">
        <v>2194</v>
      </c>
      <c r="G928" s="1604"/>
      <c r="H928" s="1604"/>
      <c r="I928" s="1604"/>
      <c r="J928" s="1604"/>
      <c r="K928" s="1604"/>
      <c r="L928" s="1604"/>
      <c r="M928" s="1604"/>
      <c r="N928" s="1604"/>
      <c r="O928" s="1604"/>
      <c r="P928" s="1604"/>
      <c r="Q928" s="1604"/>
      <c r="R928" s="1604"/>
      <c r="S928" s="1604"/>
      <c r="T928" s="1605"/>
      <c r="U928" s="1401" t="s">
        <v>591</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3" t="s">
        <v>2195</v>
      </c>
      <c r="G929" s="1604"/>
      <c r="H929" s="1604"/>
      <c r="I929" s="1604"/>
      <c r="J929" s="1604"/>
      <c r="K929" s="1604"/>
      <c r="L929" s="1604"/>
      <c r="M929" s="1604"/>
      <c r="N929" s="1604"/>
      <c r="O929" s="1604"/>
      <c r="P929" s="1604"/>
      <c r="Q929" s="1604"/>
      <c r="R929" s="1604"/>
      <c r="S929" s="1604"/>
      <c r="T929" s="1605"/>
      <c r="U929" s="1401" t="s">
        <v>591</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3" t="s">
        <v>2196</v>
      </c>
      <c r="G930" s="1604"/>
      <c r="H930" s="1604"/>
      <c r="I930" s="1604"/>
      <c r="J930" s="1604"/>
      <c r="K930" s="1604"/>
      <c r="L930" s="1604"/>
      <c r="M930" s="1604"/>
      <c r="N930" s="1604"/>
      <c r="O930" s="1604"/>
      <c r="P930" s="1604"/>
      <c r="Q930" s="1604"/>
      <c r="R930" s="1604"/>
      <c r="S930" s="1604"/>
      <c r="T930" s="1605"/>
      <c r="U930" s="1401" t="s">
        <v>591</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3" t="s">
        <v>2197</v>
      </c>
      <c r="G931" s="1604"/>
      <c r="H931" s="1604"/>
      <c r="I931" s="1604"/>
      <c r="J931" s="1604"/>
      <c r="K931" s="1604"/>
      <c r="L931" s="1604"/>
      <c r="M931" s="1604"/>
      <c r="N931" s="1604"/>
      <c r="O931" s="1604"/>
      <c r="P931" s="1604"/>
      <c r="Q931" s="1604"/>
      <c r="R931" s="1604"/>
      <c r="S931" s="1604"/>
      <c r="T931" s="1605"/>
      <c r="U931" s="1401" t="s">
        <v>591</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3" t="s">
        <v>2198</v>
      </c>
      <c r="G932" s="1604"/>
      <c r="H932" s="1604"/>
      <c r="I932" s="1604"/>
      <c r="J932" s="1604"/>
      <c r="K932" s="1604"/>
      <c r="L932" s="1604"/>
      <c r="M932" s="1604"/>
      <c r="N932" s="1604"/>
      <c r="O932" s="1604"/>
      <c r="P932" s="1604"/>
      <c r="Q932" s="1604"/>
      <c r="R932" s="1604"/>
      <c r="S932" s="1604"/>
      <c r="T932" s="1605"/>
      <c r="U932" s="1401" t="s">
        <v>591</v>
      </c>
      <c r="V932" s="1402"/>
      <c r="W932" s="1402"/>
      <c r="X932" s="1402"/>
      <c r="Y932" s="1402"/>
      <c r="Z932" s="1403"/>
      <c r="AA932" s="1407"/>
      <c r="AB932" s="1408"/>
      <c r="AC932" s="1408"/>
      <c r="AD932" s="1408"/>
      <c r="AE932" s="1408"/>
      <c r="AF932" s="1409"/>
      <c r="AZ932" s="30"/>
      <c r="BA932" s="30"/>
    </row>
    <row r="933" spans="6:55" ht="12.95" customHeight="1">
      <c r="F933" s="178" t="s">
        <v>676</v>
      </c>
      <c r="G933" s="5"/>
      <c r="H933" s="5"/>
      <c r="I933" s="5"/>
      <c r="J933" s="5"/>
      <c r="K933" s="5"/>
      <c r="L933" s="5"/>
      <c r="M933" s="5"/>
      <c r="N933" s="5"/>
      <c r="O933" s="5"/>
      <c r="P933" s="5"/>
      <c r="Q933" s="5"/>
      <c r="R933" s="5"/>
      <c r="S933" s="5"/>
      <c r="T933" s="46"/>
      <c r="U933" s="1401" t="s">
        <v>591</v>
      </c>
      <c r="V933" s="1402"/>
      <c r="W933" s="1402"/>
      <c r="X933" s="1402"/>
      <c r="Y933" s="1402"/>
      <c r="Z933" s="1403"/>
      <c r="AA933" s="1407"/>
      <c r="AB933" s="1408"/>
      <c r="AC933" s="1408"/>
      <c r="AD933" s="1408"/>
      <c r="AE933" s="1408"/>
      <c r="AF933" s="1409"/>
    </row>
    <row r="934" spans="6:55" ht="12.95" customHeight="1">
      <c r="F934" s="121" t="s">
        <v>1277</v>
      </c>
      <c r="G934" s="5"/>
      <c r="H934" s="5"/>
      <c r="I934" s="5"/>
      <c r="J934" s="5"/>
      <c r="K934" s="5"/>
      <c r="L934" s="5"/>
      <c r="M934" s="5"/>
      <c r="N934" s="5"/>
      <c r="O934" s="5"/>
      <c r="P934" s="5"/>
      <c r="Q934" s="5"/>
      <c r="R934" s="5"/>
      <c r="S934" s="5"/>
      <c r="T934" s="46"/>
      <c r="U934" s="1401" t="s">
        <v>591</v>
      </c>
      <c r="V934" s="1402"/>
      <c r="W934" s="1402"/>
      <c r="X934" s="1402"/>
      <c r="Y934" s="1402"/>
      <c r="Z934" s="1403"/>
      <c r="AA934" s="1407"/>
      <c r="AB934" s="1408"/>
      <c r="AC934" s="1408"/>
      <c r="AD934" s="1408"/>
      <c r="AE934" s="1408"/>
      <c r="AF934" s="1409"/>
      <c r="AZ934" s="30"/>
      <c r="BA934" s="14"/>
    </row>
    <row r="935" spans="6:55" ht="12.95" customHeight="1">
      <c r="F935" s="66" t="s">
        <v>802</v>
      </c>
      <c r="G935" s="5"/>
      <c r="H935" s="5"/>
      <c r="I935" s="5"/>
      <c r="J935" s="5"/>
      <c r="K935" s="5"/>
      <c r="L935" s="5"/>
      <c r="M935" s="5"/>
      <c r="N935" s="5"/>
      <c r="O935" s="5"/>
      <c r="P935" s="5"/>
      <c r="Q935" s="5"/>
      <c r="R935" s="5"/>
      <c r="S935" s="5"/>
      <c r="T935" s="46"/>
      <c r="U935" s="1401" t="s">
        <v>591</v>
      </c>
      <c r="V935" s="1402"/>
      <c r="W935" s="1402"/>
      <c r="X935" s="1402"/>
      <c r="Y935" s="1402"/>
      <c r="Z935" s="1403"/>
      <c r="AA935" s="1407"/>
      <c r="AB935" s="1408"/>
      <c r="AC935" s="1408"/>
      <c r="AD935" s="1408"/>
      <c r="AE935" s="1408"/>
      <c r="AF935" s="1409"/>
      <c r="AZ935" s="30"/>
      <c r="BA935" s="14"/>
    </row>
    <row r="936" spans="6:55" ht="12.95" customHeight="1">
      <c r="F936" s="1640" t="s">
        <v>2202</v>
      </c>
      <c r="G936" s="1641"/>
      <c r="H936" s="1641"/>
      <c r="I936" s="1641"/>
      <c r="J936" s="1641"/>
      <c r="K936" s="1641"/>
      <c r="L936" s="1641"/>
      <c r="M936" s="1641"/>
      <c r="N936" s="1641"/>
      <c r="O936" s="1641"/>
      <c r="P936" s="1641"/>
      <c r="Q936" s="1641"/>
      <c r="R936" s="1641"/>
      <c r="S936" s="1641"/>
      <c r="T936" s="1642"/>
      <c r="U936" s="1401" t="s">
        <v>591</v>
      </c>
      <c r="V936" s="1402"/>
      <c r="W936" s="1402"/>
      <c r="X936" s="1402"/>
      <c r="Y936" s="1402"/>
      <c r="Z936" s="1403"/>
      <c r="AA936" s="1407"/>
      <c r="AB936" s="1408"/>
      <c r="AC936" s="1408"/>
      <c r="AD936" s="1408"/>
      <c r="AE936" s="1408"/>
      <c r="AF936" s="1409"/>
      <c r="AZ936" s="30"/>
      <c r="BA936" s="14"/>
    </row>
    <row r="937" spans="6:55" ht="12.95" customHeight="1">
      <c r="F937" s="1640" t="s">
        <v>2203</v>
      </c>
      <c r="G937" s="1641"/>
      <c r="H937" s="1641"/>
      <c r="I937" s="1641"/>
      <c r="J937" s="1641"/>
      <c r="K937" s="1641"/>
      <c r="L937" s="1641"/>
      <c r="M937" s="1641"/>
      <c r="N937" s="1641"/>
      <c r="O937" s="1641"/>
      <c r="P937" s="1641"/>
      <c r="Q937" s="1641"/>
      <c r="R937" s="1641"/>
      <c r="S937" s="1641"/>
      <c r="T937" s="1642"/>
      <c r="U937" s="1401" t="s">
        <v>591</v>
      </c>
      <c r="V937" s="1402"/>
      <c r="W937" s="1402"/>
      <c r="X937" s="1402"/>
      <c r="Y937" s="1402"/>
      <c r="Z937" s="1403"/>
      <c r="AA937" s="1407"/>
      <c r="AB937" s="1408"/>
      <c r="AC937" s="1408"/>
      <c r="AD937" s="1408"/>
      <c r="AE937" s="1408"/>
      <c r="AF937" s="1409"/>
      <c r="AZ937" s="30"/>
      <c r="BA937" s="30"/>
    </row>
    <row r="938" spans="6:55" ht="12.95" customHeight="1">
      <c r="F938" s="1603" t="s">
        <v>2199</v>
      </c>
      <c r="G938" s="1604"/>
      <c r="H938" s="1604"/>
      <c r="I938" s="1604"/>
      <c r="J938" s="1604"/>
      <c r="K938" s="1604"/>
      <c r="L938" s="1604"/>
      <c r="M938" s="1604"/>
      <c r="N938" s="1604"/>
      <c r="O938" s="1604"/>
      <c r="P938" s="1604"/>
      <c r="Q938" s="1604"/>
      <c r="R938" s="1604"/>
      <c r="S938" s="1604"/>
      <c r="T938" s="1605"/>
      <c r="U938" s="1401" t="s">
        <v>591</v>
      </c>
      <c r="V938" s="1402"/>
      <c r="W938" s="1402"/>
      <c r="X938" s="1402"/>
      <c r="Y938" s="1402"/>
      <c r="Z938" s="1403"/>
      <c r="AA938" s="1407"/>
      <c r="AB938" s="1408"/>
      <c r="AC938" s="1408"/>
      <c r="AD938" s="1408"/>
      <c r="AE938" s="1408"/>
      <c r="AF938" s="1409"/>
      <c r="AZ938" s="30"/>
      <c r="BA938" s="30"/>
    </row>
    <row r="939" spans="6:55" ht="12.95" customHeight="1">
      <c r="F939" s="1603" t="s">
        <v>2200</v>
      </c>
      <c r="G939" s="1604"/>
      <c r="H939" s="1604"/>
      <c r="I939" s="1604"/>
      <c r="J939" s="1604"/>
      <c r="K939" s="1604"/>
      <c r="L939" s="1604"/>
      <c r="M939" s="1604"/>
      <c r="N939" s="1604"/>
      <c r="O939" s="1604"/>
      <c r="P939" s="1604"/>
      <c r="Q939" s="1604"/>
      <c r="R939" s="1604"/>
      <c r="S939" s="1604"/>
      <c r="T939" s="1605"/>
      <c r="U939" s="1401" t="s">
        <v>591</v>
      </c>
      <c r="V939" s="1402"/>
      <c r="W939" s="1402"/>
      <c r="X939" s="1402"/>
      <c r="Y939" s="1402"/>
      <c r="Z939" s="1403"/>
      <c r="AA939" s="1407"/>
      <c r="AB939" s="1408"/>
      <c r="AC939" s="1408"/>
      <c r="AD939" s="1408"/>
      <c r="AE939" s="1408"/>
      <c r="AF939" s="1409"/>
      <c r="AZ939" s="30"/>
      <c r="BA939" s="30"/>
    </row>
    <row r="940" spans="6:55" ht="12.95" customHeight="1">
      <c r="F940" s="1603" t="s">
        <v>2201</v>
      </c>
      <c r="G940" s="1604"/>
      <c r="H940" s="1604"/>
      <c r="I940" s="1604"/>
      <c r="J940" s="1604"/>
      <c r="K940" s="1604"/>
      <c r="L940" s="1604"/>
      <c r="M940" s="1604"/>
      <c r="N940" s="1604"/>
      <c r="O940" s="1604"/>
      <c r="P940" s="1604"/>
      <c r="Q940" s="1604"/>
      <c r="R940" s="1604"/>
      <c r="S940" s="1604"/>
      <c r="T940" s="1605"/>
      <c r="U940" s="1401" t="s">
        <v>591</v>
      </c>
      <c r="V940" s="1402"/>
      <c r="W940" s="1402"/>
      <c r="X940" s="1402"/>
      <c r="Y940" s="1402"/>
      <c r="Z940" s="1403"/>
      <c r="AA940" s="1407"/>
      <c r="AB940" s="1408"/>
      <c r="AC940" s="1408"/>
      <c r="AD940" s="1408"/>
      <c r="AE940" s="1408"/>
      <c r="AF940" s="1409"/>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1" t="s">
        <v>591</v>
      </c>
      <c r="V941" s="1402"/>
      <c r="W941" s="1402"/>
      <c r="X941" s="1402"/>
      <c r="Y941" s="1402"/>
      <c r="Z941" s="1403"/>
      <c r="AA941" s="1407"/>
      <c r="AB941" s="1408"/>
      <c r="AC941" s="1408"/>
      <c r="AD941" s="1408"/>
      <c r="AE941" s="1408"/>
      <c r="AF941" s="1409"/>
      <c r="AZ941" s="34"/>
      <c r="BA941" s="34"/>
      <c r="BB941" s="14"/>
      <c r="BC941" s="14"/>
    </row>
    <row r="942" spans="6:55" ht="12.95" customHeight="1">
      <c r="F942" s="1640" t="s">
        <v>2204</v>
      </c>
      <c r="G942" s="1641"/>
      <c r="H942" s="1641"/>
      <c r="I942" s="1641"/>
      <c r="J942" s="1641"/>
      <c r="K942" s="1641"/>
      <c r="L942" s="1641"/>
      <c r="M942" s="1641"/>
      <c r="N942" s="1641"/>
      <c r="O942" s="1641"/>
      <c r="P942" s="1641"/>
      <c r="Q942" s="1641"/>
      <c r="R942" s="1641"/>
      <c r="S942" s="1641"/>
      <c r="T942" s="1642"/>
      <c r="U942" s="1401" t="s">
        <v>545</v>
      </c>
      <c r="V942" s="1402"/>
      <c r="W942" s="1402"/>
      <c r="X942" s="1402"/>
      <c r="Y942" s="1402"/>
      <c r="Z942" s="1403"/>
      <c r="AA942" s="1407">
        <v>795000</v>
      </c>
      <c r="AB942" s="1408"/>
      <c r="AC942" s="1408"/>
      <c r="AD942" s="1408"/>
      <c r="AE942" s="1408"/>
      <c r="AF942" s="1409"/>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1" t="s">
        <v>591</v>
      </c>
      <c r="V943" s="1402"/>
      <c r="W943" s="1402"/>
      <c r="X943" s="1402"/>
      <c r="Y943" s="1402"/>
      <c r="Z943" s="1403"/>
      <c r="AA943" s="1407"/>
      <c r="AB943" s="1408"/>
      <c r="AC943" s="1408"/>
      <c r="AD943" s="1408"/>
      <c r="AE943" s="1408"/>
      <c r="AF943" s="1409"/>
      <c r="AZ943" s="34"/>
      <c r="BA943" s="34"/>
      <c r="BB943" s="34"/>
      <c r="BC943" s="34"/>
    </row>
    <row r="944" spans="6:55" ht="12.95" customHeight="1">
      <c r="F944" s="1640" t="s">
        <v>2205</v>
      </c>
      <c r="G944" s="1641"/>
      <c r="H944" s="1641"/>
      <c r="I944" s="1641"/>
      <c r="J944" s="1641"/>
      <c r="K944" s="1641"/>
      <c r="L944" s="1641"/>
      <c r="M944" s="1641"/>
      <c r="N944" s="1641"/>
      <c r="O944" s="1641"/>
      <c r="P944" s="1641"/>
      <c r="Q944" s="1641"/>
      <c r="R944" s="1641"/>
      <c r="S944" s="1641"/>
      <c r="T944" s="1642"/>
      <c r="U944" s="1401" t="s">
        <v>591</v>
      </c>
      <c r="V944" s="1402"/>
      <c r="W944" s="1402"/>
      <c r="X944" s="1402"/>
      <c r="Y944" s="1402"/>
      <c r="Z944" s="1403"/>
      <c r="AA944" s="1407"/>
      <c r="AB944" s="1408"/>
      <c r="AC944" s="1408"/>
      <c r="AD944" s="1408"/>
      <c r="AE944" s="1408"/>
      <c r="AF944" s="1409"/>
      <c r="AZ944" s="34"/>
      <c r="BA944" s="34"/>
      <c r="BB944" s="34"/>
      <c r="BC944" s="34"/>
    </row>
    <row r="945" spans="1:55" ht="12.95" customHeight="1">
      <c r="F945" s="45" t="s">
        <v>806</v>
      </c>
      <c r="G945" s="5"/>
      <c r="H945" s="5"/>
      <c r="I945" s="5"/>
      <c r="J945" s="5"/>
      <c r="K945" s="5"/>
      <c r="L945" s="5"/>
      <c r="M945" s="5"/>
      <c r="N945" s="5"/>
      <c r="O945" s="5"/>
      <c r="P945" s="1401" t="s">
        <v>669</v>
      </c>
      <c r="Q945" s="1402"/>
      <c r="R945" s="1402"/>
      <c r="S945" s="1402"/>
      <c r="T945" s="1403"/>
      <c r="U945" s="1401" t="s">
        <v>591</v>
      </c>
      <c r="V945" s="1402"/>
      <c r="W945" s="1402"/>
      <c r="X945" s="1402"/>
      <c r="Y945" s="1402"/>
      <c r="Z945" s="1403"/>
      <c r="AA945" s="1407"/>
      <c r="AB945" s="1408"/>
      <c r="AC945" s="1408"/>
      <c r="AD945" s="1408"/>
      <c r="AE945" s="1408"/>
      <c r="AF945" s="1409"/>
      <c r="AZ945" s="34"/>
      <c r="BA945" s="34"/>
      <c r="BB945" s="34"/>
      <c r="BC945" s="34"/>
    </row>
    <row r="946" spans="1:55" ht="12.95" customHeight="1">
      <c r="F946" s="1603" t="s">
        <v>2192</v>
      </c>
      <c r="G946" s="1604"/>
      <c r="H946" s="1605"/>
      <c r="I946" s="1595" t="s">
        <v>333</v>
      </c>
      <c r="J946" s="1596"/>
      <c r="K946" s="1596"/>
      <c r="L946" s="1596"/>
      <c r="M946" s="1596"/>
      <c r="N946" s="1596"/>
      <c r="O946" s="1596"/>
      <c r="P946" s="1596"/>
      <c r="Q946" s="1596"/>
      <c r="R946" s="1596"/>
      <c r="S946" s="1596"/>
      <c r="T946" s="1597"/>
      <c r="U946" s="1401" t="s">
        <v>591</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5" t="s">
        <v>333</v>
      </c>
      <c r="J947" s="1596"/>
      <c r="K947" s="1596"/>
      <c r="L947" s="1596"/>
      <c r="M947" s="1596"/>
      <c r="N947" s="1596"/>
      <c r="O947" s="1596"/>
      <c r="P947" s="1596"/>
      <c r="Q947" s="1596"/>
      <c r="R947" s="1596"/>
      <c r="S947" s="1596"/>
      <c r="T947" s="1597"/>
      <c r="U947" s="1401" t="s">
        <v>591</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9" t="s">
        <v>2746</v>
      </c>
      <c r="J948" s="1540"/>
      <c r="K948" s="1540"/>
      <c r="L948" s="1540"/>
      <c r="M948" s="1540"/>
      <c r="N948" s="1540"/>
      <c r="O948" s="1540"/>
      <c r="P948" s="1540"/>
      <c r="Q948" s="1540"/>
      <c r="R948" s="1540"/>
      <c r="S948" s="1540"/>
      <c r="T948" s="1541"/>
      <c r="U948" s="1401" t="s">
        <v>545</v>
      </c>
      <c r="V948" s="1402"/>
      <c r="W948" s="1402"/>
      <c r="X948" s="1402"/>
      <c r="Y948" s="1402"/>
      <c r="Z948" s="1403"/>
      <c r="AA948" s="1407">
        <v>400000</v>
      </c>
      <c r="AB948" s="1408"/>
      <c r="AC948" s="1408"/>
      <c r="AD948" s="1408"/>
      <c r="AE948" s="1408"/>
      <c r="AF948" s="1409"/>
      <c r="AV948" s="2"/>
      <c r="AW948" s="2"/>
      <c r="AX948" s="2"/>
      <c r="AY948" s="2"/>
      <c r="AZ948" s="34"/>
      <c r="BA948" s="34"/>
      <c r="BB948" s="34"/>
      <c r="BC948" s="34"/>
    </row>
    <row r="949" spans="1:55" ht="12.95" customHeight="1">
      <c r="F949" s="47" t="s">
        <v>169</v>
      </c>
      <c r="G949" s="48"/>
      <c r="H949" s="48"/>
      <c r="I949" s="1539" t="s">
        <v>2703</v>
      </c>
      <c r="J949" s="1540"/>
      <c r="K949" s="1540"/>
      <c r="L949" s="1540"/>
      <c r="M949" s="1540"/>
      <c r="N949" s="1540"/>
      <c r="O949" s="1540"/>
      <c r="P949" s="1540"/>
      <c r="Q949" s="1540"/>
      <c r="R949" s="1540"/>
      <c r="S949" s="1540"/>
      <c r="T949" s="1541"/>
      <c r="U949" s="1401" t="s">
        <v>545</v>
      </c>
      <c r="V949" s="1402"/>
      <c r="W949" s="1402"/>
      <c r="X949" s="1402"/>
      <c r="Y949" s="1402"/>
      <c r="Z949" s="1403"/>
      <c r="AA949" s="1407">
        <v>1608830</v>
      </c>
      <c r="AB949" s="1408"/>
      <c r="AC949" s="1408"/>
      <c r="AD949" s="1408"/>
      <c r="AE949" s="1408"/>
      <c r="AF949" s="1409"/>
      <c r="AU949" s="2"/>
      <c r="AZ949" s="34"/>
      <c r="BA949" s="34"/>
      <c r="BB949" s="34"/>
      <c r="BC949" s="34"/>
    </row>
    <row r="950" spans="1:55" ht="12.95" customHeight="1">
      <c r="F950" s="47" t="s">
        <v>169</v>
      </c>
      <c r="G950" s="48"/>
      <c r="H950" s="48"/>
      <c r="I950" s="1539" t="s">
        <v>2725</v>
      </c>
      <c r="J950" s="1540"/>
      <c r="K950" s="1540"/>
      <c r="L950" s="1540"/>
      <c r="M950" s="1540"/>
      <c r="N950" s="1540"/>
      <c r="O950" s="1540"/>
      <c r="P950" s="1540"/>
      <c r="Q950" s="1540"/>
      <c r="R950" s="1540"/>
      <c r="S950" s="1540"/>
      <c r="T950" s="1541"/>
      <c r="U950" s="1401" t="s">
        <v>545</v>
      </c>
      <c r="V950" s="1402"/>
      <c r="W950" s="1402"/>
      <c r="X950" s="1402"/>
      <c r="Y950" s="1402"/>
      <c r="Z950" s="1403"/>
      <c r="AA950" s="1407">
        <v>5890159</v>
      </c>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6">
        <v>45352</v>
      </c>
      <c r="N955" s="1537"/>
      <c r="O955" s="1537"/>
      <c r="P955" s="1537"/>
      <c r="Q955" s="1537"/>
      <c r="R955" s="1537"/>
      <c r="S955" s="1538"/>
      <c r="U955" s="66" t="s">
        <v>11</v>
      </c>
      <c r="V955" s="5"/>
      <c r="W955" s="5"/>
      <c r="X955" s="5"/>
      <c r="Y955" s="5"/>
      <c r="Z955" s="5"/>
      <c r="AA955" s="5"/>
      <c r="AB955" s="5"/>
      <c r="AC955" s="5"/>
      <c r="AD955" s="46"/>
      <c r="AE955" s="1536"/>
      <c r="AF955" s="1537"/>
      <c r="AG955" s="1537"/>
      <c r="AH955" s="1537"/>
      <c r="AI955" s="1537"/>
      <c r="AJ955" s="1537"/>
      <c r="AK955" s="1538"/>
      <c r="AZ955" s="34"/>
      <c r="BA955" s="34"/>
      <c r="BB955" s="34"/>
      <c r="BC955" s="34"/>
    </row>
    <row r="956" spans="1:55" ht="12.95" customHeight="1">
      <c r="C956" s="66" t="s">
        <v>12</v>
      </c>
      <c r="D956" s="5"/>
      <c r="E956" s="5"/>
      <c r="F956" s="5"/>
      <c r="G956" s="5"/>
      <c r="H956" s="5"/>
      <c r="I956" s="5"/>
      <c r="J956" s="5"/>
      <c r="K956" s="5"/>
      <c r="L956" s="46"/>
      <c r="M956" s="1548" t="s">
        <v>2726</v>
      </c>
      <c r="N956" s="1443"/>
      <c r="O956" s="1443"/>
      <c r="P956" s="1443"/>
      <c r="Q956" s="1443"/>
      <c r="R956" s="1443"/>
      <c r="S956" s="1549"/>
      <c r="U956" s="66" t="s">
        <v>12</v>
      </c>
      <c r="V956" s="5"/>
      <c r="W956" s="5"/>
      <c r="X956" s="5"/>
      <c r="Y956" s="5"/>
      <c r="Z956" s="5"/>
      <c r="AA956" s="5"/>
      <c r="AB956" s="5"/>
      <c r="AC956" s="5"/>
      <c r="AD956" s="46"/>
      <c r="AE956" s="1548" t="s">
        <v>591</v>
      </c>
      <c r="AF956" s="1443"/>
      <c r="AG956" s="1443"/>
      <c r="AH956" s="1443"/>
      <c r="AI956" s="1443"/>
      <c r="AJ956" s="1443"/>
      <c r="AK956" s="1549"/>
      <c r="AZ956" s="34"/>
      <c r="BA956" s="34"/>
      <c r="BB956" s="34"/>
      <c r="BC956" s="34"/>
    </row>
    <row r="957" spans="1:55" ht="12.95" customHeight="1">
      <c r="C957" s="66" t="s">
        <v>880</v>
      </c>
      <c r="D957" s="5"/>
      <c r="E957" s="5"/>
      <c r="J957" s="1555" t="s">
        <v>2727</v>
      </c>
      <c r="K957" s="1556"/>
      <c r="L957" s="1556"/>
      <c r="M957" s="1556"/>
      <c r="N957" s="1556"/>
      <c r="O957" s="1556"/>
      <c r="P957" s="1556"/>
      <c r="Q957" s="1556"/>
      <c r="R957" s="1556"/>
      <c r="S957" s="1557"/>
      <c r="U957" s="66" t="s">
        <v>880</v>
      </c>
      <c r="V957" s="5"/>
      <c r="W957" s="5"/>
      <c r="AB957" s="1555" t="s">
        <v>306</v>
      </c>
      <c r="AC957" s="1556"/>
      <c r="AD957" s="1556"/>
      <c r="AE957" s="1556"/>
      <c r="AF957" s="1556"/>
      <c r="AG957" s="1556"/>
      <c r="AH957" s="1556"/>
      <c r="AI957" s="1556"/>
      <c r="AJ957" s="1556"/>
      <c r="AK957" s="1557"/>
      <c r="AZ957" s="34"/>
      <c r="BA957" s="34"/>
      <c r="BB957" s="34"/>
      <c r="BC957" s="34"/>
    </row>
    <row r="958" spans="1:55" ht="12.95" customHeight="1">
      <c r="C958" s="66" t="s">
        <v>13</v>
      </c>
      <c r="D958" s="5"/>
      <c r="E958" s="5"/>
      <c r="F958" s="5"/>
      <c r="G958" s="5"/>
      <c r="H958" s="5"/>
      <c r="I958" s="5"/>
      <c r="J958" s="5"/>
      <c r="K958" s="5"/>
      <c r="L958" s="46"/>
      <c r="M958" s="1639">
        <f>53/53</f>
        <v>1</v>
      </c>
      <c r="N958" s="1599"/>
      <c r="O958" s="1599"/>
      <c r="P958" s="1599"/>
      <c r="Q958" s="1599"/>
      <c r="R958" s="1599"/>
      <c r="S958" s="1600"/>
      <c r="U958" s="66" t="s">
        <v>13</v>
      </c>
      <c r="V958" s="5"/>
      <c r="W958" s="5"/>
      <c r="X958" s="5"/>
      <c r="Y958" s="5"/>
      <c r="Z958" s="5"/>
      <c r="AA958" s="5"/>
      <c r="AB958" s="5"/>
      <c r="AC958" s="5"/>
      <c r="AD958" s="46"/>
      <c r="AE958" s="1598"/>
      <c r="AF958" s="1599"/>
      <c r="AG958" s="1599"/>
      <c r="AH958" s="1599"/>
      <c r="AI958" s="1599"/>
      <c r="AJ958" s="1599"/>
      <c r="AK958" s="1600"/>
      <c r="AZ958" s="34"/>
      <c r="BA958" s="34"/>
      <c r="BB958" s="34"/>
      <c r="BC958" s="34"/>
    </row>
    <row r="959" spans="1:55" ht="12.95" customHeight="1">
      <c r="C959" s="66" t="s">
        <v>14</v>
      </c>
      <c r="D959" s="5"/>
      <c r="E959" s="5"/>
      <c r="F959" s="5"/>
      <c r="G959" s="5"/>
      <c r="H959" s="5"/>
      <c r="I959" s="5"/>
      <c r="J959" s="5"/>
      <c r="K959" s="5"/>
      <c r="L959" s="46"/>
      <c r="M959" s="1562">
        <v>53</v>
      </c>
      <c r="N959" s="1563"/>
      <c r="O959" s="1563"/>
      <c r="P959" s="1563"/>
      <c r="Q959" s="1563"/>
      <c r="R959" s="1563"/>
      <c r="S959" s="1564"/>
      <c r="U959" s="66" t="s">
        <v>14</v>
      </c>
      <c r="V959" s="5"/>
      <c r="W959" s="5"/>
      <c r="X959" s="5"/>
      <c r="Y959" s="5"/>
      <c r="Z959" s="5"/>
      <c r="AA959" s="5"/>
      <c r="AB959" s="5"/>
      <c r="AC959" s="5"/>
      <c r="AD959" s="46"/>
      <c r="AE959" s="1562"/>
      <c r="AF959" s="1563"/>
      <c r="AG959" s="1563"/>
      <c r="AH959" s="1563"/>
      <c r="AI959" s="1563"/>
      <c r="AJ959" s="1563"/>
      <c r="AK959" s="1564"/>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f>Z809</f>
        <v>460464</v>
      </c>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f>M960*20</f>
        <v>9209280</v>
      </c>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1661</v>
      </c>
      <c r="D962" s="5"/>
      <c r="E962" s="5"/>
      <c r="F962" s="5"/>
      <c r="G962" s="5"/>
      <c r="H962" s="5"/>
      <c r="I962" s="5"/>
      <c r="J962" s="5"/>
      <c r="K962" s="5"/>
      <c r="L962" s="46"/>
      <c r="M962" s="1404">
        <v>20</v>
      </c>
      <c r="N962" s="1405"/>
      <c r="O962" s="1405"/>
      <c r="P962" s="1405"/>
      <c r="Q962" s="1405"/>
      <c r="R962" s="1405"/>
      <c r="S962" s="1406"/>
      <c r="U962" s="121" t="s">
        <v>1661</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3" t="s">
        <v>591</v>
      </c>
      <c r="N967" s="1534"/>
      <c r="O967" s="1534"/>
      <c r="P967" s="1534"/>
      <c r="Q967" s="1534"/>
      <c r="R967" s="1534"/>
      <c r="S967" s="1535"/>
      <c r="T967" s="66" t="s">
        <v>790</v>
      </c>
      <c r="U967" s="5"/>
      <c r="V967" s="5"/>
      <c r="W967" s="5"/>
      <c r="X967" s="5"/>
      <c r="Y967" s="5"/>
      <c r="Z967" s="46"/>
      <c r="AA967" s="1533" t="s">
        <v>591</v>
      </c>
      <c r="AB967" s="1534"/>
      <c r="AC967" s="1534"/>
      <c r="AD967" s="1534"/>
      <c r="AE967" s="1534"/>
      <c r="AF967" s="1534"/>
      <c r="AG967" s="153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3" t="s">
        <v>591</v>
      </c>
      <c r="N968" s="1534"/>
      <c r="O968" s="1534"/>
      <c r="P968" s="1534"/>
      <c r="Q968" s="1534"/>
      <c r="R968" s="1534"/>
      <c r="S968" s="1535"/>
      <c r="T968" s="66" t="s">
        <v>789</v>
      </c>
      <c r="U968" s="5"/>
      <c r="V968" s="5"/>
      <c r="W968" s="5"/>
      <c r="X968" s="5"/>
      <c r="Y968" s="5"/>
      <c r="Z968" s="46"/>
      <c r="AA968" s="1533" t="s">
        <v>591</v>
      </c>
      <c r="AB968" s="1534"/>
      <c r="AC968" s="1534"/>
      <c r="AD968" s="1534"/>
      <c r="AE968" s="1534"/>
      <c r="AF968" s="1534"/>
      <c r="AG968" s="153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3" t="s">
        <v>591</v>
      </c>
      <c r="AB969" s="1534"/>
      <c r="AC969" s="1534"/>
      <c r="AD969" s="1534"/>
      <c r="AE969" s="1534"/>
      <c r="AF969" s="1534"/>
      <c r="AG969" s="153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3" t="s">
        <v>591</v>
      </c>
      <c r="N970" s="1534"/>
      <c r="O970" s="1534"/>
      <c r="P970" s="1534"/>
      <c r="Q970" s="1534"/>
      <c r="R970" s="1534"/>
      <c r="S970" s="1535"/>
      <c r="T970" s="45" t="s">
        <v>337</v>
      </c>
      <c r="U970" s="5"/>
      <c r="V970" s="5"/>
      <c r="W970" s="5"/>
      <c r="X970" s="5"/>
      <c r="Y970" s="5"/>
      <c r="Z970" s="46"/>
      <c r="AA970" s="1533" t="s">
        <v>591</v>
      </c>
      <c r="AB970" s="1534"/>
      <c r="AC970" s="1534"/>
      <c r="AD970" s="1534"/>
      <c r="AE970" s="1534"/>
      <c r="AF970" s="1534"/>
      <c r="AG970" s="153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3" t="s">
        <v>591</v>
      </c>
      <c r="N971" s="1534"/>
      <c r="O971" s="1534"/>
      <c r="P971" s="1534"/>
      <c r="Q971" s="1534"/>
      <c r="R971" s="1534"/>
      <c r="S971" s="1535"/>
      <c r="T971" s="45" t="s">
        <v>375</v>
      </c>
      <c r="U971" s="5"/>
      <c r="V971" s="5"/>
      <c r="W971" s="5"/>
      <c r="X971" s="5"/>
      <c r="Y971" s="5"/>
      <c r="Z971" s="46"/>
      <c r="AA971" s="1533" t="s">
        <v>591</v>
      </c>
      <c r="AB971" s="1534"/>
      <c r="AC971" s="1534"/>
      <c r="AD971" s="1534"/>
      <c r="AE971" s="1534"/>
      <c r="AF971" s="1534"/>
      <c r="AG971" s="153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5" t="s">
        <v>591</v>
      </c>
      <c r="N972" s="1556"/>
      <c r="O972" s="1556"/>
      <c r="P972" s="1556"/>
      <c r="Q972" s="1556"/>
      <c r="R972" s="1556"/>
      <c r="S972" s="1557"/>
      <c r="T972" s="1559"/>
      <c r="U972" s="1560"/>
      <c r="V972" s="1560"/>
      <c r="W972" s="1560"/>
      <c r="X972" s="1560"/>
      <c r="Y972" s="1560"/>
      <c r="Z972" s="1561"/>
      <c r="AA972" s="1533" t="s">
        <v>591</v>
      </c>
      <c r="AB972" s="1534"/>
      <c r="AC972" s="1534"/>
      <c r="AD972" s="1534"/>
      <c r="AE972" s="1534"/>
      <c r="AF972" s="1534"/>
      <c r="AG972" s="153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3" t="s">
        <v>591</v>
      </c>
      <c r="N973" s="1534"/>
      <c r="O973" s="1534"/>
      <c r="P973" s="1534"/>
      <c r="Q973" s="1534"/>
      <c r="R973" s="1534"/>
      <c r="S973" s="1535"/>
      <c r="T973" s="1559"/>
      <c r="U973" s="1560"/>
      <c r="V973" s="1560"/>
      <c r="W973" s="1560"/>
      <c r="X973" s="1560"/>
      <c r="Y973" s="1560"/>
      <c r="Z973" s="1561"/>
      <c r="AA973" s="1533" t="s">
        <v>591</v>
      </c>
      <c r="AB973" s="1534"/>
      <c r="AC973" s="1534"/>
      <c r="AD973" s="1534"/>
      <c r="AE973" s="1534"/>
      <c r="AF973" s="1534"/>
      <c r="AG973" s="153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9" t="s">
        <v>669</v>
      </c>
      <c r="P974" s="1580"/>
      <c r="Q974" s="92"/>
      <c r="R974" s="92"/>
      <c r="S974" s="93"/>
      <c r="T974" s="41" t="s">
        <v>169</v>
      </c>
      <c r="U974" s="42"/>
      <c r="V974" s="42"/>
      <c r="W974" s="1565" t="s">
        <v>333</v>
      </c>
      <c r="X974" s="1566"/>
      <c r="Y974" s="1566"/>
      <c r="Z974" s="1566"/>
      <c r="AA974" s="1566"/>
      <c r="AB974" s="1566"/>
      <c r="AC974" s="1566"/>
      <c r="AD974" s="1566"/>
      <c r="AE974" s="1566"/>
      <c r="AF974" s="1566"/>
      <c r="AG974" s="1567"/>
      <c r="AU974" s="68"/>
      <c r="AV974" s="95"/>
      <c r="AW974" s="95"/>
      <c r="AX974" s="95"/>
      <c r="AY974" s="95"/>
      <c r="AZ974" s="34"/>
      <c r="BB974" s="34"/>
      <c r="BC974" s="34"/>
      <c r="BD974" s="34"/>
      <c r="BE974" s="34"/>
      <c r="BF974" s="34"/>
      <c r="BG974" s="34"/>
      <c r="BH974" s="34"/>
      <c r="BI974" s="34"/>
      <c r="BJ974" s="34"/>
      <c r="BK974" s="34"/>
      <c r="BL974" s="34"/>
    </row>
    <row r="975" spans="1:64" ht="12.95" customHeight="1">
      <c r="F975" s="1550" t="s">
        <v>33</v>
      </c>
      <c r="G975" s="1358"/>
      <c r="H975" s="1358"/>
      <c r="I975" s="1358"/>
      <c r="J975" s="1358"/>
      <c r="K975" s="1358"/>
      <c r="L975" s="1358"/>
      <c r="M975" s="1533"/>
      <c r="N975" s="1534"/>
      <c r="O975" s="1534"/>
      <c r="P975" s="1534"/>
      <c r="Q975" s="1534"/>
      <c r="R975" s="1534"/>
      <c r="S975" s="1535"/>
      <c r="T975" s="47"/>
      <c r="U975" s="48"/>
      <c r="V975" s="48"/>
      <c r="W975" s="48"/>
      <c r="X975" s="48"/>
      <c r="Y975" s="48"/>
      <c r="Z975" s="124" t="s">
        <v>134</v>
      </c>
      <c r="AA975" s="1592"/>
      <c r="AB975" s="1593"/>
      <c r="AC975" s="1593"/>
      <c r="AD975" s="1593"/>
      <c r="AE975" s="1593"/>
      <c r="AF975" s="1593"/>
      <c r="AG975" s="159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548</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1" t="s">
        <v>638</v>
      </c>
      <c r="E985" s="1552"/>
      <c r="F985" s="1552"/>
      <c r="G985" s="1552"/>
      <c r="H985" s="1552"/>
      <c r="I985" s="1552"/>
      <c r="J985" s="1552"/>
      <c r="K985" s="1552"/>
      <c r="L985" s="1552"/>
      <c r="M985" s="1552"/>
      <c r="N985" s="1552"/>
      <c r="O985" s="1552"/>
      <c r="P985" s="1552"/>
      <c r="Q985" s="1553"/>
      <c r="R985" s="1551" t="s">
        <v>639</v>
      </c>
      <c r="S985" s="1552"/>
      <c r="T985" s="1552"/>
      <c r="U985" s="1552"/>
      <c r="V985" s="1552"/>
      <c r="W985" s="1552"/>
      <c r="X985" s="1552"/>
      <c r="Y985" s="1552"/>
      <c r="Z985" s="1552"/>
      <c r="AA985" s="1553"/>
      <c r="AB985" s="1551" t="s">
        <v>640</v>
      </c>
      <c r="AC985" s="1552"/>
      <c r="AD985" s="1552"/>
      <c r="AE985" s="1552"/>
      <c r="AF985" s="1552"/>
      <c r="AG985" s="1552"/>
      <c r="AH985" s="1552"/>
      <c r="AI985" s="1553"/>
      <c r="AJ985" s="1551" t="s">
        <v>641</v>
      </c>
      <c r="AK985" s="1552"/>
      <c r="AL985" s="1552"/>
      <c r="AM985" s="1552"/>
      <c r="AN985" s="1552"/>
      <c r="AO985" s="1552"/>
      <c r="AP985" s="1552"/>
      <c r="AQ985" s="1553"/>
      <c r="AR985" s="68"/>
      <c r="AS985" s="68"/>
      <c r="AT985" s="68"/>
      <c r="AU985" s="68"/>
      <c r="AV985" s="68"/>
      <c r="AW985" s="68"/>
      <c r="AX985" s="68"/>
      <c r="AY985" s="68"/>
      <c r="AZ985" s="30"/>
      <c r="BB985" s="14"/>
      <c r="BC985" s="14"/>
    </row>
    <row r="986" spans="1:64" ht="12.95" customHeight="1">
      <c r="A986" s="14"/>
      <c r="B986" s="73"/>
      <c r="C986" s="929"/>
      <c r="D986" s="1386" t="s">
        <v>633</v>
      </c>
      <c r="E986" s="1387"/>
      <c r="F986" s="1387"/>
      <c r="G986" s="1387"/>
      <c r="H986" s="1387"/>
      <c r="I986" s="1387"/>
      <c r="J986" s="1387"/>
      <c r="K986" s="1387"/>
      <c r="L986" s="1387"/>
      <c r="M986" s="1387"/>
      <c r="N986" s="1387"/>
      <c r="O986" s="1387"/>
      <c r="P986" s="1387"/>
      <c r="Q986" s="1388"/>
      <c r="R986" s="1554">
        <f>IF(ISNA(IF($CU$122="4%",(INDEX($CS$160:$CW$217,MATCH($DG$122,$CR$160:$CR$217,0),MATCH(D986,$CS$159:$CW$159,0))),(INDEX($CZ$160:$DD$217,MATCH($DG$122,$CY$160:$CY$217,0),MATCH(D986,$CZ$159:$DD$159,0))))),0,IF($CU$122="4%",(INDEX($CS$160:$CW$217,MATCH($DG$122,$CR$160:$CR$217,0),MATCH(D986,$CS$159:$CW$159,0))),(INDEX($CZ$160:$DD$217,MATCH($DG$122,$CY$160:$CY$217,0),MATCH(D986,$CZ$159:$DD$159,0)))))</f>
        <v>307732</v>
      </c>
      <c r="S986" s="1554"/>
      <c r="T986" s="1554"/>
      <c r="U986" s="1554"/>
      <c r="V986" s="1554"/>
      <c r="W986" s="1554"/>
      <c r="X986" s="1554"/>
      <c r="Y986" s="1554"/>
      <c r="Z986" s="1554"/>
      <c r="AA986" s="1554"/>
      <c r="AB986" s="1389">
        <f>CP802</f>
        <v>0</v>
      </c>
      <c r="AC986" s="1390"/>
      <c r="AD986" s="1390"/>
      <c r="AE986" s="1390"/>
      <c r="AF986" s="1390"/>
      <c r="AG986" s="1390"/>
      <c r="AH986" s="1390"/>
      <c r="AI986" s="1391"/>
      <c r="AJ986" s="1491">
        <f>IF(ISERROR((R986*AB986)),0,(R986*AB986))</f>
        <v>0</v>
      </c>
      <c r="AK986" s="1492"/>
      <c r="AL986" s="1492"/>
      <c r="AM986" s="1492"/>
      <c r="AN986" s="1492"/>
      <c r="AO986" s="1492"/>
      <c r="AP986" s="1492"/>
      <c r="AQ986" s="1493"/>
      <c r="AR986" s="68"/>
      <c r="AS986" s="68"/>
      <c r="AT986" s="68"/>
      <c r="AU986" s="68"/>
      <c r="AV986" s="68"/>
      <c r="AW986" s="68"/>
      <c r="AX986" s="68"/>
      <c r="AY986" s="68"/>
      <c r="AZ986" s="30"/>
      <c r="BB986" s="14"/>
      <c r="BC986" s="14"/>
    </row>
    <row r="987" spans="1:64" ht="12.95" customHeight="1">
      <c r="A987" s="14"/>
      <c r="B987" s="73"/>
      <c r="C987" s="83"/>
      <c r="D987" s="1386" t="s">
        <v>324</v>
      </c>
      <c r="E987" s="1387"/>
      <c r="F987" s="1387"/>
      <c r="G987" s="1387"/>
      <c r="H987" s="1387"/>
      <c r="I987" s="1387"/>
      <c r="J987" s="1387"/>
      <c r="K987" s="1387"/>
      <c r="L987" s="1387"/>
      <c r="M987" s="1387"/>
      <c r="N987" s="1387"/>
      <c r="O987" s="1387"/>
      <c r="P987" s="1387"/>
      <c r="Q987" s="1388"/>
      <c r="R987" s="1554">
        <f>IF(ISNA(IF($CU$122="4%",(INDEX($CS$160:$CW$217,MATCH($DG$122,$CR$160:$CR$217,0),MATCH(D987,$CS$159:$CW$159,0))),(INDEX($CZ$160:$DD$217,MATCH($DG$122,$CY$160:$CY$217,0),MATCH(D987,$CZ$159:$DD$159,0))))),0,IF($CU$122="4%",(INDEX($CS$160:$CW$217,MATCH($DG$122,$CR$160:$CR$217,0),MATCH(D987,$CS$159:$CW$159,0))),(INDEX($CZ$160:$DD$217,MATCH($DG$122,$CY$160:$CY$217,0),MATCH(D987,$CZ$159:$DD$159,0)))))</f>
        <v>354812</v>
      </c>
      <c r="S987" s="1554"/>
      <c r="T987" s="1554"/>
      <c r="U987" s="1554"/>
      <c r="V987" s="1554"/>
      <c r="W987" s="1554"/>
      <c r="X987" s="1554"/>
      <c r="Y987" s="1554"/>
      <c r="Z987" s="1554"/>
      <c r="AA987" s="1554"/>
      <c r="AB987" s="1389">
        <f>CU802</f>
        <v>53</v>
      </c>
      <c r="AC987" s="1390"/>
      <c r="AD987" s="1390"/>
      <c r="AE987" s="1390"/>
      <c r="AF987" s="1390"/>
      <c r="AG987" s="1390"/>
      <c r="AH987" s="1390"/>
      <c r="AI987" s="1391"/>
      <c r="AJ987" s="1491">
        <f>IF(ISERROR((R987*AB987)),0,(R987*AB987))</f>
        <v>18805036</v>
      </c>
      <c r="AK987" s="1492"/>
      <c r="AL987" s="1492"/>
      <c r="AM987" s="1492"/>
      <c r="AN987" s="1492"/>
      <c r="AO987" s="1492"/>
      <c r="AP987" s="1492"/>
      <c r="AQ987" s="1493"/>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4">
        <f>IF(ISNA(IF($CU$122="4%",(INDEX($CS$160:$CW$217,MATCH($DG$122,$CR$160:$CR$217,0),MATCH(D988,$CS$159:$CW$159,0))),(INDEX($CZ$160:$DD$217,MATCH($DG$122,$CY$160:$CY$217,0),MATCH(D988,$CZ$159:$DD$159,0))))),0,IF($CU$122="4%",(INDEX($CS$160:$CW$217,MATCH($DG$122,$CR$160:$CR$217,0),MATCH(D988,$CS$159:$CW$159,0))),(INDEX($CZ$160:$DD$217,MATCH($DG$122,$CY$160:$CY$217,0),MATCH(D988,$CZ$159:$DD$159,0)))))</f>
        <v>428000</v>
      </c>
      <c r="S988" s="1554"/>
      <c r="T988" s="1554"/>
      <c r="U988" s="1554"/>
      <c r="V988" s="1554"/>
      <c r="W988" s="1554"/>
      <c r="X988" s="1554"/>
      <c r="Y988" s="1554"/>
      <c r="Z988" s="1554"/>
      <c r="AA988" s="1554"/>
      <c r="AB988" s="1389">
        <f>CZ802</f>
        <v>0</v>
      </c>
      <c r="AC988" s="1390"/>
      <c r="AD988" s="1390"/>
      <c r="AE988" s="1390"/>
      <c r="AF988" s="1390"/>
      <c r="AG988" s="1390"/>
      <c r="AH988" s="1390"/>
      <c r="AI988" s="1391"/>
      <c r="AJ988" s="1491">
        <f>IF(ISERROR((R988*AB988)),0,(R988*AB988))</f>
        <v>0</v>
      </c>
      <c r="AK988" s="1492"/>
      <c r="AL988" s="1492"/>
      <c r="AM988" s="1492"/>
      <c r="AN988" s="1492"/>
      <c r="AO988" s="1492"/>
      <c r="AP988" s="1492"/>
      <c r="AQ988" s="1493"/>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4">
        <f>IF(ISNA(IF($CU$122="4%",(INDEX($CS$160:$CW$217,MATCH($DG$122,$CR$160:$CR$217,0),MATCH(D989,$CS$159:$CW$159,0))),(INDEX($CZ$160:$DD$217,MATCH($DG$122,$CY$160:$CY$217,0),MATCH(D989,$CZ$159:$DD$159,0))))),0,IF($CU$122="4%",(INDEX($CS$160:$CW$217,MATCH($DG$122,$CR$160:$CR$217,0),MATCH(D989,$CS$159:$CW$159,0))),(INDEX($CZ$160:$DD$217,MATCH($DG$122,$CY$160:$CY$217,0),MATCH(D989,$CZ$159:$DD$159,0)))))</f>
        <v>547840</v>
      </c>
      <c r="S989" s="1554"/>
      <c r="T989" s="1554"/>
      <c r="U989" s="1554"/>
      <c r="V989" s="1554"/>
      <c r="W989" s="1554"/>
      <c r="X989" s="1554"/>
      <c r="Y989" s="1554"/>
      <c r="Z989" s="1554"/>
      <c r="AA989" s="1554"/>
      <c r="AB989" s="1389">
        <f>DE802</f>
        <v>1</v>
      </c>
      <c r="AC989" s="1390"/>
      <c r="AD989" s="1390"/>
      <c r="AE989" s="1390"/>
      <c r="AF989" s="1390"/>
      <c r="AG989" s="1390"/>
      <c r="AH989" s="1390"/>
      <c r="AI989" s="1391"/>
      <c r="AJ989" s="1491">
        <f>IF(ISERROR((R989*AB989)),0,(R989*AB989))</f>
        <v>547840</v>
      </c>
      <c r="AK989" s="1492"/>
      <c r="AL989" s="1492"/>
      <c r="AM989" s="1492"/>
      <c r="AN989" s="1492"/>
      <c r="AO989" s="1492"/>
      <c r="AP989" s="1492"/>
      <c r="AQ989" s="1493"/>
      <c r="AR989" s="68"/>
      <c r="AS989" s="68"/>
      <c r="AT989" s="68"/>
      <c r="AU989" s="68"/>
      <c r="AV989" s="68"/>
      <c r="AW989" s="68"/>
      <c r="AX989" s="68"/>
      <c r="AY989" s="68"/>
      <c r="AZ989" s="30"/>
      <c r="BA989" s="34"/>
      <c r="BB989" s="14"/>
      <c r="BC989" s="14"/>
    </row>
    <row r="990" spans="1:64" ht="12.95" customHeight="1">
      <c r="A990" s="14"/>
      <c r="B990" s="47"/>
      <c r="C990" s="78"/>
      <c r="D990" s="1386" t="s">
        <v>460</v>
      </c>
      <c r="E990" s="1387"/>
      <c r="F990" s="1387"/>
      <c r="G990" s="1387"/>
      <c r="H990" s="1387"/>
      <c r="I990" s="1387"/>
      <c r="J990" s="1387"/>
      <c r="K990" s="1387"/>
      <c r="L990" s="1387"/>
      <c r="M990" s="1387"/>
      <c r="N990" s="1387"/>
      <c r="O990" s="1387"/>
      <c r="P990" s="1387"/>
      <c r="Q990" s="1388"/>
      <c r="R990" s="1554">
        <f>IF(ISNA(IF($CU$122="4%",(INDEX($CS$160:$CW$217,MATCH($DG$122,$CR$160:$CR$217,0),MATCH(D990,$CS$159:$CW$159,0))),(INDEX($CZ$160:$DD$217,MATCH($DG$122,$CY$160:$CY$217,0),MATCH(D990,$CZ$159:$DD$159,0))))),0,IF($CU$122="4%",(INDEX($CS$160:$CW$217,MATCH($DG$122,$CR$160:$CR$217,0),MATCH(D990,$CS$159:$CW$159,0))),(INDEX($CZ$160:$DD$217,MATCH($DG$122,$CY$160:$CY$217,0),MATCH(D990,$CZ$159:$DD$159,0)))))</f>
        <v>610328</v>
      </c>
      <c r="S990" s="1554"/>
      <c r="T990" s="1554"/>
      <c r="U990" s="1554"/>
      <c r="V990" s="1554"/>
      <c r="W990" s="1554"/>
      <c r="X990" s="1554"/>
      <c r="Y990" s="1554"/>
      <c r="Z990" s="1554"/>
      <c r="AA990" s="1554"/>
      <c r="AB990" s="1389">
        <f>DO802+DJ802</f>
        <v>0</v>
      </c>
      <c r="AC990" s="1390"/>
      <c r="AD990" s="1390"/>
      <c r="AE990" s="1390"/>
      <c r="AF990" s="1390"/>
      <c r="AG990" s="1390"/>
      <c r="AH990" s="1390"/>
      <c r="AI990" s="1391"/>
      <c r="AJ990" s="1491">
        <f>IF(ISERROR((R990*AB990)),0,(R990*AB990))</f>
        <v>0</v>
      </c>
      <c r="AK990" s="1492"/>
      <c r="AL990" s="1492"/>
      <c r="AM990" s="1492"/>
      <c r="AN990" s="1492"/>
      <c r="AO990" s="1492"/>
      <c r="AP990" s="1492"/>
      <c r="AQ990" s="1493"/>
      <c r="AR990" s="68"/>
      <c r="AS990" s="68"/>
      <c r="AT990" s="68"/>
      <c r="AU990" s="68"/>
      <c r="AV990" s="68"/>
      <c r="AW990" s="68"/>
      <c r="AX990" s="68"/>
      <c r="AY990" s="68"/>
      <c r="AZ990" s="30"/>
      <c r="BB990" s="14"/>
      <c r="BC990" s="14"/>
    </row>
    <row r="991" spans="1:64" ht="12.95" customHeight="1">
      <c r="A991" s="14"/>
      <c r="B991" s="1609" t="s">
        <v>791</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1"/>
      <c r="AB991" s="1389">
        <f>SUM(AB986:AI990)</f>
        <v>54</v>
      </c>
      <c r="AC991" s="1390"/>
      <c r="AD991" s="1390"/>
      <c r="AE991" s="1390"/>
      <c r="AF991" s="1390"/>
      <c r="AG991" s="1390"/>
      <c r="AH991" s="1390"/>
      <c r="AI991" s="1391"/>
      <c r="AJ991" s="1491"/>
      <c r="AK991" s="1492"/>
      <c r="AL991" s="1492"/>
      <c r="AM991" s="1492"/>
      <c r="AN991" s="1492"/>
      <c r="AO991" s="1492"/>
      <c r="AP991" s="1492"/>
      <c r="AQ991" s="1493"/>
      <c r="AR991" s="68"/>
      <c r="AS991" s="68"/>
      <c r="AT991" s="68"/>
      <c r="AU991" s="68"/>
      <c r="AV991" s="68"/>
      <c r="AW991" s="68"/>
      <c r="AX991" s="68"/>
      <c r="AY991" s="68"/>
      <c r="AZ991" s="34"/>
      <c r="BA991" s="34"/>
      <c r="BB991" s="14"/>
      <c r="BC991" s="14"/>
    </row>
    <row r="992" spans="1:64" ht="12.95" customHeight="1">
      <c r="A992" s="14"/>
      <c r="B992" s="1576" t="s">
        <v>512</v>
      </c>
      <c r="C992" s="1577"/>
      <c r="D992" s="1577"/>
      <c r="E992" s="1577"/>
      <c r="F992" s="1577"/>
      <c r="G992" s="1577"/>
      <c r="H992" s="1577"/>
      <c r="I992" s="1577"/>
      <c r="J992" s="1577"/>
      <c r="K992" s="1577"/>
      <c r="L992" s="1577"/>
      <c r="M992" s="1577"/>
      <c r="N992" s="1577"/>
      <c r="O992" s="1577"/>
      <c r="P992" s="1577"/>
      <c r="Q992" s="1577"/>
      <c r="R992" s="1577"/>
      <c r="S992" s="1577"/>
      <c r="T992" s="1577"/>
      <c r="U992" s="1577"/>
      <c r="V992" s="1577"/>
      <c r="W992" s="1577"/>
      <c r="X992" s="1577"/>
      <c r="Y992" s="1577"/>
      <c r="Z992" s="1577"/>
      <c r="AA992" s="1577"/>
      <c r="AB992" s="1577"/>
      <c r="AC992" s="1577"/>
      <c r="AD992" s="1577"/>
      <c r="AE992" s="1577"/>
      <c r="AF992" s="1577"/>
      <c r="AG992" s="1577"/>
      <c r="AH992" s="1577"/>
      <c r="AI992" s="1578"/>
      <c r="AJ992" s="1491">
        <f>SUM(AJ986:AQ990)</f>
        <v>19352876</v>
      </c>
      <c r="AK992" s="1492"/>
      <c r="AL992" s="1492"/>
      <c r="AM992" s="1492"/>
      <c r="AN992" s="1492"/>
      <c r="AO992" s="1492"/>
      <c r="AP992" s="1492"/>
      <c r="AQ992" s="1493"/>
      <c r="AR992" s="68"/>
      <c r="AS992" s="68"/>
      <c r="AT992" s="68"/>
      <c r="AU992" s="68"/>
      <c r="AV992" s="68"/>
      <c r="AW992" s="68"/>
      <c r="AX992" s="68"/>
      <c r="AY992" s="68"/>
      <c r="AZ992" s="34"/>
      <c r="BB992" s="34"/>
      <c r="BC992" s="34"/>
    </row>
    <row r="993" spans="1:55" ht="12.95" customHeight="1">
      <c r="A993" s="14"/>
      <c r="B993" s="1494"/>
      <c r="C993" s="1495"/>
      <c r="D993" s="1495"/>
      <c r="E993" s="1495"/>
      <c r="F993" s="1495"/>
      <c r="G993" s="1495"/>
      <c r="H993" s="1495"/>
      <c r="I993" s="1495"/>
      <c r="J993" s="1495"/>
      <c r="K993" s="1495"/>
      <c r="L993" s="1495"/>
      <c r="M993" s="1495"/>
      <c r="N993" s="1495"/>
      <c r="O993" s="1495"/>
      <c r="P993" s="1495"/>
      <c r="Q993" s="1495"/>
      <c r="R993" s="1495"/>
      <c r="S993" s="1495"/>
      <c r="T993" s="1495"/>
      <c r="U993" s="1495"/>
      <c r="V993" s="1495"/>
      <c r="W993" s="1495"/>
      <c r="X993" s="1495"/>
      <c r="Y993" s="1495"/>
      <c r="Z993" s="1495"/>
      <c r="AA993" s="1495"/>
      <c r="AB993" s="1495"/>
      <c r="AC993" s="1495"/>
      <c r="AD993" s="1495"/>
      <c r="AE993" s="1496"/>
      <c r="AF993" s="1500" t="s">
        <v>666</v>
      </c>
      <c r="AG993" s="1501"/>
      <c r="AH993" s="1501"/>
      <c r="AI993" s="1502"/>
      <c r="AJ993" s="1494"/>
      <c r="AK993" s="1495"/>
      <c r="AL993" s="1495"/>
      <c r="AM993" s="1495"/>
      <c r="AN993" s="1495"/>
      <c r="AO993" s="1495"/>
      <c r="AP993" s="1495"/>
      <c r="AQ993" s="1496"/>
      <c r="AR993" s="68"/>
      <c r="AS993" s="68"/>
      <c r="AT993" s="68"/>
      <c r="AU993" s="68"/>
      <c r="AV993" s="68"/>
      <c r="AW993" s="68"/>
      <c r="AX993" s="68"/>
      <c r="AY993" s="68"/>
      <c r="AZ993" s="34"/>
      <c r="BA993" s="34"/>
      <c r="BB993" s="34"/>
      <c r="BC993" s="34"/>
    </row>
    <row r="994" spans="1:55" ht="12.95" customHeight="1">
      <c r="A994" s="14"/>
      <c r="B994" s="73"/>
      <c r="C994" s="927" t="s">
        <v>668</v>
      </c>
      <c r="D994" s="1507" t="s">
        <v>1220</v>
      </c>
      <c r="E994" s="1508"/>
      <c r="F994" s="1508"/>
      <c r="G994" s="1508"/>
      <c r="H994" s="1508"/>
      <c r="I994" s="1508"/>
      <c r="J994" s="1508"/>
      <c r="K994" s="1508"/>
      <c r="L994" s="1508"/>
      <c r="M994" s="1508"/>
      <c r="N994" s="1508"/>
      <c r="O994" s="1508"/>
      <c r="P994" s="1508"/>
      <c r="Q994" s="1508"/>
      <c r="R994" s="1508"/>
      <c r="S994" s="1508"/>
      <c r="T994" s="1508"/>
      <c r="U994" s="1508"/>
      <c r="V994" s="1508"/>
      <c r="W994" s="1508"/>
      <c r="X994" s="1508"/>
      <c r="Y994" s="1508"/>
      <c r="Z994" s="1508"/>
      <c r="AA994" s="1508"/>
      <c r="AB994" s="1508"/>
      <c r="AC994" s="1508"/>
      <c r="AD994" s="1508"/>
      <c r="AE994" s="1509"/>
      <c r="AF994" s="79"/>
      <c r="AG994" s="1503" t="s">
        <v>545</v>
      </c>
      <c r="AH994" s="1504"/>
      <c r="AI994" s="87"/>
      <c r="AJ994" s="1392">
        <f>ROUND(IF(AND(AG994="yes",D1000&gt;0),AJ992*0.2,0),0)</f>
        <v>3870575</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42" t="s">
        <v>2236</v>
      </c>
      <c r="E995" s="1543"/>
      <c r="F995" s="1543"/>
      <c r="G995" s="1543"/>
      <c r="H995" s="1543"/>
      <c r="I995" s="1543"/>
      <c r="J995" s="1543"/>
      <c r="K995" s="1543"/>
      <c r="L995" s="1543"/>
      <c r="M995" s="1543"/>
      <c r="N995" s="1543"/>
      <c r="O995" s="1543"/>
      <c r="P995" s="1543"/>
      <c r="Q995" s="1543"/>
      <c r="R995" s="1543"/>
      <c r="S995" s="1543"/>
      <c r="T995" s="1543"/>
      <c r="U995" s="1543"/>
      <c r="V995" s="1543"/>
      <c r="W995" s="1543"/>
      <c r="X995" s="1543"/>
      <c r="Y995" s="1543"/>
      <c r="Z995" s="1543"/>
      <c r="AA995" s="1543"/>
      <c r="AB995" s="1543"/>
      <c r="AC995" s="1543"/>
      <c r="AD995" s="1543"/>
      <c r="AE995" s="1544"/>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42"/>
      <c r="E996" s="1543"/>
      <c r="F996" s="1543"/>
      <c r="G996" s="1543"/>
      <c r="H996" s="1543"/>
      <c r="I996" s="1543"/>
      <c r="J996" s="1543"/>
      <c r="K996" s="1543"/>
      <c r="L996" s="1543"/>
      <c r="M996" s="1543"/>
      <c r="N996" s="1543"/>
      <c r="O996" s="1543"/>
      <c r="P996" s="1543"/>
      <c r="Q996" s="1543"/>
      <c r="R996" s="1543"/>
      <c r="S996" s="1543"/>
      <c r="T996" s="1543"/>
      <c r="U996" s="1543"/>
      <c r="V996" s="1543"/>
      <c r="W996" s="1543"/>
      <c r="X996" s="1543"/>
      <c r="Y996" s="1543"/>
      <c r="Z996" s="1543"/>
      <c r="AA996" s="1543"/>
      <c r="AB996" s="1543"/>
      <c r="AC996" s="1543"/>
      <c r="AD996" s="1543"/>
      <c r="AE996" s="1544"/>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42"/>
      <c r="E997" s="1543"/>
      <c r="F997" s="1543"/>
      <c r="G997" s="1543"/>
      <c r="H997" s="1543"/>
      <c r="I997" s="1543"/>
      <c r="J997" s="1543"/>
      <c r="K997" s="1543"/>
      <c r="L997" s="1543"/>
      <c r="M997" s="1543"/>
      <c r="N997" s="1543"/>
      <c r="O997" s="1543"/>
      <c r="P997" s="1543"/>
      <c r="Q997" s="1543"/>
      <c r="R997" s="1543"/>
      <c r="S997" s="1543"/>
      <c r="T997" s="1543"/>
      <c r="U997" s="1543"/>
      <c r="V997" s="1543"/>
      <c r="W997" s="1543"/>
      <c r="X997" s="1543"/>
      <c r="Y997" s="1543"/>
      <c r="Z997" s="1543"/>
      <c r="AA997" s="1543"/>
      <c r="AB997" s="1543"/>
      <c r="AC997" s="1543"/>
      <c r="AD997" s="1543"/>
      <c r="AE997" s="1544"/>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42"/>
      <c r="E998" s="1543"/>
      <c r="F998" s="1543"/>
      <c r="G998" s="1543"/>
      <c r="H998" s="1543"/>
      <c r="I998" s="1543"/>
      <c r="J998" s="1543"/>
      <c r="K998" s="1543"/>
      <c r="L998" s="1543"/>
      <c r="M998" s="1543"/>
      <c r="N998" s="1543"/>
      <c r="O998" s="1543"/>
      <c r="P998" s="1543"/>
      <c r="Q998" s="1543"/>
      <c r="R998" s="1543"/>
      <c r="S998" s="1543"/>
      <c r="T998" s="1543"/>
      <c r="U998" s="1543"/>
      <c r="V998" s="1543"/>
      <c r="W998" s="1543"/>
      <c r="X998" s="1543"/>
      <c r="Y998" s="1543"/>
      <c r="Z998" s="1543"/>
      <c r="AA998" s="1543"/>
      <c r="AB998" s="1543"/>
      <c r="AC998" s="1543"/>
      <c r="AD998" s="1543"/>
      <c r="AE998" s="1544"/>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5" t="s">
        <v>2206</v>
      </c>
      <c r="E999" s="1546"/>
      <c r="F999" s="1546"/>
      <c r="G999" s="1546"/>
      <c r="H999" s="1546"/>
      <c r="I999" s="1546"/>
      <c r="J999" s="1546"/>
      <c r="K999" s="1546"/>
      <c r="L999" s="1546"/>
      <c r="M999" s="1546"/>
      <c r="N999" s="1546"/>
      <c r="O999" s="1546"/>
      <c r="P999" s="1546"/>
      <c r="Q999" s="1546"/>
      <c r="R999" s="1546"/>
      <c r="S999" s="1546"/>
      <c r="T999" s="1546"/>
      <c r="U999" s="1546"/>
      <c r="V999" s="1546"/>
      <c r="W999" s="1546"/>
      <c r="X999" s="1546"/>
      <c r="Y999" s="1546"/>
      <c r="Z999" s="1546"/>
      <c r="AA999" s="1546"/>
      <c r="AB999" s="1546"/>
      <c r="AC999" s="1546"/>
      <c r="AD999" s="1546"/>
      <c r="AE999" s="1547"/>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2" t="s">
        <v>2728</v>
      </c>
      <c r="E1000" s="1613"/>
      <c r="F1000" s="1613"/>
      <c r="G1000" s="1613"/>
      <c r="H1000" s="1613"/>
      <c r="I1000" s="1613"/>
      <c r="J1000" s="1613"/>
      <c r="K1000" s="1613"/>
      <c r="L1000" s="1613"/>
      <c r="M1000" s="1613"/>
      <c r="N1000" s="1613"/>
      <c r="O1000" s="1613"/>
      <c r="P1000" s="1613"/>
      <c r="Q1000" s="1613"/>
      <c r="R1000" s="1613"/>
      <c r="S1000" s="1613"/>
      <c r="T1000" s="1613"/>
      <c r="U1000" s="1613"/>
      <c r="V1000" s="1613"/>
      <c r="W1000" s="1613"/>
      <c r="X1000" s="1613"/>
      <c r="Y1000" s="1613"/>
      <c r="Z1000" s="1613"/>
      <c r="AA1000" s="1613"/>
      <c r="AB1000" s="1613"/>
      <c r="AC1000" s="1613"/>
      <c r="AD1000" s="1613"/>
      <c r="AE1000" s="1614"/>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7" t="s">
        <v>1286</v>
      </c>
      <c r="E1001" s="1498"/>
      <c r="F1001" s="1498"/>
      <c r="G1001" s="1498"/>
      <c r="H1001" s="1498"/>
      <c r="I1001" s="1498"/>
      <c r="J1001" s="1498"/>
      <c r="K1001" s="1498"/>
      <c r="L1001" s="1498"/>
      <c r="M1001" s="1498"/>
      <c r="N1001" s="1498"/>
      <c r="O1001" s="1498"/>
      <c r="P1001" s="1498"/>
      <c r="Q1001" s="1498"/>
      <c r="R1001" s="1498"/>
      <c r="S1001" s="1498"/>
      <c r="T1001" s="1498"/>
      <c r="U1001" s="1498"/>
      <c r="V1001" s="1498"/>
      <c r="W1001" s="1498"/>
      <c r="X1001" s="1498"/>
      <c r="Y1001" s="1498"/>
      <c r="Z1001" s="1498"/>
      <c r="AA1001" s="1498"/>
      <c r="AB1001" s="1498"/>
      <c r="AC1001" s="1498"/>
      <c r="AD1001" s="1498"/>
      <c r="AE1001" s="1499"/>
      <c r="AF1001" s="79"/>
      <c r="AG1001" s="1505" t="s">
        <v>669</v>
      </c>
      <c r="AH1001" s="1506"/>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42" t="s">
        <v>1284</v>
      </c>
      <c r="E1002" s="1543"/>
      <c r="F1002" s="1543"/>
      <c r="G1002" s="1543"/>
      <c r="H1002" s="1543"/>
      <c r="I1002" s="1543"/>
      <c r="J1002" s="1543"/>
      <c r="K1002" s="1543"/>
      <c r="L1002" s="1543"/>
      <c r="M1002" s="1543"/>
      <c r="N1002" s="1543"/>
      <c r="O1002" s="1543"/>
      <c r="P1002" s="1543"/>
      <c r="Q1002" s="1543"/>
      <c r="R1002" s="1543"/>
      <c r="S1002" s="1543"/>
      <c r="T1002" s="1543"/>
      <c r="U1002" s="1543"/>
      <c r="V1002" s="1543"/>
      <c r="W1002" s="1543"/>
      <c r="X1002" s="1543"/>
      <c r="Y1002" s="1543"/>
      <c r="Z1002" s="1543"/>
      <c r="AA1002" s="1543"/>
      <c r="AB1002" s="1543"/>
      <c r="AC1002" s="1543"/>
      <c r="AD1002" s="1543"/>
      <c r="AE1002" s="1544"/>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42"/>
      <c r="E1003" s="1543"/>
      <c r="F1003" s="1543"/>
      <c r="G1003" s="1543"/>
      <c r="H1003" s="1543"/>
      <c r="I1003" s="1543"/>
      <c r="J1003" s="1543"/>
      <c r="K1003" s="1543"/>
      <c r="L1003" s="1543"/>
      <c r="M1003" s="1543"/>
      <c r="N1003" s="1543"/>
      <c r="O1003" s="1543"/>
      <c r="P1003" s="1543"/>
      <c r="Q1003" s="1543"/>
      <c r="R1003" s="1543"/>
      <c r="S1003" s="1543"/>
      <c r="T1003" s="1543"/>
      <c r="U1003" s="1543"/>
      <c r="V1003" s="1543"/>
      <c r="W1003" s="1543"/>
      <c r="X1003" s="1543"/>
      <c r="Y1003" s="1543"/>
      <c r="Z1003" s="1543"/>
      <c r="AA1003" s="1543"/>
      <c r="AB1003" s="1543"/>
      <c r="AC1003" s="1543"/>
      <c r="AD1003" s="1543"/>
      <c r="AE1003" s="1544"/>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53</v>
      </c>
      <c r="AZ1003" s="34"/>
      <c r="BB1003" s="34"/>
    </row>
    <row r="1004" spans="1:55" ht="12.95" customHeight="1">
      <c r="A1004" s="14"/>
      <c r="B1004" s="257"/>
      <c r="C1004" s="82"/>
      <c r="D1004" s="1542"/>
      <c r="E1004" s="1543"/>
      <c r="F1004" s="1543"/>
      <c r="G1004" s="1543"/>
      <c r="H1004" s="1543"/>
      <c r="I1004" s="1543"/>
      <c r="J1004" s="1543"/>
      <c r="K1004" s="1543"/>
      <c r="L1004" s="1543"/>
      <c r="M1004" s="1543"/>
      <c r="N1004" s="1543"/>
      <c r="O1004" s="1543"/>
      <c r="P1004" s="1543"/>
      <c r="Q1004" s="1543"/>
      <c r="R1004" s="1543"/>
      <c r="S1004" s="1543"/>
      <c r="T1004" s="1543"/>
      <c r="U1004" s="1543"/>
      <c r="V1004" s="1543"/>
      <c r="W1004" s="1543"/>
      <c r="X1004" s="1543"/>
      <c r="Y1004" s="1543"/>
      <c r="Z1004" s="1543"/>
      <c r="AA1004" s="1543"/>
      <c r="AB1004" s="1543"/>
      <c r="AC1004" s="1543"/>
      <c r="AD1004" s="1543"/>
      <c r="AE1004" s="1544"/>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42"/>
      <c r="E1005" s="1543"/>
      <c r="F1005" s="1543"/>
      <c r="G1005" s="1543"/>
      <c r="H1005" s="1543"/>
      <c r="I1005" s="1543"/>
      <c r="J1005" s="1543"/>
      <c r="K1005" s="1543"/>
      <c r="L1005" s="1543"/>
      <c r="M1005" s="1543"/>
      <c r="N1005" s="1543"/>
      <c r="O1005" s="1543"/>
      <c r="P1005" s="1543"/>
      <c r="Q1005" s="1543"/>
      <c r="R1005" s="1543"/>
      <c r="S1005" s="1543"/>
      <c r="T1005" s="1543"/>
      <c r="U1005" s="1543"/>
      <c r="V1005" s="1543"/>
      <c r="W1005" s="1543"/>
      <c r="X1005" s="1543"/>
      <c r="Y1005" s="1543"/>
      <c r="Z1005" s="1543"/>
      <c r="AA1005" s="1543"/>
      <c r="AB1005" s="1543"/>
      <c r="AC1005" s="1543"/>
      <c r="AD1005" s="1543"/>
      <c r="AE1005" s="1544"/>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v>
      </c>
      <c r="AZ1005" s="34"/>
      <c r="BB1005" s="34"/>
    </row>
    <row r="1006" spans="1:55" ht="12.95" customHeight="1">
      <c r="A1006" s="14"/>
      <c r="B1006" s="75"/>
      <c r="C1006" s="76"/>
      <c r="D1006" s="1545"/>
      <c r="E1006" s="1546"/>
      <c r="F1006" s="1546"/>
      <c r="G1006" s="1546"/>
      <c r="H1006" s="1546"/>
      <c r="I1006" s="1546"/>
      <c r="J1006" s="1546"/>
      <c r="K1006" s="1546"/>
      <c r="L1006" s="1546"/>
      <c r="M1006" s="1546"/>
      <c r="N1006" s="1546"/>
      <c r="O1006" s="1546"/>
      <c r="P1006" s="1546"/>
      <c r="Q1006" s="1546"/>
      <c r="R1006" s="1546"/>
      <c r="S1006" s="1546"/>
      <c r="T1006" s="1546"/>
      <c r="U1006" s="1546"/>
      <c r="V1006" s="1546"/>
      <c r="W1006" s="1546"/>
      <c r="X1006" s="1546"/>
      <c r="Y1006" s="1546"/>
      <c r="Z1006" s="1546"/>
      <c r="AA1006" s="1546"/>
      <c r="AB1006" s="1546"/>
      <c r="AC1006" s="1546"/>
      <c r="AD1006" s="1546"/>
      <c r="AE1006" s="1547"/>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1</v>
      </c>
      <c r="AZ1006" s="34"/>
      <c r="BB1006" s="34"/>
    </row>
    <row r="1007" spans="1:55" ht="12.95" customHeight="1">
      <c r="A1007" s="14"/>
      <c r="B1007" s="255"/>
      <c r="C1007" s="80" t="s">
        <v>672</v>
      </c>
      <c r="D1007" s="1497" t="s">
        <v>1683</v>
      </c>
      <c r="E1007" s="1498"/>
      <c r="F1007" s="1498"/>
      <c r="G1007" s="1498"/>
      <c r="H1007" s="1498"/>
      <c r="I1007" s="1498"/>
      <c r="J1007" s="1498"/>
      <c r="K1007" s="1498"/>
      <c r="L1007" s="1498"/>
      <c r="M1007" s="1498"/>
      <c r="N1007" s="1498"/>
      <c r="O1007" s="1498"/>
      <c r="P1007" s="1498"/>
      <c r="Q1007" s="1498"/>
      <c r="R1007" s="1498"/>
      <c r="S1007" s="1498"/>
      <c r="T1007" s="1498"/>
      <c r="U1007" s="1498"/>
      <c r="V1007" s="1498"/>
      <c r="W1007" s="1498"/>
      <c r="X1007" s="1498"/>
      <c r="Y1007" s="1498"/>
      <c r="Z1007" s="1498"/>
      <c r="AA1007" s="1498"/>
      <c r="AB1007" s="1498"/>
      <c r="AC1007" s="1498"/>
      <c r="AD1007" s="1498"/>
      <c r="AE1007" s="1499"/>
      <c r="AF1007" s="86"/>
      <c r="AG1007" s="1505" t="s">
        <v>669</v>
      </c>
      <c r="AH1007" s="1506"/>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10" t="s">
        <v>1285</v>
      </c>
      <c r="E1008" s="1511"/>
      <c r="F1008" s="1511"/>
      <c r="G1008" s="1511"/>
      <c r="H1008" s="1511"/>
      <c r="I1008" s="1511"/>
      <c r="J1008" s="1511"/>
      <c r="K1008" s="1511"/>
      <c r="L1008" s="1511"/>
      <c r="M1008" s="1511"/>
      <c r="N1008" s="1511"/>
      <c r="O1008" s="1511"/>
      <c r="P1008" s="1511"/>
      <c r="Q1008" s="1511"/>
      <c r="R1008" s="1511"/>
      <c r="S1008" s="1511"/>
      <c r="T1008" s="1511"/>
      <c r="U1008" s="1511"/>
      <c r="V1008" s="1511"/>
      <c r="W1008" s="1511"/>
      <c r="X1008" s="1511"/>
      <c r="Y1008" s="1511"/>
      <c r="Z1008" s="1511"/>
      <c r="AA1008" s="1511"/>
      <c r="AB1008" s="1511"/>
      <c r="AC1008" s="1511"/>
      <c r="AD1008" s="1511"/>
      <c r="AE1008" s="1512"/>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10"/>
      <c r="E1009" s="1511"/>
      <c r="F1009" s="1511"/>
      <c r="G1009" s="1511"/>
      <c r="H1009" s="1511"/>
      <c r="I1009" s="1511"/>
      <c r="J1009" s="1511"/>
      <c r="K1009" s="1511"/>
      <c r="L1009" s="1511"/>
      <c r="M1009" s="1511"/>
      <c r="N1009" s="1511"/>
      <c r="O1009" s="1511"/>
      <c r="P1009" s="1511"/>
      <c r="Q1009" s="1511"/>
      <c r="R1009" s="1511"/>
      <c r="S1009" s="1511"/>
      <c r="T1009" s="1511"/>
      <c r="U1009" s="1511"/>
      <c r="V1009" s="1511"/>
      <c r="W1009" s="1511"/>
      <c r="X1009" s="1511"/>
      <c r="Y1009" s="1511"/>
      <c r="Z1009" s="1511"/>
      <c r="AA1009" s="1511"/>
      <c r="AB1009" s="1511"/>
      <c r="AC1009" s="1511"/>
      <c r="AD1009" s="1511"/>
      <c r="AE1009" s="1512"/>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3"/>
      <c r="E1010" s="1514"/>
      <c r="F1010" s="1514"/>
      <c r="G1010" s="1514"/>
      <c r="H1010" s="1514"/>
      <c r="I1010" s="1514"/>
      <c r="J1010" s="1514"/>
      <c r="K1010" s="1514"/>
      <c r="L1010" s="1514"/>
      <c r="M1010" s="1514"/>
      <c r="N1010" s="1514"/>
      <c r="O1010" s="1514"/>
      <c r="P1010" s="1514"/>
      <c r="Q1010" s="1514"/>
      <c r="R1010" s="1514"/>
      <c r="S1010" s="1514"/>
      <c r="T1010" s="1514"/>
      <c r="U1010" s="1514"/>
      <c r="V1010" s="1514"/>
      <c r="W1010" s="1514"/>
      <c r="X1010" s="1514"/>
      <c r="Y1010" s="1514"/>
      <c r="Z1010" s="1514"/>
      <c r="AA1010" s="1514"/>
      <c r="AB1010" s="1514"/>
      <c r="AC1010" s="1514"/>
      <c r="AD1010" s="1514"/>
      <c r="AE1010" s="1515"/>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211</v>
      </c>
      <c r="D1011" s="1497" t="s">
        <v>1287</v>
      </c>
      <c r="E1011" s="1498"/>
      <c r="F1011" s="1498"/>
      <c r="G1011" s="1498"/>
      <c r="H1011" s="1498"/>
      <c r="I1011" s="1498"/>
      <c r="J1011" s="1498"/>
      <c r="K1011" s="1498"/>
      <c r="L1011" s="1498"/>
      <c r="M1011" s="1498"/>
      <c r="N1011" s="1498"/>
      <c r="O1011" s="1498"/>
      <c r="P1011" s="1498"/>
      <c r="Q1011" s="1498"/>
      <c r="R1011" s="1498"/>
      <c r="S1011" s="1498"/>
      <c r="T1011" s="1498"/>
      <c r="U1011" s="1498"/>
      <c r="V1011" s="1498"/>
      <c r="W1011" s="1498"/>
      <c r="X1011" s="1498"/>
      <c r="Y1011" s="1498"/>
      <c r="Z1011" s="1498"/>
      <c r="AA1011" s="1498"/>
      <c r="AB1011" s="1498"/>
      <c r="AC1011" s="1498"/>
      <c r="AD1011" s="1498"/>
      <c r="AE1011" s="1499"/>
      <c r="AF1011" s="79"/>
      <c r="AG1011" s="1505" t="s">
        <v>669</v>
      </c>
      <c r="AH1011" s="1506"/>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3" t="s">
        <v>1288</v>
      </c>
      <c r="E1012" s="1514"/>
      <c r="F1012" s="1514"/>
      <c r="G1012" s="1514"/>
      <c r="H1012" s="1514"/>
      <c r="I1012" s="1514"/>
      <c r="J1012" s="1514"/>
      <c r="K1012" s="1514"/>
      <c r="L1012" s="1514"/>
      <c r="M1012" s="1514"/>
      <c r="N1012" s="1514"/>
      <c r="O1012" s="1514"/>
      <c r="P1012" s="1514"/>
      <c r="Q1012" s="1514"/>
      <c r="R1012" s="1514"/>
      <c r="S1012" s="1514"/>
      <c r="T1012" s="1514"/>
      <c r="U1012" s="1514"/>
      <c r="V1012" s="1514"/>
      <c r="W1012" s="1514"/>
      <c r="X1012" s="1514"/>
      <c r="Y1012" s="1514"/>
      <c r="Z1012" s="1514"/>
      <c r="AA1012" s="1514"/>
      <c r="AB1012" s="1514"/>
      <c r="AC1012" s="1514"/>
      <c r="AD1012" s="1514"/>
      <c r="AE1012" s="1515"/>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1841</v>
      </c>
      <c r="AZ1012" s="3" t="s">
        <v>2608</v>
      </c>
    </row>
    <row r="1013" spans="1:52" ht="12.95" customHeight="1">
      <c r="A1013" s="14"/>
      <c r="B1013" s="79"/>
      <c r="C1013" s="80" t="s">
        <v>214</v>
      </c>
      <c r="D1013" s="1497" t="s">
        <v>1289</v>
      </c>
      <c r="E1013" s="1498"/>
      <c r="F1013" s="1498"/>
      <c r="G1013" s="1498"/>
      <c r="H1013" s="1498"/>
      <c r="I1013" s="1498"/>
      <c r="J1013" s="1498"/>
      <c r="K1013" s="1498"/>
      <c r="L1013" s="1498"/>
      <c r="M1013" s="1498"/>
      <c r="N1013" s="1498"/>
      <c r="O1013" s="1498"/>
      <c r="P1013" s="1498"/>
      <c r="Q1013" s="1498"/>
      <c r="R1013" s="1498"/>
      <c r="S1013" s="1498"/>
      <c r="T1013" s="1498"/>
      <c r="U1013" s="1498"/>
      <c r="V1013" s="1498"/>
      <c r="W1013" s="1498"/>
      <c r="X1013" s="1498"/>
      <c r="Y1013" s="1498"/>
      <c r="Z1013" s="1498"/>
      <c r="AA1013" s="1498"/>
      <c r="AB1013" s="1498"/>
      <c r="AC1013" s="1498"/>
      <c r="AD1013" s="1498"/>
      <c r="AE1013" s="1499"/>
      <c r="AF1013" s="79"/>
      <c r="AG1013" s="1505" t="s">
        <v>669</v>
      </c>
      <c r="AH1013" s="1506"/>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10" t="s">
        <v>1290</v>
      </c>
      <c r="E1014" s="1511"/>
      <c r="F1014" s="1511"/>
      <c r="G1014" s="1511"/>
      <c r="H1014" s="1511"/>
      <c r="I1014" s="1511"/>
      <c r="J1014" s="1511"/>
      <c r="K1014" s="1511"/>
      <c r="L1014" s="1511"/>
      <c r="M1014" s="1511"/>
      <c r="N1014" s="1511"/>
      <c r="O1014" s="1511"/>
      <c r="P1014" s="1511"/>
      <c r="Q1014" s="1511"/>
      <c r="R1014" s="1511"/>
      <c r="S1014" s="1511"/>
      <c r="T1014" s="1511"/>
      <c r="U1014" s="1511"/>
      <c r="V1014" s="1511"/>
      <c r="W1014" s="1511"/>
      <c r="X1014" s="1511"/>
      <c r="Y1014" s="1511"/>
      <c r="Z1014" s="1511"/>
      <c r="AA1014" s="1511"/>
      <c r="AB1014" s="1511"/>
      <c r="AC1014" s="1511"/>
      <c r="AD1014" s="1511"/>
      <c r="AE1014" s="1512"/>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8">IF((_xlfn.XLOOKUP(AX1014,$C$1065:$C$1103,$A$1065:$A$1103,"",0,1))="Yes",AZ1014,0)</f>
        <v>0</v>
      </c>
      <c r="AZ1014" s="1255">
        <v>0.15</v>
      </c>
    </row>
    <row r="1015" spans="1:52" ht="12.95" customHeight="1">
      <c r="A1015" s="14"/>
      <c r="B1015" s="75"/>
      <c r="C1015" s="76"/>
      <c r="D1015" s="1513"/>
      <c r="E1015" s="1514"/>
      <c r="F1015" s="1514"/>
      <c r="G1015" s="1514"/>
      <c r="H1015" s="1514"/>
      <c r="I1015" s="1514"/>
      <c r="J1015" s="1514"/>
      <c r="K1015" s="1514"/>
      <c r="L1015" s="1514"/>
      <c r="M1015" s="1514"/>
      <c r="N1015" s="1514"/>
      <c r="O1015" s="1514"/>
      <c r="P1015" s="1514"/>
      <c r="Q1015" s="1514"/>
      <c r="R1015" s="1514"/>
      <c r="S1015" s="1514"/>
      <c r="T1015" s="1514"/>
      <c r="U1015" s="1514"/>
      <c r="V1015" s="1514"/>
      <c r="W1015" s="1514"/>
      <c r="X1015" s="1514"/>
      <c r="Y1015" s="1514"/>
      <c r="Z1015" s="1514"/>
      <c r="AA1015" s="1514"/>
      <c r="AB1015" s="1514"/>
      <c r="AC1015" s="1514"/>
      <c r="AD1015" s="1514"/>
      <c r="AE1015" s="1515"/>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8"/>
        <v>0</v>
      </c>
      <c r="AZ1015" s="1255">
        <v>0.05</v>
      </c>
    </row>
    <row r="1016" spans="1:52" ht="12.95" customHeight="1">
      <c r="A1016" s="14"/>
      <c r="B1016" s="79"/>
      <c r="C1016" s="80" t="s">
        <v>217</v>
      </c>
      <c r="D1016" s="1507" t="s">
        <v>2237</v>
      </c>
      <c r="E1016" s="1508"/>
      <c r="F1016" s="1508"/>
      <c r="G1016" s="1508"/>
      <c r="H1016" s="1508"/>
      <c r="I1016" s="1508"/>
      <c r="J1016" s="1508"/>
      <c r="K1016" s="1508"/>
      <c r="L1016" s="1508"/>
      <c r="M1016" s="1508"/>
      <c r="N1016" s="1508"/>
      <c r="O1016" s="1508"/>
      <c r="P1016" s="1508"/>
      <c r="Q1016" s="1508"/>
      <c r="R1016" s="1508"/>
      <c r="S1016" s="1508"/>
      <c r="T1016" s="1508"/>
      <c r="U1016" s="1508"/>
      <c r="V1016" s="1508"/>
      <c r="W1016" s="1508"/>
      <c r="X1016" s="1508"/>
      <c r="Y1016" s="1508"/>
      <c r="Z1016" s="1508"/>
      <c r="AA1016" s="1508"/>
      <c r="AB1016" s="1508"/>
      <c r="AC1016" s="1508"/>
      <c r="AD1016" s="1508"/>
      <c r="AE1016" s="1509"/>
      <c r="AF1016" s="79"/>
      <c r="AG1016" s="1505" t="s">
        <v>669</v>
      </c>
      <c r="AH1016" s="1506"/>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8"/>
        <v>0</v>
      </c>
      <c r="AZ1016" s="1255">
        <v>0.02</v>
      </c>
    </row>
    <row r="1017" spans="1:52" ht="12.95" customHeight="1">
      <c r="A1017" s="14"/>
      <c r="B1017" s="73"/>
      <c r="C1017" s="74"/>
      <c r="D1017" s="1510" t="s">
        <v>1291</v>
      </c>
      <c r="E1017" s="1511"/>
      <c r="F1017" s="1511"/>
      <c r="G1017" s="1511"/>
      <c r="H1017" s="1511"/>
      <c r="I1017" s="1511"/>
      <c r="J1017" s="1511"/>
      <c r="K1017" s="1511"/>
      <c r="L1017" s="1511"/>
      <c r="M1017" s="1511"/>
      <c r="N1017" s="1511"/>
      <c r="O1017" s="1511"/>
      <c r="P1017" s="1511"/>
      <c r="Q1017" s="1511"/>
      <c r="R1017" s="1511"/>
      <c r="S1017" s="1511"/>
      <c r="T1017" s="1511"/>
      <c r="U1017" s="1511"/>
      <c r="V1017" s="1511"/>
      <c r="W1017" s="1511"/>
      <c r="X1017" s="1511"/>
      <c r="Y1017" s="1511"/>
      <c r="Z1017" s="1511"/>
      <c r="AA1017" s="1511"/>
      <c r="AB1017" s="1511"/>
      <c r="AC1017" s="1511"/>
      <c r="AD1017" s="1511"/>
      <c r="AE1017" s="1512"/>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8"/>
        <v>0</v>
      </c>
      <c r="AZ1017" s="1255">
        <v>0.04</v>
      </c>
    </row>
    <row r="1018" spans="1:52" ht="12.95" customHeight="1">
      <c r="A1018" s="14"/>
      <c r="B1018" s="73"/>
      <c r="C1018" s="74"/>
      <c r="D1018" s="1510"/>
      <c r="E1018" s="1511"/>
      <c r="F1018" s="1511"/>
      <c r="G1018" s="1511"/>
      <c r="H1018" s="1511"/>
      <c r="I1018" s="1511"/>
      <c r="J1018" s="1511"/>
      <c r="K1018" s="1511"/>
      <c r="L1018" s="1511"/>
      <c r="M1018" s="1511"/>
      <c r="N1018" s="1511"/>
      <c r="O1018" s="1511"/>
      <c r="P1018" s="1511"/>
      <c r="Q1018" s="1511"/>
      <c r="R1018" s="1511"/>
      <c r="S1018" s="1511"/>
      <c r="T1018" s="1511"/>
      <c r="U1018" s="1511"/>
      <c r="V1018" s="1511"/>
      <c r="W1018" s="1511"/>
      <c r="X1018" s="1511"/>
      <c r="Y1018" s="1511"/>
      <c r="Z1018" s="1511"/>
      <c r="AA1018" s="1511"/>
      <c r="AB1018" s="1511"/>
      <c r="AC1018" s="1511"/>
      <c r="AD1018" s="1511"/>
      <c r="AE1018" s="1512"/>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8"/>
        <v>0</v>
      </c>
      <c r="AZ1018" s="1255">
        <v>0.04</v>
      </c>
    </row>
    <row r="1019" spans="1:52" ht="12.95" customHeight="1">
      <c r="A1019" s="14"/>
      <c r="B1019" s="81"/>
      <c r="C1019" s="82"/>
      <c r="D1019" s="1513"/>
      <c r="E1019" s="1514"/>
      <c r="F1019" s="1514"/>
      <c r="G1019" s="1514"/>
      <c r="H1019" s="1514"/>
      <c r="I1019" s="1514"/>
      <c r="J1019" s="1514"/>
      <c r="K1019" s="1514"/>
      <c r="L1019" s="1514"/>
      <c r="M1019" s="1514"/>
      <c r="N1019" s="1514"/>
      <c r="O1019" s="1514"/>
      <c r="P1019" s="1514"/>
      <c r="Q1019" s="1514"/>
      <c r="R1019" s="1514"/>
      <c r="S1019" s="1514"/>
      <c r="T1019" s="1514"/>
      <c r="U1019" s="1514"/>
      <c r="V1019" s="1514"/>
      <c r="W1019" s="1514"/>
      <c r="X1019" s="1514"/>
      <c r="Y1019" s="1514"/>
      <c r="Z1019" s="1514"/>
      <c r="AA1019" s="1514"/>
      <c r="AB1019" s="1514"/>
      <c r="AC1019" s="1514"/>
      <c r="AD1019" s="1514"/>
      <c r="AE1019" s="1515"/>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8"/>
        <v>0</v>
      </c>
      <c r="AZ1019" s="1255">
        <v>0.01</v>
      </c>
    </row>
    <row r="1020" spans="1:52" ht="12.95" customHeight="1">
      <c r="A1020" s="14"/>
      <c r="B1020" s="79"/>
      <c r="C1020" s="80" t="s">
        <v>222</v>
      </c>
      <c r="D1020" s="1524" t="s">
        <v>1292</v>
      </c>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6"/>
      <c r="AF1020" s="79"/>
      <c r="AG1020" s="1505" t="s">
        <v>669</v>
      </c>
      <c r="AH1020" s="1506"/>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8"/>
        <v>0</v>
      </c>
      <c r="AZ1020" s="1255">
        <v>0.01</v>
      </c>
    </row>
    <row r="1021" spans="1:52" ht="12.95" customHeight="1">
      <c r="A1021" s="14"/>
      <c r="B1021" s="81"/>
      <c r="C1021" s="84"/>
      <c r="D1021" s="1527"/>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16" t="str">
        <f>IF(AG1020="yes","Please Select Type and Enter Amount:","")</f>
        <v/>
      </c>
      <c r="AG1021" s="1517"/>
      <c r="AH1021" s="1517"/>
      <c r="AI1021" s="1518"/>
      <c r="AJ1021" s="1395"/>
      <c r="AK1021" s="1396"/>
      <c r="AL1021" s="1396"/>
      <c r="AM1021" s="1396"/>
      <c r="AN1021" s="1396"/>
      <c r="AO1021" s="1396"/>
      <c r="AP1021" s="1396"/>
      <c r="AQ1021" s="1397"/>
      <c r="AR1021" s="68"/>
      <c r="AS1021" s="68"/>
      <c r="AT1021" s="68"/>
      <c r="AU1021" s="68"/>
      <c r="AV1021" s="68"/>
      <c r="AW1021" s="68"/>
      <c r="AX1021" s="3">
        <v>9</v>
      </c>
      <c r="AY1021" s="200">
        <f t="shared" si="58"/>
        <v>0</v>
      </c>
      <c r="AZ1021" s="1255">
        <v>0.01</v>
      </c>
    </row>
    <row r="1022" spans="1:52" ht="12.95" customHeight="1">
      <c r="A1022" s="14"/>
      <c r="B1022" s="81"/>
      <c r="C1022" s="84"/>
      <c r="D1022" s="1510" t="s">
        <v>1293</v>
      </c>
      <c r="E1022" s="1511"/>
      <c r="F1022" s="1511"/>
      <c r="G1022" s="1511"/>
      <c r="H1022" s="1511"/>
      <c r="I1022" s="1511"/>
      <c r="J1022" s="1511"/>
      <c r="K1022" s="1511"/>
      <c r="L1022" s="1511"/>
      <c r="M1022" s="1511"/>
      <c r="N1022" s="1511"/>
      <c r="O1022" s="1511"/>
      <c r="P1022" s="1511"/>
      <c r="Q1022" s="1511"/>
      <c r="R1022" s="1511"/>
      <c r="S1022" s="1511"/>
      <c r="T1022" s="1511"/>
      <c r="U1022" s="1511"/>
      <c r="V1022" s="1511"/>
      <c r="W1022" s="1511"/>
      <c r="X1022" s="1511"/>
      <c r="Y1022" s="1511"/>
      <c r="Z1022" s="1511"/>
      <c r="AA1022" s="1511"/>
      <c r="AB1022" s="1511"/>
      <c r="AC1022" s="1511"/>
      <c r="AD1022" s="1511"/>
      <c r="AE1022" s="1512"/>
      <c r="AF1022" s="1516"/>
      <c r="AG1022" s="1517"/>
      <c r="AH1022" s="1517"/>
      <c r="AI1022" s="1518"/>
      <c r="AJ1022" s="1395"/>
      <c r="AK1022" s="1396"/>
      <c r="AL1022" s="1396"/>
      <c r="AM1022" s="1396"/>
      <c r="AN1022" s="1396"/>
      <c r="AO1022" s="1396"/>
      <c r="AP1022" s="1396"/>
      <c r="AQ1022" s="1397"/>
      <c r="AR1022" s="68"/>
      <c r="AS1022" s="68"/>
      <c r="AT1022" s="68"/>
      <c r="AU1022" s="68"/>
      <c r="AV1022" s="68"/>
      <c r="AW1022" s="68"/>
      <c r="AX1022" s="3">
        <v>10</v>
      </c>
      <c r="AY1022" s="200">
        <f t="shared" si="58"/>
        <v>0</v>
      </c>
      <c r="AZ1022" s="1255">
        <v>0.02</v>
      </c>
    </row>
    <row r="1023" spans="1:52" ht="12.95" customHeight="1">
      <c r="A1023" s="14"/>
      <c r="B1023" s="81"/>
      <c r="C1023" s="84"/>
      <c r="D1023" s="1510"/>
      <c r="E1023" s="1511"/>
      <c r="F1023" s="1511"/>
      <c r="G1023" s="1511"/>
      <c r="H1023" s="1511"/>
      <c r="I1023" s="1511"/>
      <c r="J1023" s="1511"/>
      <c r="K1023" s="1511"/>
      <c r="L1023" s="1511"/>
      <c r="M1023" s="1511"/>
      <c r="N1023" s="1511"/>
      <c r="O1023" s="1511"/>
      <c r="P1023" s="1511"/>
      <c r="Q1023" s="1511"/>
      <c r="R1023" s="1511"/>
      <c r="S1023" s="1511"/>
      <c r="T1023" s="1511"/>
      <c r="U1023" s="1511"/>
      <c r="V1023" s="1511"/>
      <c r="W1023" s="1511"/>
      <c r="X1023" s="1511"/>
      <c r="Y1023" s="1511"/>
      <c r="Z1023" s="1511"/>
      <c r="AA1023" s="1511"/>
      <c r="AB1023" s="1511"/>
      <c r="AC1023" s="1511"/>
      <c r="AD1023" s="1511"/>
      <c r="AE1023" s="1512"/>
      <c r="AF1023" s="1558"/>
      <c r="AG1023" s="1558"/>
      <c r="AH1023" s="1558"/>
      <c r="AI1023" s="1558"/>
      <c r="AJ1023" s="1395"/>
      <c r="AK1023" s="1396"/>
      <c r="AL1023" s="1396"/>
      <c r="AM1023" s="1396"/>
      <c r="AN1023" s="1396"/>
      <c r="AO1023" s="1396"/>
      <c r="AP1023" s="1396"/>
      <c r="AQ1023" s="1397"/>
      <c r="AR1023" s="68"/>
      <c r="AS1023" s="68"/>
      <c r="AT1023" s="68"/>
      <c r="AU1023" s="68"/>
      <c r="AV1023" s="68"/>
      <c r="AW1023" s="68"/>
      <c r="AX1023" s="3">
        <v>11</v>
      </c>
      <c r="AY1023" s="200">
        <f t="shared" si="58"/>
        <v>0</v>
      </c>
      <c r="AZ1023" s="1255">
        <v>0.02</v>
      </c>
    </row>
    <row r="1024" spans="1:52" ht="12.95" customHeight="1">
      <c r="A1024" s="14"/>
      <c r="B1024" s="81"/>
      <c r="C1024" s="84"/>
      <c r="D1024" s="526" t="s">
        <v>358</v>
      </c>
      <c r="E1024" s="90"/>
      <c r="F1024" s="90"/>
      <c r="G1024" s="104"/>
      <c r="H1024" s="104"/>
      <c r="I1024" s="49"/>
      <c r="J1024" s="1488" t="s">
        <v>591</v>
      </c>
      <c r="K1024" s="1489"/>
      <c r="L1024" s="1489"/>
      <c r="M1024" s="1489"/>
      <c r="N1024" s="1489"/>
      <c r="O1024" s="1489"/>
      <c r="P1024" s="1489"/>
      <c r="Q1024" s="1489"/>
      <c r="R1024" s="1489"/>
      <c r="S1024" s="1489"/>
      <c r="T1024" s="1489"/>
      <c r="U1024" s="1489"/>
      <c r="V1024" s="1489"/>
      <c r="W1024" s="1489"/>
      <c r="X1024" s="1489"/>
      <c r="Y1024" s="1489"/>
      <c r="Z1024" s="1489"/>
      <c r="AA1024" s="1489"/>
      <c r="AB1024" s="1489"/>
      <c r="AC1024" s="1489"/>
      <c r="AD1024" s="1489"/>
      <c r="AE1024" s="1490"/>
      <c r="AF1024" s="1558"/>
      <c r="AG1024" s="1558"/>
      <c r="AH1024" s="1558"/>
      <c r="AI1024" s="1558"/>
      <c r="AJ1024" s="1398"/>
      <c r="AK1024" s="1399"/>
      <c r="AL1024" s="1399"/>
      <c r="AM1024" s="1399"/>
      <c r="AN1024" s="1399"/>
      <c r="AO1024" s="1399"/>
      <c r="AP1024" s="1399"/>
      <c r="AQ1024" s="1400"/>
      <c r="AR1024" s="68"/>
      <c r="AS1024" s="68"/>
      <c r="AT1024" s="68"/>
      <c r="AU1024" s="68"/>
      <c r="AV1024" s="68"/>
      <c r="AW1024" s="68"/>
      <c r="AX1024" s="1032" t="s">
        <v>2607</v>
      </c>
      <c r="AY1024" s="201">
        <f>IF(SUM(AY1015:AY1023)&lt;=0.2,SUM(AY1015:AY1023),0.2)</f>
        <v>0</v>
      </c>
    </row>
    <row r="1025" spans="1:57" ht="12.95" customHeight="1">
      <c r="A1025" s="14"/>
      <c r="B1025" s="79"/>
      <c r="C1025" s="80" t="s">
        <v>228</v>
      </c>
      <c r="D1025" s="1497" t="s">
        <v>1294</v>
      </c>
      <c r="E1025" s="1498"/>
      <c r="F1025" s="1498"/>
      <c r="G1025" s="1498"/>
      <c r="H1025" s="1498"/>
      <c r="I1025" s="1498"/>
      <c r="J1025" s="1498"/>
      <c r="K1025" s="1498"/>
      <c r="L1025" s="1498"/>
      <c r="M1025" s="1498"/>
      <c r="N1025" s="1498"/>
      <c r="O1025" s="1498"/>
      <c r="P1025" s="1498"/>
      <c r="Q1025" s="1498"/>
      <c r="R1025" s="1498"/>
      <c r="S1025" s="1498"/>
      <c r="T1025" s="1498"/>
      <c r="U1025" s="1498"/>
      <c r="V1025" s="1498"/>
      <c r="W1025" s="1498"/>
      <c r="X1025" s="1498"/>
      <c r="Y1025" s="1498"/>
      <c r="Z1025" s="1498"/>
      <c r="AA1025" s="1498"/>
      <c r="AB1025" s="1498"/>
      <c r="AC1025" s="1498"/>
      <c r="AD1025" s="1498"/>
      <c r="AE1025" s="1499"/>
      <c r="AF1025" s="79"/>
      <c r="AG1025" s="1505" t="s">
        <v>545</v>
      </c>
      <c r="AH1025" s="1506"/>
      <c r="AI1025" s="87"/>
      <c r="AJ1025" s="1392">
        <f>ROUND(IF(AG1025="Yes",AF1027,0),0)</f>
        <v>1203349</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10" t="s">
        <v>1690</v>
      </c>
      <c r="E1026" s="1511"/>
      <c r="F1026" s="1511"/>
      <c r="G1026" s="1511"/>
      <c r="H1026" s="1511"/>
      <c r="I1026" s="1511"/>
      <c r="J1026" s="1511"/>
      <c r="K1026" s="1511"/>
      <c r="L1026" s="1511"/>
      <c r="M1026" s="1511"/>
      <c r="N1026" s="1511"/>
      <c r="O1026" s="1511"/>
      <c r="P1026" s="1511"/>
      <c r="Q1026" s="1511"/>
      <c r="R1026" s="1511"/>
      <c r="S1026" s="1511"/>
      <c r="T1026" s="1511"/>
      <c r="U1026" s="1511"/>
      <c r="V1026" s="1511"/>
      <c r="W1026" s="1511"/>
      <c r="X1026" s="1511"/>
      <c r="Y1026" s="1511"/>
      <c r="Z1026" s="1511"/>
      <c r="AA1026" s="1511"/>
      <c r="AB1026" s="1511"/>
      <c r="AC1026" s="1511"/>
      <c r="AD1026" s="1511"/>
      <c r="AE1026" s="1512"/>
      <c r="AF1026" s="1530" t="str">
        <f>IF(AG1025="yes","Enter Amount:","")</f>
        <v>Enter Amount:</v>
      </c>
      <c r="AG1026" s="1531"/>
      <c r="AH1026" s="1531"/>
      <c r="AI1026" s="1532"/>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10"/>
      <c r="E1027" s="1511"/>
      <c r="F1027" s="1511"/>
      <c r="G1027" s="1511"/>
      <c r="H1027" s="1511"/>
      <c r="I1027" s="1511"/>
      <c r="J1027" s="1511"/>
      <c r="K1027" s="1511"/>
      <c r="L1027" s="1511"/>
      <c r="M1027" s="1511"/>
      <c r="N1027" s="1511"/>
      <c r="O1027" s="1511"/>
      <c r="P1027" s="1511"/>
      <c r="Q1027" s="1511"/>
      <c r="R1027" s="1511"/>
      <c r="S1027" s="1511"/>
      <c r="T1027" s="1511"/>
      <c r="U1027" s="1511"/>
      <c r="V1027" s="1511"/>
      <c r="W1027" s="1511"/>
      <c r="X1027" s="1511"/>
      <c r="Y1027" s="1511"/>
      <c r="Z1027" s="1511"/>
      <c r="AA1027" s="1511"/>
      <c r="AB1027" s="1511"/>
      <c r="AC1027" s="1511"/>
      <c r="AD1027" s="1511"/>
      <c r="AE1027" s="1512"/>
      <c r="AF1027" s="1558">
        <f>'Sources and Uses Budget'!C85-416034</f>
        <v>1203349</v>
      </c>
      <c r="AG1027" s="1558"/>
      <c r="AH1027" s="1558"/>
      <c r="AI1027" s="1558"/>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3"/>
      <c r="E1028" s="1514"/>
      <c r="F1028" s="1514"/>
      <c r="G1028" s="1514"/>
      <c r="H1028" s="1514"/>
      <c r="I1028" s="1514"/>
      <c r="J1028" s="1514"/>
      <c r="K1028" s="1514"/>
      <c r="L1028" s="1514"/>
      <c r="M1028" s="1514"/>
      <c r="N1028" s="1514"/>
      <c r="O1028" s="1514"/>
      <c r="P1028" s="1514"/>
      <c r="Q1028" s="1514"/>
      <c r="R1028" s="1514"/>
      <c r="S1028" s="1514"/>
      <c r="T1028" s="1514"/>
      <c r="U1028" s="1514"/>
      <c r="V1028" s="1514"/>
      <c r="W1028" s="1514"/>
      <c r="X1028" s="1514"/>
      <c r="Y1028" s="1514"/>
      <c r="Z1028" s="1514"/>
      <c r="AA1028" s="1514"/>
      <c r="AB1028" s="1514"/>
      <c r="AC1028" s="1514"/>
      <c r="AD1028" s="1514"/>
      <c r="AE1028" s="1515"/>
      <c r="AF1028" s="1558"/>
      <c r="AG1028" s="1558"/>
      <c r="AH1028" s="1558"/>
      <c r="AI1028" s="1558"/>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233</v>
      </c>
      <c r="D1029" s="1507" t="s">
        <v>1295</v>
      </c>
      <c r="E1029" s="1508"/>
      <c r="F1029" s="1508"/>
      <c r="G1029" s="1508"/>
      <c r="H1029" s="1508"/>
      <c r="I1029" s="1508"/>
      <c r="J1029" s="1508"/>
      <c r="K1029" s="1508"/>
      <c r="L1029" s="1508"/>
      <c r="M1029" s="1508"/>
      <c r="N1029" s="1508"/>
      <c r="O1029" s="1508"/>
      <c r="P1029" s="1508"/>
      <c r="Q1029" s="1508"/>
      <c r="R1029" s="1508"/>
      <c r="S1029" s="1508"/>
      <c r="T1029" s="1508"/>
      <c r="U1029" s="1508"/>
      <c r="V1029" s="1508"/>
      <c r="W1029" s="1508"/>
      <c r="X1029" s="1508"/>
      <c r="Y1029" s="1508"/>
      <c r="Z1029" s="1508"/>
      <c r="AA1029" s="1508"/>
      <c r="AB1029" s="1508"/>
      <c r="AC1029" s="1508"/>
      <c r="AD1029" s="1508"/>
      <c r="AE1029" s="1509"/>
      <c r="AF1029" s="79"/>
      <c r="AG1029" s="1505" t="s">
        <v>545</v>
      </c>
      <c r="AH1029" s="1506"/>
      <c r="AI1029" s="87"/>
      <c r="AJ1029" s="1392">
        <f>ROUND(IF(AG1029="yes",(AJ992*0.1),0),0)</f>
        <v>1935288</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10" t="s">
        <v>1296</v>
      </c>
      <c r="E1030" s="1511"/>
      <c r="F1030" s="1511"/>
      <c r="G1030" s="1511"/>
      <c r="H1030" s="1511"/>
      <c r="I1030" s="1511"/>
      <c r="J1030" s="1511"/>
      <c r="K1030" s="1511"/>
      <c r="L1030" s="1511"/>
      <c r="M1030" s="1511"/>
      <c r="N1030" s="1511"/>
      <c r="O1030" s="1511"/>
      <c r="P1030" s="1511"/>
      <c r="Q1030" s="1511"/>
      <c r="R1030" s="1511"/>
      <c r="S1030" s="1511"/>
      <c r="T1030" s="1511"/>
      <c r="U1030" s="1511"/>
      <c r="V1030" s="1511"/>
      <c r="W1030" s="1511"/>
      <c r="X1030" s="1511"/>
      <c r="Y1030" s="1511"/>
      <c r="Z1030" s="1511"/>
      <c r="AA1030" s="1511"/>
      <c r="AB1030" s="1511"/>
      <c r="AC1030" s="1511"/>
      <c r="AD1030" s="1511"/>
      <c r="AE1030" s="1512"/>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3"/>
      <c r="E1031" s="1514"/>
      <c r="F1031" s="1514"/>
      <c r="G1031" s="1514"/>
      <c r="H1031" s="1514"/>
      <c r="I1031" s="1514"/>
      <c r="J1031" s="1514"/>
      <c r="K1031" s="1514"/>
      <c r="L1031" s="1514"/>
      <c r="M1031" s="1514"/>
      <c r="N1031" s="1514"/>
      <c r="O1031" s="1514"/>
      <c r="P1031" s="1514"/>
      <c r="Q1031" s="1514"/>
      <c r="R1031" s="1514"/>
      <c r="S1031" s="1514"/>
      <c r="T1031" s="1514"/>
      <c r="U1031" s="1514"/>
      <c r="V1031" s="1514"/>
      <c r="W1031" s="1514"/>
      <c r="X1031" s="1514"/>
      <c r="Y1031" s="1514"/>
      <c r="Z1031" s="1514"/>
      <c r="AA1031" s="1514"/>
      <c r="AB1031" s="1514"/>
      <c r="AC1031" s="1514"/>
      <c r="AD1031" s="1514"/>
      <c r="AE1031" s="1515"/>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687</v>
      </c>
      <c r="D1032" s="1497" t="s">
        <v>1686</v>
      </c>
      <c r="E1032" s="1498"/>
      <c r="F1032" s="1498"/>
      <c r="G1032" s="1498"/>
      <c r="H1032" s="1498"/>
      <c r="I1032" s="1498"/>
      <c r="J1032" s="1498"/>
      <c r="K1032" s="1498"/>
      <c r="L1032" s="1498"/>
      <c r="M1032" s="1498"/>
      <c r="N1032" s="1498"/>
      <c r="O1032" s="1498"/>
      <c r="P1032" s="1498"/>
      <c r="Q1032" s="1498"/>
      <c r="R1032" s="1498"/>
      <c r="S1032" s="1498"/>
      <c r="T1032" s="1498"/>
      <c r="U1032" s="1498"/>
      <c r="V1032" s="1498"/>
      <c r="W1032" s="1498"/>
      <c r="X1032" s="1498"/>
      <c r="Y1032" s="1498"/>
      <c r="Z1032" s="1498"/>
      <c r="AA1032" s="1498"/>
      <c r="AB1032" s="1498"/>
      <c r="AC1032" s="1498"/>
      <c r="AD1032" s="1498"/>
      <c r="AE1032" s="1499"/>
      <c r="AF1032" s="79"/>
      <c r="AG1032" s="1505" t="s">
        <v>669</v>
      </c>
      <c r="AH1032" s="1506"/>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9"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20"/>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9"/>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20"/>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21"/>
      <c r="E1035" s="1522"/>
      <c r="F1035" s="1522"/>
      <c r="G1035" s="1522"/>
      <c r="H1035" s="1522"/>
      <c r="I1035" s="1522"/>
      <c r="J1035" s="1522"/>
      <c r="K1035" s="1522"/>
      <c r="L1035" s="1522"/>
      <c r="M1035" s="1522"/>
      <c r="N1035" s="1522"/>
      <c r="O1035" s="1522"/>
      <c r="P1035" s="1522"/>
      <c r="Q1035" s="1522"/>
      <c r="R1035" s="1522"/>
      <c r="S1035" s="1522"/>
      <c r="T1035" s="1522"/>
      <c r="U1035" s="1522"/>
      <c r="V1035" s="1522"/>
      <c r="W1035" s="1522"/>
      <c r="X1035" s="1522"/>
      <c r="Y1035" s="1522"/>
      <c r="Z1035" s="1522"/>
      <c r="AA1035" s="1522"/>
      <c r="AB1035" s="1522"/>
      <c r="AC1035" s="1522"/>
      <c r="AD1035" s="1522"/>
      <c r="AE1035" s="1523"/>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687</v>
      </c>
      <c r="D1036" s="1507" t="s">
        <v>1688</v>
      </c>
      <c r="E1036" s="1508"/>
      <c r="F1036" s="1508"/>
      <c r="G1036" s="1508"/>
      <c r="H1036" s="1508"/>
      <c r="I1036" s="1508"/>
      <c r="J1036" s="1508"/>
      <c r="K1036" s="1508"/>
      <c r="L1036" s="1508"/>
      <c r="M1036" s="1508"/>
      <c r="N1036" s="1508"/>
      <c r="O1036" s="1508"/>
      <c r="P1036" s="1508"/>
      <c r="Q1036" s="1508"/>
      <c r="R1036" s="1508"/>
      <c r="S1036" s="1508"/>
      <c r="T1036" s="1508"/>
      <c r="U1036" s="1508"/>
      <c r="V1036" s="1508"/>
      <c r="W1036" s="1508"/>
      <c r="X1036" s="1508"/>
      <c r="Y1036" s="1508"/>
      <c r="Z1036" s="1508"/>
      <c r="AA1036" s="1508"/>
      <c r="AB1036" s="1508"/>
      <c r="AC1036" s="1508"/>
      <c r="AD1036" s="1508"/>
      <c r="AE1036" s="1509"/>
      <c r="AF1036" s="73"/>
      <c r="AG1036" s="1584" t="s">
        <v>669</v>
      </c>
      <c r="AH1036" s="1585"/>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9"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20"/>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9"/>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20"/>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9"/>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20"/>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1</v>
      </c>
      <c r="BB1039" s="3" t="s">
        <v>2494</v>
      </c>
    </row>
    <row r="1040" spans="1:57" ht="12.95" customHeight="1">
      <c r="A1040" s="14"/>
      <c r="B1040" s="73"/>
      <c r="C1040" s="74"/>
      <c r="D1040" s="1521"/>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7" t="s">
        <v>1297</v>
      </c>
      <c r="E1041" s="1498"/>
      <c r="F1041" s="1498"/>
      <c r="G1041" s="1498"/>
      <c r="H1041" s="1498"/>
      <c r="I1041" s="1498"/>
      <c r="J1041" s="1498"/>
      <c r="K1041" s="1498"/>
      <c r="L1041" s="1498"/>
      <c r="M1041" s="1498"/>
      <c r="N1041" s="1498"/>
      <c r="O1041" s="1498"/>
      <c r="P1041" s="1498"/>
      <c r="Q1041" s="1498"/>
      <c r="R1041" s="1498"/>
      <c r="S1041" s="1498"/>
      <c r="T1041" s="1498"/>
      <c r="U1041" s="1498"/>
      <c r="V1041" s="1498"/>
      <c r="W1041" s="1498"/>
      <c r="X1041" s="1498"/>
      <c r="Y1041" s="1498"/>
      <c r="Z1041" s="1498"/>
      <c r="AA1041" s="1498"/>
      <c r="AB1041" s="1498"/>
      <c r="AC1041" s="1498"/>
      <c r="AD1041" s="1498"/>
      <c r="AE1041" s="1499"/>
      <c r="AF1041" s="79"/>
      <c r="AG1041" s="1505" t="s">
        <v>669</v>
      </c>
      <c r="AH1041" s="1506"/>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27</v>
      </c>
      <c r="BB1041" s="3" t="s">
        <v>2492</v>
      </c>
    </row>
    <row r="1042" spans="1:56" ht="12.95" customHeight="1">
      <c r="A1042" s="14"/>
      <c r="B1042" s="73"/>
      <c r="C1042" s="74"/>
      <c r="D1042" s="1510" t="s">
        <v>2145</v>
      </c>
      <c r="E1042" s="1511"/>
      <c r="F1042" s="1511"/>
      <c r="G1042" s="1511"/>
      <c r="H1042" s="1511"/>
      <c r="I1042" s="1511"/>
      <c r="J1042" s="1511"/>
      <c r="K1042" s="1511"/>
      <c r="L1042" s="1511"/>
      <c r="M1042" s="1511"/>
      <c r="N1042" s="1511"/>
      <c r="O1042" s="1511"/>
      <c r="P1042" s="1511"/>
      <c r="Q1042" s="1511"/>
      <c r="R1042" s="1511"/>
      <c r="S1042" s="1511"/>
      <c r="T1042" s="1511"/>
      <c r="U1042" s="1511"/>
      <c r="V1042" s="1511"/>
      <c r="W1042" s="1511"/>
      <c r="X1042" s="1511"/>
      <c r="Y1042" s="1511"/>
      <c r="Z1042" s="1511"/>
      <c r="AA1042" s="1511"/>
      <c r="AB1042" s="1511"/>
      <c r="AC1042" s="1511"/>
      <c r="AD1042" s="1511"/>
      <c r="AE1042" s="1512"/>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0.50943396226415094</v>
      </c>
      <c r="BB1042" s="3" t="s">
        <v>2493</v>
      </c>
    </row>
    <row r="1043" spans="1:56" ht="12.95" customHeight="1">
      <c r="A1043" s="14"/>
      <c r="B1043" s="73"/>
      <c r="C1043" s="74"/>
      <c r="D1043" s="1510"/>
      <c r="E1043" s="1511"/>
      <c r="F1043" s="1511"/>
      <c r="G1043" s="1511"/>
      <c r="H1043" s="1511"/>
      <c r="I1043" s="1511"/>
      <c r="J1043" s="1511"/>
      <c r="K1043" s="1511"/>
      <c r="L1043" s="1511"/>
      <c r="M1043" s="1511"/>
      <c r="N1043" s="1511"/>
      <c r="O1043" s="1511"/>
      <c r="P1043" s="1511"/>
      <c r="Q1043" s="1511"/>
      <c r="R1043" s="1511"/>
      <c r="S1043" s="1511"/>
      <c r="T1043" s="1511"/>
      <c r="U1043" s="1511"/>
      <c r="V1043" s="1511"/>
      <c r="W1043" s="1511"/>
      <c r="X1043" s="1511"/>
      <c r="Y1043" s="1511"/>
      <c r="Z1043" s="1511"/>
      <c r="AA1043" s="1511"/>
      <c r="AB1043" s="1511"/>
      <c r="AC1043" s="1511"/>
      <c r="AD1043" s="1511"/>
      <c r="AE1043" s="1512"/>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3"/>
      <c r="E1044" s="1514"/>
      <c r="F1044" s="1514"/>
      <c r="G1044" s="1514"/>
      <c r="H1044" s="1514"/>
      <c r="I1044" s="1514"/>
      <c r="J1044" s="1514"/>
      <c r="K1044" s="1514"/>
      <c r="L1044" s="1514"/>
      <c r="M1044" s="1514"/>
      <c r="N1044" s="1514"/>
      <c r="O1044" s="1514"/>
      <c r="P1044" s="1514"/>
      <c r="Q1044" s="1514"/>
      <c r="R1044" s="1514"/>
      <c r="S1044" s="1514"/>
      <c r="T1044" s="1514"/>
      <c r="U1044" s="1514"/>
      <c r="V1044" s="1514"/>
      <c r="W1044" s="1514"/>
      <c r="X1044" s="1514"/>
      <c r="Y1044" s="1514"/>
      <c r="Z1044" s="1514"/>
      <c r="AA1044" s="1514"/>
      <c r="AB1044" s="1514"/>
      <c r="AC1044" s="1514"/>
      <c r="AD1044" s="1514"/>
      <c r="AE1044" s="1515"/>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1684</v>
      </c>
      <c r="D1045" s="1507" t="s">
        <v>1865</v>
      </c>
      <c r="E1045" s="1508"/>
      <c r="F1045" s="1508"/>
      <c r="G1045" s="1508"/>
      <c r="H1045" s="1508"/>
      <c r="I1045" s="1508"/>
      <c r="J1045" s="1508"/>
      <c r="K1045" s="1508"/>
      <c r="L1045" s="1508"/>
      <c r="M1045" s="1508"/>
      <c r="N1045" s="1508"/>
      <c r="O1045" s="1508"/>
      <c r="P1045" s="1508"/>
      <c r="Q1045" s="1508"/>
      <c r="R1045" s="1508"/>
      <c r="S1045" s="1508"/>
      <c r="T1045" s="1508"/>
      <c r="U1045" s="1508"/>
      <c r="V1045" s="1508"/>
      <c r="W1045" s="1508"/>
      <c r="X1045" s="1508"/>
      <c r="Y1045" s="1508"/>
      <c r="Z1045" s="1508"/>
      <c r="AA1045" s="1508"/>
      <c r="AB1045" s="1508"/>
      <c r="AC1045" s="1508"/>
      <c r="AD1045" s="1508"/>
      <c r="AE1045" s="1509"/>
      <c r="AF1045" s="79"/>
      <c r="AG1045" s="1574" t="str">
        <f>IF(X1048&gt;0,"Yes","No")</f>
        <v>No</v>
      </c>
      <c r="AH1045" s="1575"/>
      <c r="AI1045" s="87"/>
      <c r="AJ1045" s="1392">
        <f>IF((X1048=0),0,AY1005*AJ992)</f>
        <v>0</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10" t="s">
        <v>1299</v>
      </c>
      <c r="E1046" s="1511"/>
      <c r="F1046" s="1511"/>
      <c r="G1046" s="1511"/>
      <c r="H1046" s="1511"/>
      <c r="I1046" s="1511"/>
      <c r="J1046" s="1511"/>
      <c r="K1046" s="1511"/>
      <c r="L1046" s="1511"/>
      <c r="M1046" s="1511"/>
      <c r="N1046" s="1511"/>
      <c r="O1046" s="1511"/>
      <c r="P1046" s="1511"/>
      <c r="Q1046" s="1511"/>
      <c r="R1046" s="1511"/>
      <c r="S1046" s="1511"/>
      <c r="T1046" s="1511"/>
      <c r="U1046" s="1511"/>
      <c r="V1046" s="1511"/>
      <c r="W1046" s="1511"/>
      <c r="X1046" s="1511"/>
      <c r="Y1046" s="1511"/>
      <c r="Z1046" s="1511"/>
      <c r="AA1046" s="1511"/>
      <c r="AB1046" s="1511"/>
      <c r="AC1046" s="1511"/>
      <c r="AD1046" s="1511"/>
      <c r="AE1046" s="1512"/>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4670289.5999999996</v>
      </c>
      <c r="BA1046" s="1182">
        <f>IF(BA1040,20%,15%)</f>
        <v>0.15</v>
      </c>
      <c r="BB1046" s="3" t="s">
        <v>2480</v>
      </c>
      <c r="BC1046" s="3" t="s">
        <v>2481</v>
      </c>
      <c r="BD1046" s="3"/>
    </row>
    <row r="1047" spans="1:56" ht="12.95" customHeight="1">
      <c r="A1047" s="14"/>
      <c r="B1047" s="73"/>
      <c r="C1047" s="442"/>
      <c r="D1047" s="1510"/>
      <c r="E1047" s="1511"/>
      <c r="F1047" s="1511"/>
      <c r="G1047" s="1511"/>
      <c r="H1047" s="1511"/>
      <c r="I1047" s="1511"/>
      <c r="J1047" s="1511"/>
      <c r="K1047" s="1511"/>
      <c r="L1047" s="1511"/>
      <c r="M1047" s="1511"/>
      <c r="N1047" s="1511"/>
      <c r="O1047" s="1511"/>
      <c r="P1047" s="1511"/>
      <c r="Q1047" s="1511"/>
      <c r="R1047" s="1511"/>
      <c r="S1047" s="1511"/>
      <c r="T1047" s="1511"/>
      <c r="U1047" s="1511"/>
      <c r="V1047" s="1511"/>
      <c r="W1047" s="1511"/>
      <c r="X1047" s="1511"/>
      <c r="Y1047" s="1511"/>
      <c r="Z1047" s="1511"/>
      <c r="AA1047" s="1511"/>
      <c r="AB1047" s="1511"/>
      <c r="AC1047" s="1511"/>
      <c r="AD1047" s="1511"/>
      <c r="AE1047" s="1512"/>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2">
        <f>AY1003</f>
        <v>53</v>
      </c>
      <c r="J1048" s="1573"/>
      <c r="K1048" s="7"/>
      <c r="L1048" s="133"/>
      <c r="M1048" s="133"/>
      <c r="N1048" s="133"/>
      <c r="O1048" s="133"/>
      <c r="P1048" s="133"/>
      <c r="Q1048" s="133"/>
      <c r="R1048" s="133"/>
      <c r="S1048" s="133"/>
      <c r="T1048" s="133"/>
      <c r="U1048" s="133"/>
      <c r="V1048" s="134" t="s">
        <v>973</v>
      </c>
      <c r="W1048" s="48"/>
      <c r="X1048" s="1570">
        <f>CI753</f>
        <v>0</v>
      </c>
      <c r="Y1048" s="1571"/>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497" t="s">
        <v>2171</v>
      </c>
      <c r="E1049" s="1498"/>
      <c r="F1049" s="1498"/>
      <c r="G1049" s="1498"/>
      <c r="H1049" s="1498"/>
      <c r="I1049" s="1498"/>
      <c r="J1049" s="1498"/>
      <c r="K1049" s="1498"/>
      <c r="L1049" s="1498"/>
      <c r="M1049" s="1498"/>
      <c r="N1049" s="1498"/>
      <c r="O1049" s="1498"/>
      <c r="P1049" s="1498"/>
      <c r="Q1049" s="1498"/>
      <c r="R1049" s="1498"/>
      <c r="S1049" s="1498"/>
      <c r="T1049" s="1498"/>
      <c r="U1049" s="1498"/>
      <c r="V1049" s="1498"/>
      <c r="W1049" s="1498"/>
      <c r="X1049" s="1498"/>
      <c r="Y1049" s="1498"/>
      <c r="Z1049" s="1498"/>
      <c r="AA1049" s="1498"/>
      <c r="AB1049" s="1498"/>
      <c r="AC1049" s="1498"/>
      <c r="AD1049" s="1498"/>
      <c r="AE1049" s="1499"/>
      <c r="AF1049" s="73"/>
      <c r="AG1049" s="1574" t="str">
        <f>IF(X1052&gt;0,"Yes","No")</f>
        <v>Yes</v>
      </c>
      <c r="AH1049" s="1575"/>
      <c r="AI1049" s="83"/>
      <c r="AJ1049" s="1392">
        <f>IF((X1052=0),0,(2*AY1006)*AJ992)</f>
        <v>38705752</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10" t="s">
        <v>1298</v>
      </c>
      <c r="E1050" s="1511"/>
      <c r="F1050" s="1511"/>
      <c r="G1050" s="1511"/>
      <c r="H1050" s="1511"/>
      <c r="I1050" s="1511"/>
      <c r="J1050" s="1511"/>
      <c r="K1050" s="1511"/>
      <c r="L1050" s="1511"/>
      <c r="M1050" s="1511"/>
      <c r="N1050" s="1511"/>
      <c r="O1050" s="1511"/>
      <c r="P1050" s="1511"/>
      <c r="Q1050" s="1511"/>
      <c r="R1050" s="1511"/>
      <c r="S1050" s="1511"/>
      <c r="T1050" s="1511"/>
      <c r="U1050" s="1511"/>
      <c r="V1050" s="1511"/>
      <c r="W1050" s="1511"/>
      <c r="X1050" s="1511"/>
      <c r="Y1050" s="1511"/>
      <c r="Z1050" s="1511"/>
      <c r="AA1050" s="1511"/>
      <c r="AB1050" s="1511"/>
      <c r="AC1050" s="1511"/>
      <c r="AD1050" s="1511"/>
      <c r="AE1050" s="1512"/>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10"/>
      <c r="E1051" s="1511"/>
      <c r="F1051" s="1511"/>
      <c r="G1051" s="1511"/>
      <c r="H1051" s="1511"/>
      <c r="I1051" s="1511"/>
      <c r="J1051" s="1511"/>
      <c r="K1051" s="1511"/>
      <c r="L1051" s="1511"/>
      <c r="M1051" s="1511"/>
      <c r="N1051" s="1511"/>
      <c r="O1051" s="1511"/>
      <c r="P1051" s="1511"/>
      <c r="Q1051" s="1511"/>
      <c r="R1051" s="1511"/>
      <c r="S1051" s="1511"/>
      <c r="T1051" s="1511"/>
      <c r="U1051" s="1511"/>
      <c r="V1051" s="1511"/>
      <c r="W1051" s="1511"/>
      <c r="X1051" s="1511"/>
      <c r="Y1051" s="1511"/>
      <c r="Z1051" s="1511"/>
      <c r="AA1051" s="1511"/>
      <c r="AB1051" s="1511"/>
      <c r="AC1051" s="1511"/>
      <c r="AD1051" s="1511"/>
      <c r="AE1051" s="1512"/>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2">
        <f>AY1003</f>
        <v>53</v>
      </c>
      <c r="J1052" s="1573"/>
      <c r="K1052" s="14"/>
      <c r="L1052" s="133"/>
      <c r="M1052" s="133"/>
      <c r="N1052" s="133"/>
      <c r="O1052" s="133"/>
      <c r="P1052" s="133"/>
      <c r="Q1052" s="133"/>
      <c r="R1052" s="133"/>
      <c r="S1052" s="133"/>
      <c r="T1052" s="133"/>
      <c r="U1052" s="133"/>
      <c r="V1052" s="134" t="s">
        <v>974</v>
      </c>
      <c r="X1052" s="1570">
        <f>CM753</f>
        <v>53</v>
      </c>
      <c r="Y1052" s="1571"/>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8" t="s">
        <v>513</v>
      </c>
      <c r="E1053" s="1568"/>
      <c r="F1053" s="1568"/>
      <c r="G1053" s="1568"/>
      <c r="H1053" s="1568"/>
      <c r="I1053" s="1568"/>
      <c r="J1053" s="1568"/>
      <c r="K1053" s="1568"/>
      <c r="L1053" s="1568"/>
      <c r="M1053" s="1568"/>
      <c r="N1053" s="1568"/>
      <c r="O1053" s="1568"/>
      <c r="P1053" s="1568"/>
      <c r="Q1053" s="1568"/>
      <c r="R1053" s="1568"/>
      <c r="S1053" s="1568"/>
      <c r="T1053" s="1568"/>
      <c r="U1053" s="1568"/>
      <c r="V1053" s="1568"/>
      <c r="W1053" s="1568"/>
      <c r="X1053" s="1568"/>
      <c r="Y1053" s="1568"/>
      <c r="Z1053" s="1568"/>
      <c r="AA1053" s="1568"/>
      <c r="AB1053" s="1568"/>
      <c r="AC1053" s="1568"/>
      <c r="AD1053" s="1568"/>
      <c r="AE1053" s="1568"/>
      <c r="AF1053" s="1568"/>
      <c r="AG1053" s="1568"/>
      <c r="AH1053" s="1568"/>
      <c r="AI1053" s="1569"/>
      <c r="AJ1053" s="1581">
        <f>SUM(AJ992:AQ1052)</f>
        <v>65067840</v>
      </c>
      <c r="AK1053" s="1582"/>
      <c r="AL1053" s="1582"/>
      <c r="AM1053" s="1582"/>
      <c r="AN1053" s="1582"/>
      <c r="AO1053" s="1582"/>
      <c r="AP1053" s="1582"/>
      <c r="AQ1053" s="1583"/>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6">
        <f>'Sources and Uses Budget'!S107+'Sources and Uses Budget'!T107</f>
        <v>35805553</v>
      </c>
      <c r="AB1056" s="1856"/>
      <c r="AC1056" s="1856"/>
      <c r="AD1056" s="1856"/>
      <c r="AE1056" s="1856"/>
      <c r="AF1056" s="1856"/>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4670289.5999999996</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7">
        <f>IFERROR((AA1056-BA1059)/(AJ1053-AJ1045-AJ1049),"")</f>
        <v>1.2758952932711551</v>
      </c>
      <c r="AB1057" s="1858"/>
      <c r="AC1057" s="1858"/>
      <c r="AD1057" s="1858"/>
      <c r="AE1057" s="1858"/>
      <c r="AF1057" s="1859"/>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0"/>
      <c r="I1058" s="1860"/>
      <c r="J1058" s="1860"/>
      <c r="K1058" s="1860"/>
      <c r="L1058" s="1860"/>
      <c r="M1058" s="1860"/>
      <c r="N1058" s="1860"/>
      <c r="O1058" s="1860"/>
      <c r="P1058" s="1860"/>
      <c r="Q1058" s="1860"/>
      <c r="R1058" s="1860"/>
      <c r="S1058" s="1860"/>
      <c r="T1058" s="1860"/>
      <c r="U1058" s="1860"/>
      <c r="V1058" s="1860"/>
      <c r="W1058" s="1860"/>
      <c r="X1058" s="1860"/>
      <c r="Y1058" s="1860"/>
      <c r="Z1058" s="1860"/>
      <c r="AA1058" s="1860"/>
      <c r="AB1058" s="1860"/>
      <c r="AC1058" s="1860"/>
      <c r="AD1058" s="1860"/>
      <c r="AE1058" s="1860"/>
      <c r="AF1058" s="1860"/>
      <c r="AG1058" s="1860"/>
      <c r="AH1058" s="1860"/>
      <c r="AI1058" s="1860"/>
      <c r="AJ1058" s="1860"/>
      <c r="AK1058" s="1860"/>
      <c r="AL1058" s="1860"/>
      <c r="AM1058" s="1860"/>
      <c r="AN1058" s="1860"/>
      <c r="AO1058" s="68"/>
      <c r="AP1058" s="68"/>
      <c r="AQ1058" s="68"/>
      <c r="AR1058" s="68"/>
      <c r="AS1058" s="68"/>
      <c r="AT1058" s="68"/>
      <c r="AU1058" s="68"/>
      <c r="AV1058" s="14"/>
      <c r="AW1058" s="14"/>
      <c r="AX1058" s="14"/>
      <c r="AY1058" s="14"/>
      <c r="BA1058" s="1185">
        <f>'Sources and Uses Budget'!$S$104+'Sources and Uses Budget'!$T$104</f>
        <v>4670289</v>
      </c>
      <c r="BB1058" s="3" t="s">
        <v>2495</v>
      </c>
    </row>
    <row r="1059" spans="1:54" ht="12.95" customHeight="1">
      <c r="A1059" s="14"/>
      <c r="B1059" s="14"/>
      <c r="C1059" s="208"/>
      <c r="D1059" s="858"/>
      <c r="E1059" s="858"/>
      <c r="F1059" s="858"/>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68"/>
      <c r="AP1059" s="68"/>
      <c r="AQ1059" s="68"/>
      <c r="AR1059" s="68"/>
      <c r="AS1059" s="68"/>
      <c r="AT1059" s="68"/>
      <c r="AU1059" s="68"/>
      <c r="AV1059" s="14"/>
      <c r="AW1059" s="14"/>
      <c r="AX1059" s="14"/>
      <c r="AY1059" s="14"/>
      <c r="BA1059" s="1186">
        <f>MAX($BA$1058-$BA$1055,0)</f>
        <v>2170289</v>
      </c>
      <c r="BB1059" s="3" t="s">
        <v>2496</v>
      </c>
    </row>
    <row r="1060" spans="1:54" ht="12.95" customHeight="1">
      <c r="A1060" s="88"/>
      <c r="B1060" s="1172"/>
      <c r="C1060" s="1172"/>
      <c r="D1060" s="1172"/>
      <c r="E1060" s="1172"/>
      <c r="F1060" s="1172"/>
      <c r="G1060" s="1860"/>
      <c r="H1060" s="1860"/>
      <c r="I1060" s="1860"/>
      <c r="J1060" s="1860"/>
      <c r="K1060" s="1860"/>
      <c r="L1060" s="1860"/>
      <c r="M1060" s="1860"/>
      <c r="N1060" s="1860"/>
      <c r="O1060" s="1860"/>
      <c r="P1060" s="1860"/>
      <c r="Q1060" s="1860"/>
      <c r="R1060" s="1860"/>
      <c r="S1060" s="1860"/>
      <c r="T1060" s="1860"/>
      <c r="U1060" s="1860"/>
      <c r="V1060" s="1860"/>
      <c r="W1060" s="1860"/>
      <c r="X1060" s="1860"/>
      <c r="Y1060" s="1860"/>
      <c r="Z1060" s="1860"/>
      <c r="AA1060" s="1860"/>
      <c r="AB1060" s="1860"/>
      <c r="AC1060" s="1860"/>
      <c r="AD1060" s="1860"/>
      <c r="AE1060" s="1860"/>
      <c r="AF1060" s="1860"/>
      <c r="AG1060" s="1860"/>
      <c r="AH1060" s="1860"/>
      <c r="AI1060" s="1860"/>
      <c r="AJ1060" s="1860"/>
      <c r="AK1060" s="1860"/>
      <c r="AL1060" s="1860"/>
      <c r="AM1060" s="1860"/>
      <c r="AN1060" s="1860"/>
      <c r="AO1060" s="1172"/>
      <c r="AP1060" s="1172"/>
      <c r="AQ1060" s="68"/>
      <c r="AR1060" s="68"/>
      <c r="AS1060" s="68"/>
      <c r="AT1060" s="68"/>
      <c r="AU1060" s="68"/>
      <c r="AV1060" s="68"/>
      <c r="AW1060" s="68"/>
      <c r="AX1060" s="68"/>
      <c r="AY1060" s="68"/>
    </row>
    <row r="1061" spans="1:54" ht="12.95" customHeight="1">
      <c r="A1061" s="1372" t="s">
        <v>794</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H338:R338"/>
    <mergeCell ref="H336:R336"/>
    <mergeCell ref="H335:R335"/>
    <mergeCell ref="H337:R337"/>
    <mergeCell ref="H339:M339"/>
    <mergeCell ref="H340:M340"/>
    <mergeCell ref="H341:R341"/>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EO797:ES797"/>
    <mergeCell ref="DZ787:ED787"/>
    <mergeCell ref="DZ788:ED788"/>
    <mergeCell ref="DZ789:ED789"/>
    <mergeCell ref="DZ790:ED790"/>
    <mergeCell ref="DZ791:ED791"/>
    <mergeCell ref="DZ792:ED792"/>
    <mergeCell ref="DZ793:ED793"/>
    <mergeCell ref="DZ794:ED794"/>
    <mergeCell ref="DZ795:ED795"/>
    <mergeCell ref="DZ796:ED796"/>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DE794:DI794"/>
    <mergeCell ref="AK743:AO743"/>
    <mergeCell ref="AK744:AO744"/>
    <mergeCell ref="X743:AB743"/>
    <mergeCell ref="X744:AB744"/>
    <mergeCell ref="AH743:AJ743"/>
    <mergeCell ref="AH744:AJ744"/>
    <mergeCell ref="DE746:DI746"/>
    <mergeCell ref="CU751:CY751"/>
    <mergeCell ref="CU776:CY776"/>
    <mergeCell ref="CP750:CT750"/>
    <mergeCell ref="CU750:CY750"/>
    <mergeCell ref="CP751:CT751"/>
    <mergeCell ref="CM751:CN751"/>
    <mergeCell ref="CP789:CT789"/>
    <mergeCell ref="CP787:CT787"/>
    <mergeCell ref="CI753:CJ753"/>
    <mergeCell ref="CM753:CN753"/>
    <mergeCell ref="CP794:CT794"/>
    <mergeCell ref="CP748:CT748"/>
    <mergeCell ref="CU748:CY748"/>
    <mergeCell ref="CP793:CT793"/>
    <mergeCell ref="CP792:CT792"/>
    <mergeCell ref="CP791:CT791"/>
    <mergeCell ref="CP790:CT790"/>
    <mergeCell ref="CK746:CL746"/>
    <mergeCell ref="CM746:CN746"/>
    <mergeCell ref="CG747:CH747"/>
    <mergeCell ref="CZ792:DD792"/>
    <mergeCell ref="CZ793:DD793"/>
    <mergeCell ref="CZ794:DD794"/>
    <mergeCell ref="CK751:CL751"/>
    <mergeCell ref="CZ795:DD795"/>
    <mergeCell ref="CZ796:DD796"/>
    <mergeCell ref="CZ797:DD797"/>
    <mergeCell ref="DE741:DI741"/>
    <mergeCell ref="CK733:CL733"/>
    <mergeCell ref="CU744:CY744"/>
    <mergeCell ref="CP797:CT797"/>
    <mergeCell ref="CP739:CT739"/>
    <mergeCell ref="CM738:CN738"/>
    <mergeCell ref="CZ775:DD775"/>
    <mergeCell ref="CZ776:DD776"/>
    <mergeCell ref="CU746:CY746"/>
    <mergeCell ref="CI743:CJ743"/>
    <mergeCell ref="CK743:CL743"/>
    <mergeCell ref="CM743:CN743"/>
    <mergeCell ref="CP740:CT740"/>
    <mergeCell ref="DE734:DI734"/>
    <mergeCell ref="CM741:CN741"/>
    <mergeCell ref="CP795:CT795"/>
    <mergeCell ref="CP796:CT796"/>
    <mergeCell ref="DE787:DI787"/>
    <mergeCell ref="DE788:DI788"/>
    <mergeCell ref="CI750:CJ750"/>
    <mergeCell ref="CK750:CL750"/>
    <mergeCell ref="CM750:CN750"/>
    <mergeCell ref="DE790:DI790"/>
    <mergeCell ref="DE791:DI791"/>
    <mergeCell ref="DE792:DI792"/>
    <mergeCell ref="DE793:DI793"/>
    <mergeCell ref="CI747:CJ747"/>
    <mergeCell ref="CK747:CL747"/>
    <mergeCell ref="CM747:CN747"/>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CU742:CY742"/>
    <mergeCell ref="CZ742:DD742"/>
    <mergeCell ref="DE742:DI742"/>
    <mergeCell ref="DJ742:DN742"/>
    <mergeCell ref="DO742:DS742"/>
    <mergeCell ref="CU743:CY743"/>
    <mergeCell ref="CZ743:DD743"/>
    <mergeCell ref="DE743:DI743"/>
    <mergeCell ref="CP746:CT746"/>
    <mergeCell ref="CG749:CH749"/>
    <mergeCell ref="CP747:CT747"/>
    <mergeCell ref="CG742:CH742"/>
    <mergeCell ref="CG743:CH743"/>
    <mergeCell ref="CK744:CL744"/>
    <mergeCell ref="CM744:CN744"/>
    <mergeCell ref="CG745:CH745"/>
    <mergeCell ref="CI745:CJ745"/>
    <mergeCell ref="CI748:CJ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FJ753:FN753"/>
    <mergeCell ref="ET752:EX752"/>
    <mergeCell ref="EO751:ES751"/>
    <mergeCell ref="CZ752:DD752"/>
    <mergeCell ref="ET753:EX753"/>
    <mergeCell ref="FE751:FI751"/>
    <mergeCell ref="FJ751:FN751"/>
    <mergeCell ref="FO751:FS751"/>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B741:F741"/>
    <mergeCell ref="D472:V472"/>
    <mergeCell ref="W472:Y472"/>
    <mergeCell ref="AE551:AH553"/>
    <mergeCell ref="AI551:AL553"/>
    <mergeCell ref="AH510:AK510"/>
    <mergeCell ref="AA582:AK582"/>
    <mergeCell ref="H573:R573"/>
    <mergeCell ref="CI742:CJ742"/>
    <mergeCell ref="CK742:CL742"/>
    <mergeCell ref="T742:W742"/>
    <mergeCell ref="X745:AB745"/>
    <mergeCell ref="P581:R581"/>
    <mergeCell ref="Z559:AD559"/>
    <mergeCell ref="Z562:AD562"/>
    <mergeCell ref="W561:Y561"/>
    <mergeCell ref="CG739:CH739"/>
    <mergeCell ref="CG740:CH740"/>
    <mergeCell ref="CK737:CL737"/>
    <mergeCell ref="CG732:CH732"/>
    <mergeCell ref="M555:P555"/>
    <mergeCell ref="Q557:S557"/>
    <mergeCell ref="Z557:AD557"/>
    <mergeCell ref="M556:P556"/>
    <mergeCell ref="AH538:AK538"/>
    <mergeCell ref="AH537:AK537"/>
    <mergeCell ref="AC534:AF534"/>
    <mergeCell ref="AH542:AK542"/>
    <mergeCell ref="AC538:AF538"/>
    <mergeCell ref="Z554:AD554"/>
    <mergeCell ref="AH531:AK531"/>
    <mergeCell ref="AH532:AK532"/>
    <mergeCell ref="AI560:AL560"/>
    <mergeCell ref="O520:AA520"/>
    <mergeCell ref="AE555:AH555"/>
    <mergeCell ref="AH518:AK518"/>
    <mergeCell ref="Q494:AK494"/>
    <mergeCell ref="AC455:AF455"/>
    <mergeCell ref="F457:AB458"/>
    <mergeCell ref="D466:V466"/>
    <mergeCell ref="Q491:AK491"/>
    <mergeCell ref="AH495:AK495"/>
    <mergeCell ref="D465:V465"/>
    <mergeCell ref="AC509:AF509"/>
    <mergeCell ref="Q485:AK485"/>
    <mergeCell ref="AC525:AF525"/>
    <mergeCell ref="W474:Y474"/>
    <mergeCell ref="T551:V553"/>
    <mergeCell ref="B489:P490"/>
    <mergeCell ref="AC506:AF506"/>
    <mergeCell ref="Q489:R490"/>
    <mergeCell ref="Q488:AK488"/>
    <mergeCell ref="AH535:AK535"/>
    <mergeCell ref="AC532:AF532"/>
    <mergeCell ref="Z551:AD553"/>
    <mergeCell ref="AH513:AK513"/>
    <mergeCell ref="AC531:AF531"/>
    <mergeCell ref="AC539:AF539"/>
    <mergeCell ref="L508:AB508"/>
    <mergeCell ref="C555:L555"/>
    <mergeCell ref="C556:L556"/>
    <mergeCell ref="Q556:S556"/>
    <mergeCell ref="M554:P554"/>
    <mergeCell ref="W465:Y465"/>
    <mergeCell ref="Q562:S562"/>
    <mergeCell ref="AH525:AK525"/>
    <mergeCell ref="Y364:Z364"/>
    <mergeCell ref="N378:P378"/>
    <mergeCell ref="W418:Y418"/>
    <mergeCell ref="AG439:AJ439"/>
    <mergeCell ref="AE424:AF424"/>
    <mergeCell ref="N371:Q371"/>
    <mergeCell ref="V382:W382"/>
    <mergeCell ref="AG449:AJ449"/>
    <mergeCell ref="AG393:AJ393"/>
    <mergeCell ref="AG391:AJ391"/>
    <mergeCell ref="K404:AJ404"/>
    <mergeCell ref="AC386:AJ386"/>
    <mergeCell ref="AC533:AF533"/>
    <mergeCell ref="K403:AJ403"/>
    <mergeCell ref="J387:U387"/>
    <mergeCell ref="AC521:AF521"/>
    <mergeCell ref="AH527:AK527"/>
    <mergeCell ref="AC517:AF517"/>
    <mergeCell ref="D473:V473"/>
    <mergeCell ref="AC504:AF504"/>
    <mergeCell ref="D470:V470"/>
    <mergeCell ref="D438:AF438"/>
    <mergeCell ref="AG444:AJ444"/>
    <mergeCell ref="AC541:AF541"/>
    <mergeCell ref="W557:Y557"/>
    <mergeCell ref="AC526:AF526"/>
    <mergeCell ref="AE557:AH557"/>
    <mergeCell ref="T562:V562"/>
    <mergeCell ref="AH503:AK503"/>
    <mergeCell ref="AC500:AF500"/>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AI392:AJ392"/>
    <mergeCell ref="D440:AF440"/>
    <mergeCell ref="AH507:AK507"/>
    <mergeCell ref="AG450:AJ450"/>
    <mergeCell ref="D467:V467"/>
    <mergeCell ref="AG441:AJ441"/>
    <mergeCell ref="AH514:AK514"/>
    <mergeCell ref="AH539:AK539"/>
    <mergeCell ref="AH541:AK541"/>
    <mergeCell ref="AC535:AF535"/>
    <mergeCell ref="Q551:S553"/>
    <mergeCell ref="V377:W377"/>
    <mergeCell ref="S377:T377"/>
    <mergeCell ref="D437:AF437"/>
    <mergeCell ref="D442:AF442"/>
    <mergeCell ref="AF430:AG430"/>
    <mergeCell ref="AG437:AJ437"/>
    <mergeCell ref="J388:U388"/>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AH540:AK540"/>
    <mergeCell ref="B566:AL566"/>
    <mergeCell ref="AE560:AH560"/>
    <mergeCell ref="N575:O575"/>
    <mergeCell ref="G721:J721"/>
    <mergeCell ref="G722:J722"/>
    <mergeCell ref="M628:P628"/>
    <mergeCell ref="N607:O607"/>
    <mergeCell ref="G593:R593"/>
    <mergeCell ref="G605:L605"/>
    <mergeCell ref="H606:R606"/>
    <mergeCell ref="AI597:AK597"/>
    <mergeCell ref="C565:L565"/>
    <mergeCell ref="W558:Y558"/>
    <mergeCell ref="AE558:AH558"/>
    <mergeCell ref="C557:L557"/>
    <mergeCell ref="AK732:AO732"/>
    <mergeCell ref="AK733:AO733"/>
    <mergeCell ref="AK734:AO734"/>
    <mergeCell ref="AK735:AO735"/>
    <mergeCell ref="CP745:CT745"/>
    <mergeCell ref="X742:AB742"/>
    <mergeCell ref="AH742:AJ742"/>
    <mergeCell ref="AM557:AS557"/>
    <mergeCell ref="W630:Y630"/>
    <mergeCell ref="AH745:AJ745"/>
    <mergeCell ref="AH746:AJ746"/>
    <mergeCell ref="AH747:AJ747"/>
    <mergeCell ref="AH748:AJ748"/>
    <mergeCell ref="Z659:AK659"/>
    <mergeCell ref="CG734:CH734"/>
    <mergeCell ref="AK634:AN634"/>
    <mergeCell ref="AK635:AN635"/>
    <mergeCell ref="Z633:AB633"/>
    <mergeCell ref="CG724:CH724"/>
    <mergeCell ref="CG730:CH730"/>
    <mergeCell ref="CG728:CH728"/>
    <mergeCell ref="AI558:AL558"/>
    <mergeCell ref="Z578:AK578"/>
    <mergeCell ref="AK742:AO742"/>
    <mergeCell ref="W562:Y562"/>
    <mergeCell ref="AE562:AH562"/>
    <mergeCell ref="AK739:AO739"/>
    <mergeCell ref="CP742:CT742"/>
    <mergeCell ref="CP743:CT743"/>
    <mergeCell ref="AM558:AS558"/>
    <mergeCell ref="AO632:AS632"/>
    <mergeCell ref="AE559:AH559"/>
    <mergeCell ref="AC370:AF370"/>
    <mergeCell ref="Z643:AK643"/>
    <mergeCell ref="AM560:AS560"/>
    <mergeCell ref="AE402:AJ402"/>
    <mergeCell ref="AC385:AJ385"/>
    <mergeCell ref="D441:AF441"/>
    <mergeCell ref="AG447:AJ447"/>
    <mergeCell ref="AC454:AF454"/>
    <mergeCell ref="P425:Q425"/>
    <mergeCell ref="I418:K418"/>
    <mergeCell ref="S413:T413"/>
    <mergeCell ref="CP718:CT718"/>
    <mergeCell ref="CI718:CJ718"/>
    <mergeCell ref="CI724:CJ724"/>
    <mergeCell ref="CK752:CL752"/>
    <mergeCell ref="CG748:CH748"/>
    <mergeCell ref="Z569:AK569"/>
    <mergeCell ref="AF630:AJ630"/>
    <mergeCell ref="CK723:CL723"/>
    <mergeCell ref="CK721:CL721"/>
    <mergeCell ref="CM726:CN726"/>
    <mergeCell ref="CM718:CN718"/>
    <mergeCell ref="CI732:CJ732"/>
    <mergeCell ref="CM728:CN728"/>
    <mergeCell ref="Z652:AK652"/>
    <mergeCell ref="CK722:CL722"/>
    <mergeCell ref="AG689:AH689"/>
    <mergeCell ref="CK719:CL719"/>
    <mergeCell ref="CK748:CL748"/>
    <mergeCell ref="CM748:CN748"/>
    <mergeCell ref="X738:AB738"/>
    <mergeCell ref="X729:AB729"/>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X718:AB718"/>
    <mergeCell ref="T720:W720"/>
    <mergeCell ref="K714:N717"/>
    <mergeCell ref="C630:L630"/>
    <mergeCell ref="G685:R685"/>
    <mergeCell ref="M635:P635"/>
    <mergeCell ref="G646:R646"/>
    <mergeCell ref="G714:J717"/>
    <mergeCell ref="G668:R668"/>
    <mergeCell ref="G597:L597"/>
    <mergeCell ref="G602:R602"/>
    <mergeCell ref="G609:R609"/>
    <mergeCell ref="G571:R571"/>
    <mergeCell ref="Q559:S559"/>
    <mergeCell ref="C627:L627"/>
    <mergeCell ref="G568:R568"/>
    <mergeCell ref="M574:R574"/>
    <mergeCell ref="I421:K421"/>
    <mergeCell ref="AH524:AK524"/>
    <mergeCell ref="AG395:AJ395"/>
    <mergeCell ref="AH505:AK505"/>
    <mergeCell ref="AG394:AJ394"/>
    <mergeCell ref="E420:AJ420"/>
    <mergeCell ref="D449:AF449"/>
    <mergeCell ref="AH529:AK529"/>
    <mergeCell ref="AC510:AF510"/>
    <mergeCell ref="AG443:AJ44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H517:AK517"/>
    <mergeCell ref="W471:Y471"/>
    <mergeCell ref="M495:P495"/>
    <mergeCell ref="AC501:AF501"/>
    <mergeCell ref="AG438:AJ438"/>
    <mergeCell ref="O523:AA523"/>
    <mergeCell ref="P418:R418"/>
    <mergeCell ref="AJ356:AK356"/>
    <mergeCell ref="AD377:AE377"/>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AA335:AK335"/>
    <mergeCell ref="AC347:AE347"/>
    <mergeCell ref="P343:AE343"/>
    <mergeCell ref="AA340:AF340"/>
    <mergeCell ref="P344:AE344"/>
    <mergeCell ref="AA338:AK338"/>
    <mergeCell ref="P345:AE345"/>
    <mergeCell ref="R412:S412"/>
    <mergeCell ref="Q429:R429"/>
    <mergeCell ref="D448:AF448"/>
    <mergeCell ref="AG445:AJ445"/>
    <mergeCell ref="AA308:AF308"/>
    <mergeCell ref="AA331:AF331"/>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P339:R339"/>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H314:R314"/>
    <mergeCell ref="AA341:AK341"/>
    <mergeCell ref="E368:AH369"/>
    <mergeCell ref="Q365:AG365"/>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AA333:AK333"/>
    <mergeCell ref="D469:V469"/>
    <mergeCell ref="W473:Y473"/>
    <mergeCell ref="Q394:U394"/>
    <mergeCell ref="AD412:AE412"/>
    <mergeCell ref="H414:AE415"/>
    <mergeCell ref="AE425:AF425"/>
    <mergeCell ref="AC520:AF520"/>
    <mergeCell ref="AC527:AF527"/>
    <mergeCell ref="AH521:AK521"/>
    <mergeCell ref="AC530:AF530"/>
    <mergeCell ref="O535:AA535"/>
    <mergeCell ref="AH523:AK523"/>
    <mergeCell ref="AH504:AK504"/>
    <mergeCell ref="W469:Y469"/>
    <mergeCell ref="AH515:AK515"/>
    <mergeCell ref="AH501:AK501"/>
    <mergeCell ref="G474:V474"/>
    <mergeCell ref="AH526:AK526"/>
    <mergeCell ref="AC507:AF507"/>
    <mergeCell ref="T556:V556"/>
    <mergeCell ref="W467:Y467"/>
    <mergeCell ref="W470:Y470"/>
    <mergeCell ref="D471:V471"/>
    <mergeCell ref="O532:AA532"/>
    <mergeCell ref="B551:L553"/>
    <mergeCell ref="B501:H502"/>
    <mergeCell ref="Q492:AK492"/>
    <mergeCell ref="AC515:AF515"/>
    <mergeCell ref="AC514:AF514"/>
    <mergeCell ref="AC522:AF522"/>
    <mergeCell ref="T554:V554"/>
    <mergeCell ref="AC524:AF524"/>
    <mergeCell ref="AH506:AK506"/>
    <mergeCell ref="AH508:AK508"/>
    <mergeCell ref="AC540:AF540"/>
    <mergeCell ref="AC508:AF508"/>
    <mergeCell ref="M559:P559"/>
    <mergeCell ref="C564:L564"/>
    <mergeCell ref="M564:P564"/>
    <mergeCell ref="W554:Y554"/>
    <mergeCell ref="W555:Y555"/>
    <mergeCell ref="Z558:AD558"/>
    <mergeCell ref="M562:P562"/>
    <mergeCell ref="M563:P563"/>
    <mergeCell ref="Q564:S564"/>
    <mergeCell ref="M560:P560"/>
    <mergeCell ref="Q563:S563"/>
    <mergeCell ref="AC503:AF503"/>
    <mergeCell ref="AC513:AF513"/>
    <mergeCell ref="AC518:AF518"/>
    <mergeCell ref="W551:Y553"/>
    <mergeCell ref="Z555:AD555"/>
    <mergeCell ref="AE554:AH554"/>
    <mergeCell ref="Q554:S554"/>
    <mergeCell ref="AH534:AK534"/>
    <mergeCell ref="Q555:S555"/>
    <mergeCell ref="AI554:AL554"/>
    <mergeCell ref="Z563:AD563"/>
    <mergeCell ref="T560:V560"/>
    <mergeCell ref="Z561:AD561"/>
    <mergeCell ref="M561:P561"/>
    <mergeCell ref="M558:P558"/>
    <mergeCell ref="C558:L558"/>
    <mergeCell ref="C559:L559"/>
    <mergeCell ref="T555:V555"/>
    <mergeCell ref="T559:V559"/>
    <mergeCell ref="AC516:AF516"/>
    <mergeCell ref="AE556:AH556"/>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AI556:AL556"/>
    <mergeCell ref="T557:V557"/>
    <mergeCell ref="Q389:U389"/>
    <mergeCell ref="AJ357:AK357"/>
    <mergeCell ref="D444:AF444"/>
    <mergeCell ref="R411:S411"/>
    <mergeCell ref="W556:Y556"/>
    <mergeCell ref="M358:N358"/>
    <mergeCell ref="AH519:AK519"/>
    <mergeCell ref="AH536:AK536"/>
    <mergeCell ref="AG448:AJ448"/>
    <mergeCell ref="AH528:AK5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3:AE663"/>
    <mergeCell ref="B729:F729"/>
    <mergeCell ref="B723:F723"/>
    <mergeCell ref="AH719:AJ719"/>
    <mergeCell ref="CK725:CL725"/>
    <mergeCell ref="Z668:AK668"/>
    <mergeCell ref="G676:R676"/>
    <mergeCell ref="O719:S719"/>
    <mergeCell ref="O722:S722"/>
    <mergeCell ref="G719:J719"/>
    <mergeCell ref="P687:R687"/>
    <mergeCell ref="R705:T705"/>
    <mergeCell ref="Z662:AK662"/>
    <mergeCell ref="G651:R651"/>
    <mergeCell ref="G652:R652"/>
    <mergeCell ref="G662:R662"/>
    <mergeCell ref="AG681:AH681"/>
    <mergeCell ref="AI687:AK687"/>
    <mergeCell ref="AK727:AO727"/>
    <mergeCell ref="AH724:AJ724"/>
    <mergeCell ref="G677:R677"/>
    <mergeCell ref="H664:R664"/>
    <mergeCell ref="CK724:CL724"/>
    <mergeCell ref="X720:AB720"/>
    <mergeCell ref="AI679:AK679"/>
    <mergeCell ref="H672:R672"/>
    <mergeCell ref="CZ740:DD740"/>
    <mergeCell ref="CU741:CY741"/>
    <mergeCell ref="CZ739:DD739"/>
    <mergeCell ref="CK734:CL734"/>
    <mergeCell ref="CM734:CN734"/>
    <mergeCell ref="CK738:CL738"/>
    <mergeCell ref="CI731:CJ731"/>
    <mergeCell ref="CG737:CH737"/>
    <mergeCell ref="CK741:CL741"/>
    <mergeCell ref="CP723:CT723"/>
    <mergeCell ref="CI734:CJ734"/>
    <mergeCell ref="CZ730:DD730"/>
    <mergeCell ref="CG735:CH735"/>
    <mergeCell ref="CI737:CJ737"/>
    <mergeCell ref="CZ724:DD724"/>
    <mergeCell ref="CU736:CY736"/>
    <mergeCell ref="CI728:CJ728"/>
    <mergeCell ref="CP725:CT725"/>
    <mergeCell ref="CU740:CY740"/>
    <mergeCell ref="CI739:CJ739"/>
    <mergeCell ref="CP734:CT734"/>
    <mergeCell ref="CG738:CH738"/>
    <mergeCell ref="CK739:CL739"/>
    <mergeCell ref="CU726:CY726"/>
    <mergeCell ref="CZ726:DD726"/>
    <mergeCell ref="CG741:CH741"/>
    <mergeCell ref="CI741:CJ741"/>
    <mergeCell ref="CG731:CH731"/>
    <mergeCell ref="CP741:CT741"/>
    <mergeCell ref="CP726:CT726"/>
    <mergeCell ref="CZ741:DD741"/>
    <mergeCell ref="CP730:CT730"/>
    <mergeCell ref="DE731:DI731"/>
    <mergeCell ref="CI723:CJ723"/>
    <mergeCell ref="CP728:CT728"/>
    <mergeCell ref="CU728:CY728"/>
    <mergeCell ref="CK732:CL732"/>
    <mergeCell ref="CG733:CH733"/>
    <mergeCell ref="CZ725:DD725"/>
    <mergeCell ref="CG725:CH725"/>
    <mergeCell ref="CM731:CN731"/>
    <mergeCell ref="CM720:CN720"/>
    <mergeCell ref="CM739:CN739"/>
    <mergeCell ref="G679:L679"/>
    <mergeCell ref="DE722:DI722"/>
    <mergeCell ref="CM735:CN735"/>
    <mergeCell ref="DE730:DI730"/>
    <mergeCell ref="CM730:CN730"/>
    <mergeCell ref="CK727:CL727"/>
    <mergeCell ref="DE729:DI729"/>
    <mergeCell ref="DE726:DI726"/>
    <mergeCell ref="CP724:CT724"/>
    <mergeCell ref="CP727:CT727"/>
    <mergeCell ref="CI727:CJ727"/>
    <mergeCell ref="CZ735:DD735"/>
    <mergeCell ref="CU734:CY734"/>
    <mergeCell ref="CP736:CT736"/>
    <mergeCell ref="CM737:CN737"/>
    <mergeCell ref="CU737:CY737"/>
    <mergeCell ref="CU724:CY724"/>
    <mergeCell ref="CU725:CY725"/>
    <mergeCell ref="CI725:CJ725"/>
    <mergeCell ref="T732:W732"/>
    <mergeCell ref="T731:W731"/>
    <mergeCell ref="CM732:CN732"/>
    <mergeCell ref="CZ738:DD738"/>
    <mergeCell ref="CM736:CN736"/>
    <mergeCell ref="CI738:CJ738"/>
    <mergeCell ref="CK736:CL736"/>
    <mergeCell ref="CU739:CY739"/>
    <mergeCell ref="CK730:CL730"/>
    <mergeCell ref="CP731:CT731"/>
    <mergeCell ref="CI729:CJ72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G729:CH729"/>
    <mergeCell ref="CG723:CH723"/>
    <mergeCell ref="CG720:CH720"/>
    <mergeCell ref="CU733:CY733"/>
    <mergeCell ref="CP729:CT729"/>
    <mergeCell ref="CZ733:DD733"/>
    <mergeCell ref="DE735:DI735"/>
    <mergeCell ref="CZ723:DD723"/>
    <mergeCell ref="AF574:AK574"/>
    <mergeCell ref="AF628:AJ628"/>
    <mergeCell ref="N591:O591"/>
    <mergeCell ref="Q632:S632"/>
    <mergeCell ref="CZ736:DD736"/>
    <mergeCell ref="CZ732:DD732"/>
    <mergeCell ref="CZ727:DD727"/>
    <mergeCell ref="CZ729:DD729"/>
    <mergeCell ref="CU723:CY723"/>
    <mergeCell ref="CM724:CN724"/>
    <mergeCell ref="CI719:CJ719"/>
    <mergeCell ref="AF418:AH418"/>
    <mergeCell ref="AC528:AF528"/>
    <mergeCell ref="C554:L554"/>
    <mergeCell ref="D446:AF446"/>
    <mergeCell ref="D447:AF447"/>
    <mergeCell ref="W466:Y466"/>
    <mergeCell ref="AG446:AJ446"/>
    <mergeCell ref="G644:R644"/>
    <mergeCell ref="P655:R655"/>
    <mergeCell ref="AK624:AN626"/>
    <mergeCell ref="AA606:AK606"/>
    <mergeCell ref="P605:R605"/>
    <mergeCell ref="C628:L628"/>
    <mergeCell ref="W633:Y633"/>
    <mergeCell ref="Z630:AB630"/>
    <mergeCell ref="Z570:AK570"/>
    <mergeCell ref="T565:V565"/>
    <mergeCell ref="C560:L560"/>
    <mergeCell ref="Z560:AD560"/>
    <mergeCell ref="AI563:AL563"/>
    <mergeCell ref="C635:L635"/>
    <mergeCell ref="W563:Y563"/>
    <mergeCell ref="W564:Y564"/>
    <mergeCell ref="W565:Y565"/>
    <mergeCell ref="G570:R570"/>
    <mergeCell ref="Z577:AK577"/>
    <mergeCell ref="AM566:AS566"/>
    <mergeCell ref="AM562:AS562"/>
    <mergeCell ref="Q624:S626"/>
    <mergeCell ref="M634:P634"/>
    <mergeCell ref="Q634:S634"/>
    <mergeCell ref="AK636:AN636"/>
    <mergeCell ref="C637:L637"/>
    <mergeCell ref="AI655:AK655"/>
    <mergeCell ref="G577:R577"/>
    <mergeCell ref="C561:L561"/>
    <mergeCell ref="CZ731:DD731"/>
    <mergeCell ref="CK731:CL731"/>
    <mergeCell ref="CK729:CL729"/>
    <mergeCell ref="CI726:CJ726"/>
    <mergeCell ref="CG726:CH726"/>
    <mergeCell ref="CM727:CN727"/>
    <mergeCell ref="CK726:CL726"/>
    <mergeCell ref="CM722:CN722"/>
    <mergeCell ref="K720:N720"/>
    <mergeCell ref="T714:W717"/>
    <mergeCell ref="J705:O705"/>
    <mergeCell ref="CZ717:DD717"/>
    <mergeCell ref="CI722:CJ722"/>
    <mergeCell ref="CG721:CH721"/>
    <mergeCell ref="CK720:CL720"/>
    <mergeCell ref="CG718:CH718"/>
    <mergeCell ref="K727:N727"/>
    <mergeCell ref="AI562:AL562"/>
    <mergeCell ref="Z589:AE589"/>
    <mergeCell ref="G585:R585"/>
    <mergeCell ref="AG575:AH575"/>
    <mergeCell ref="Z568:AK568"/>
    <mergeCell ref="Z571:AK571"/>
    <mergeCell ref="AI564:AL564"/>
    <mergeCell ref="T561:V561"/>
    <mergeCell ref="Q630:S630"/>
    <mergeCell ref="Z588:AK588"/>
    <mergeCell ref="Q560:S560"/>
    <mergeCell ref="Q565:S565"/>
    <mergeCell ref="Q561:S561"/>
    <mergeCell ref="C562:L562"/>
    <mergeCell ref="N583:O583"/>
    <mergeCell ref="AA614:AK614"/>
    <mergeCell ref="AC624:AE626"/>
    <mergeCell ref="AF624:AJ626"/>
    <mergeCell ref="H582:R582"/>
    <mergeCell ref="M627:P627"/>
    <mergeCell ref="W624:Y626"/>
    <mergeCell ref="W628:Y628"/>
    <mergeCell ref="AI561:AL561"/>
    <mergeCell ref="AE561:AH561"/>
    <mergeCell ref="AI565:AL565"/>
    <mergeCell ref="AA573:AK573"/>
    <mergeCell ref="H614:R614"/>
    <mergeCell ref="G613:L613"/>
    <mergeCell ref="G578:R578"/>
    <mergeCell ref="AE564:AH564"/>
    <mergeCell ref="G610:R610"/>
    <mergeCell ref="A617:AT618"/>
    <mergeCell ref="AM556:AS556"/>
    <mergeCell ref="Z434:AA434"/>
    <mergeCell ref="H590:R590"/>
    <mergeCell ref="AE695:AI695"/>
    <mergeCell ref="Z644:AK644"/>
    <mergeCell ref="AO636:AS636"/>
    <mergeCell ref="AE563:AH563"/>
    <mergeCell ref="AM563:AS563"/>
    <mergeCell ref="AO628:AS628"/>
    <mergeCell ref="AG607:AH607"/>
    <mergeCell ref="AO624:AS626"/>
    <mergeCell ref="AG591:AH591"/>
    <mergeCell ref="Z632:AB632"/>
    <mergeCell ref="Z611:AK611"/>
    <mergeCell ref="AC632:AE632"/>
    <mergeCell ref="AG599:AH599"/>
    <mergeCell ref="G595:R595"/>
    <mergeCell ref="G596:R596"/>
    <mergeCell ref="G586:R586"/>
    <mergeCell ref="W560:Y560"/>
    <mergeCell ref="P572:R572"/>
    <mergeCell ref="AI605:AK605"/>
    <mergeCell ref="G604:R604"/>
    <mergeCell ref="AH509:AK509"/>
    <mergeCell ref="AM561:AS561"/>
    <mergeCell ref="G572:L572"/>
    <mergeCell ref="Z581:AE581"/>
    <mergeCell ref="Z586:AK586"/>
    <mergeCell ref="M565:P565"/>
    <mergeCell ref="T563:V563"/>
    <mergeCell ref="Z564:AD564"/>
    <mergeCell ref="Z565:AD565"/>
    <mergeCell ref="EM636:EQ636"/>
    <mergeCell ref="DX637:EB637"/>
    <mergeCell ref="AC633:AE633"/>
    <mergeCell ref="B639:AN639"/>
    <mergeCell ref="B640:AN640"/>
    <mergeCell ref="B719:F719"/>
    <mergeCell ref="AC718:AG718"/>
    <mergeCell ref="AK714:AO717"/>
    <mergeCell ref="AK718:AO718"/>
    <mergeCell ref="AK630:AN630"/>
    <mergeCell ref="AK631:AN631"/>
    <mergeCell ref="AK632:AN632"/>
    <mergeCell ref="AI671:AK671"/>
    <mergeCell ref="AK627:AN627"/>
    <mergeCell ref="AF632:AJ632"/>
    <mergeCell ref="AC631:AE631"/>
    <mergeCell ref="DZ717:ED717"/>
    <mergeCell ref="AC630:AE630"/>
    <mergeCell ref="EH664:EL664"/>
    <mergeCell ref="B641:AN641"/>
    <mergeCell ref="G643:R643"/>
    <mergeCell ref="CZ718:DD718"/>
    <mergeCell ref="AK719:AO719"/>
    <mergeCell ref="AO641:AS641"/>
    <mergeCell ref="Z651:AK651"/>
    <mergeCell ref="T630:V630"/>
    <mergeCell ref="T631:V631"/>
    <mergeCell ref="AC628:AE628"/>
    <mergeCell ref="C629:L629"/>
    <mergeCell ref="CP719:CT719"/>
    <mergeCell ref="C631:L631"/>
    <mergeCell ref="C632:L632"/>
    <mergeCell ref="CM717:CN717"/>
    <mergeCell ref="CM719:CN719"/>
    <mergeCell ref="W703:AK703"/>
    <mergeCell ref="DO717:DS717"/>
    <mergeCell ref="DE717:DI717"/>
    <mergeCell ref="CU719:CY719"/>
    <mergeCell ref="Z597:AE597"/>
    <mergeCell ref="AF629:AJ629"/>
    <mergeCell ref="AI613:AK613"/>
    <mergeCell ref="DJ718:DN718"/>
    <mergeCell ref="CZ719:DD719"/>
    <mergeCell ref="AC721:AG721"/>
    <mergeCell ref="AH720:AJ720"/>
    <mergeCell ref="AH721:AJ721"/>
    <mergeCell ref="CM721:CN721"/>
    <mergeCell ref="AF636:AJ636"/>
    <mergeCell ref="AF637:AJ637"/>
    <mergeCell ref="AC636:AE636"/>
    <mergeCell ref="Z647:AE647"/>
    <mergeCell ref="AC720:AG720"/>
    <mergeCell ref="Z676:AK676"/>
    <mergeCell ref="W700:AK700"/>
    <mergeCell ref="J704:X704"/>
    <mergeCell ref="AE693:AF693"/>
    <mergeCell ref="G671:L671"/>
    <mergeCell ref="AK633:AN633"/>
    <mergeCell ref="Z645:AK645"/>
    <mergeCell ref="Z629:AB629"/>
    <mergeCell ref="AE699:AI699"/>
    <mergeCell ref="AC629:AE629"/>
    <mergeCell ref="AO633:AS633"/>
    <mergeCell ref="Z687:AE687"/>
    <mergeCell ref="AF633:AJ633"/>
    <mergeCell ref="Z585:AK585"/>
    <mergeCell ref="G579:R579"/>
    <mergeCell ref="G684:R684"/>
    <mergeCell ref="G581:L581"/>
    <mergeCell ref="Z604:AK604"/>
    <mergeCell ref="G587:R587"/>
    <mergeCell ref="Z679:AE679"/>
    <mergeCell ref="Z670:AK670"/>
    <mergeCell ref="AH718:AJ718"/>
    <mergeCell ref="AA664:AK664"/>
    <mergeCell ref="T635:V635"/>
    <mergeCell ref="T636:V636"/>
    <mergeCell ref="T637:V637"/>
    <mergeCell ref="T629:V629"/>
    <mergeCell ref="AK638:AN638"/>
    <mergeCell ref="Z609:AK609"/>
    <mergeCell ref="Z601:AK601"/>
    <mergeCell ref="G589:L589"/>
    <mergeCell ref="Z605:AE605"/>
    <mergeCell ref="Z603:AK603"/>
    <mergeCell ref="B624:L626"/>
    <mergeCell ref="Z613:AE613"/>
    <mergeCell ref="Q638:S638"/>
    <mergeCell ref="H648:R648"/>
    <mergeCell ref="N657:O657"/>
    <mergeCell ref="Z660:AK660"/>
    <mergeCell ref="G663:L663"/>
    <mergeCell ref="N649:O649"/>
    <mergeCell ref="DX668:EB668"/>
    <mergeCell ref="EC668:EG668"/>
    <mergeCell ref="DO718:DS718"/>
    <mergeCell ref="DO719:DS719"/>
    <mergeCell ref="DJ723:DN723"/>
    <mergeCell ref="DE720:DI720"/>
    <mergeCell ref="DE724:DI724"/>
    <mergeCell ref="AA672:AK672"/>
    <mergeCell ref="Z684:AK684"/>
    <mergeCell ref="EE722:EI722"/>
    <mergeCell ref="DZ718:ED718"/>
    <mergeCell ref="EE718:EI718"/>
    <mergeCell ref="DO722:DS722"/>
    <mergeCell ref="CU722:CY722"/>
    <mergeCell ref="AO631:AS631"/>
    <mergeCell ref="N615:O615"/>
    <mergeCell ref="Z631:AB631"/>
    <mergeCell ref="Z678:AK678"/>
    <mergeCell ref="M629:P629"/>
    <mergeCell ref="P663:R663"/>
    <mergeCell ref="AO640:AS640"/>
    <mergeCell ref="W636:Y636"/>
    <mergeCell ref="M636:P636"/>
    <mergeCell ref="T638:V638"/>
    <mergeCell ref="T628:V628"/>
    <mergeCell ref="AC635:AE635"/>
    <mergeCell ref="AK628:AN628"/>
    <mergeCell ref="Z683:AK683"/>
    <mergeCell ref="AA688:AK688"/>
    <mergeCell ref="Z635:AB635"/>
    <mergeCell ref="W635:Y635"/>
    <mergeCell ref="AA648:AK648"/>
    <mergeCell ref="DX652:EB652"/>
    <mergeCell ref="EC652:EG652"/>
    <mergeCell ref="CZ721:DD721"/>
    <mergeCell ref="DJ719:DN719"/>
    <mergeCell ref="CU717:CY717"/>
    <mergeCell ref="AC722:AG722"/>
    <mergeCell ref="AK722:AO722"/>
    <mergeCell ref="AK721:AO721"/>
    <mergeCell ref="CI717:CJ717"/>
    <mergeCell ref="AA680:AK680"/>
    <mergeCell ref="CG727:CH727"/>
    <mergeCell ref="CZ728:DD728"/>
    <mergeCell ref="CU730:CY730"/>
    <mergeCell ref="CK728:CL728"/>
    <mergeCell ref="Z661:AK661"/>
    <mergeCell ref="DU723:DY723"/>
    <mergeCell ref="DZ723:ED723"/>
    <mergeCell ref="DX666:EB666"/>
    <mergeCell ref="AK720:AO720"/>
    <mergeCell ref="DX664:EB664"/>
    <mergeCell ref="EC664:EG664"/>
    <mergeCell ref="AC719:AG719"/>
    <mergeCell ref="Z653:AK653"/>
    <mergeCell ref="DE719:DI719"/>
    <mergeCell ref="CZ720:DD720"/>
    <mergeCell ref="EE724:EI724"/>
    <mergeCell ref="CZ722:DD722"/>
    <mergeCell ref="CP720:CT720"/>
    <mergeCell ref="CI720:CJ720"/>
    <mergeCell ref="CU720:CY720"/>
    <mergeCell ref="CG722:CH722"/>
    <mergeCell ref="Z671:AE671"/>
    <mergeCell ref="EO727:ES727"/>
    <mergeCell ref="AC729:AG729"/>
    <mergeCell ref="DE727:DI727"/>
    <mergeCell ref="AK728:AO728"/>
    <mergeCell ref="AK729:AO729"/>
    <mergeCell ref="DJ724:DN724"/>
    <mergeCell ref="DO727:DS727"/>
    <mergeCell ref="DO728:DS728"/>
    <mergeCell ref="DO723:DS723"/>
    <mergeCell ref="DO724:DS724"/>
    <mergeCell ref="DJ721:DN721"/>
    <mergeCell ref="DO726:DS726"/>
    <mergeCell ref="CP722:CT722"/>
    <mergeCell ref="DU724:DY724"/>
    <mergeCell ref="EO730:ES730"/>
    <mergeCell ref="EO724:ES724"/>
    <mergeCell ref="EO726:ES726"/>
    <mergeCell ref="EO728:ES728"/>
    <mergeCell ref="AK730:AO730"/>
    <mergeCell ref="DU726:DY726"/>
    <mergeCell ref="DU728:DY728"/>
    <mergeCell ref="DU722:DY722"/>
    <mergeCell ref="DO725:DS725"/>
    <mergeCell ref="DO721:DS721"/>
    <mergeCell ref="CU727:CY727"/>
    <mergeCell ref="DO730:DS730"/>
    <mergeCell ref="DJ728:DN728"/>
    <mergeCell ref="DJ725:DN725"/>
    <mergeCell ref="DE725:DI725"/>
    <mergeCell ref="DJ727:DN727"/>
    <mergeCell ref="DJ726:DN726"/>
    <mergeCell ref="CP721:CT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AK747:AO747"/>
    <mergeCell ref="K751:N751"/>
    <mergeCell ref="O751:S751"/>
    <mergeCell ref="X746:AB746"/>
    <mergeCell ref="AK751:AO751"/>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Z732:ED732"/>
    <mergeCell ref="EE732:EI732"/>
    <mergeCell ref="EJ732:EN732"/>
    <mergeCell ref="EE737:EI737"/>
    <mergeCell ref="EJ737:EN737"/>
    <mergeCell ref="EO732:ES732"/>
    <mergeCell ref="ET729:EX729"/>
    <mergeCell ref="ET736:EX736"/>
    <mergeCell ref="EE735:EI735"/>
    <mergeCell ref="EJ734:EN734"/>
    <mergeCell ref="EE733:EI733"/>
    <mergeCell ref="ET732:EX732"/>
    <mergeCell ref="EE728:EI728"/>
    <mergeCell ref="EJ728:EN728"/>
    <mergeCell ref="DZ725:ED725"/>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H652:EL652"/>
    <mergeCell ref="EZ739:FD739"/>
    <mergeCell ref="ET725:EX725"/>
    <mergeCell ref="DZ719:ED719"/>
    <mergeCell ref="ET730:EX730"/>
    <mergeCell ref="ET724:EX724"/>
    <mergeCell ref="ET726:EX726"/>
    <mergeCell ref="ET722:EX722"/>
    <mergeCell ref="ET720:EX720"/>
    <mergeCell ref="ET728:EX728"/>
    <mergeCell ref="EO720:ES720"/>
    <mergeCell ref="DZ726:ED726"/>
    <mergeCell ref="DX648:EB648"/>
    <mergeCell ref="DX651:EB651"/>
    <mergeCell ref="EO729:ES729"/>
    <mergeCell ref="EO723:ES723"/>
    <mergeCell ref="DZ734:ED734"/>
    <mergeCell ref="EJ725:EN725"/>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T721:EX721"/>
    <mergeCell ref="EE720:EI720"/>
    <mergeCell ref="ET718:EX718"/>
    <mergeCell ref="EE719:EI719"/>
    <mergeCell ref="ER640:EV640"/>
    <mergeCell ref="EW647:FA647"/>
    <mergeCell ref="EW655:FA655"/>
    <mergeCell ref="EW650:FA650"/>
    <mergeCell ref="EW648:FA648"/>
    <mergeCell ref="EW651:FA651"/>
    <mergeCell ref="EW649:FA649"/>
    <mergeCell ref="EW652:FA652"/>
    <mergeCell ref="EC666:EG666"/>
    <mergeCell ref="ER649:EV649"/>
    <mergeCell ref="EM649:EQ649"/>
    <mergeCell ref="EM654:EQ654"/>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DX643:EB643"/>
    <mergeCell ref="DX640:EB640"/>
    <mergeCell ref="EW641:FA641"/>
    <mergeCell ref="EC642:EG642"/>
    <mergeCell ref="EH642:EL642"/>
    <mergeCell ref="EM642:EQ642"/>
    <mergeCell ref="ER642:EV642"/>
    <mergeCell ref="DX641:EB641"/>
    <mergeCell ref="EC644:EG644"/>
    <mergeCell ref="EH644:EL644"/>
    <mergeCell ref="EM651:EQ651"/>
    <mergeCell ref="EH647:EL647"/>
    <mergeCell ref="EM647:EQ647"/>
    <mergeCell ref="EM670:EQ670"/>
    <mergeCell ref="DU718:DY718"/>
    <mergeCell ref="DU721:DY721"/>
    <mergeCell ref="EE721:EI721"/>
    <mergeCell ref="FE720:FI720"/>
    <mergeCell ref="FJ720:FN720"/>
    <mergeCell ref="FO720:FS720"/>
    <mergeCell ref="EZ717:FD717"/>
    <mergeCell ref="FE717:FI717"/>
    <mergeCell ref="FJ717:FN717"/>
    <mergeCell ref="FO717:FS717"/>
    <mergeCell ref="EW670:FA670"/>
    <mergeCell ref="EW656:FA656"/>
    <mergeCell ref="EC653:EG653"/>
    <mergeCell ref="DX654:EB654"/>
    <mergeCell ref="EJ721:EN721"/>
    <mergeCell ref="DZ721:ED721"/>
    <mergeCell ref="DZ722:ED722"/>
    <mergeCell ref="DU717:DY717"/>
    <mergeCell ref="DU719:DY719"/>
    <mergeCell ref="EE717:EI717"/>
    <mergeCell ref="EJ720:EN720"/>
    <mergeCell ref="ER657:EV657"/>
    <mergeCell ref="EW657:FA657"/>
    <mergeCell ref="EH659:EL659"/>
    <mergeCell ref="EC661:EG661"/>
    <mergeCell ref="EH661:EL661"/>
    <mergeCell ref="EH655:EL655"/>
    <mergeCell ref="EM655:EQ655"/>
    <mergeCell ref="EO719:ES719"/>
    <mergeCell ref="ET719:EX719"/>
    <mergeCell ref="EO721:ES721"/>
    <mergeCell ref="EZ720:FD720"/>
    <mergeCell ref="EW669:FA669"/>
    <mergeCell ref="EH653:EL653"/>
    <mergeCell ref="EM653:EQ653"/>
    <mergeCell ref="ER653:EV653"/>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ET731:EX731"/>
    <mergeCell ref="EC651:EG651"/>
    <mergeCell ref="EM648:EQ648"/>
    <mergeCell ref="EM650:EQ650"/>
    <mergeCell ref="DX653:EB653"/>
    <mergeCell ref="EW660:FA660"/>
    <mergeCell ref="EW653:FA653"/>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EO740:ES740"/>
    <mergeCell ref="ER669:EV669"/>
    <mergeCell ref="ER668:EV668"/>
    <mergeCell ref="EW668:FA668"/>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AH729:AJ729"/>
    <mergeCell ref="DJ738:DN738"/>
    <mergeCell ref="EO737:ES737"/>
    <mergeCell ref="DU737:DY737"/>
    <mergeCell ref="DU739:DY739"/>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DE740:DI740"/>
    <mergeCell ref="DU740:DY740"/>
    <mergeCell ref="DZ740:ED740"/>
    <mergeCell ref="EE740:EI740"/>
    <mergeCell ref="EJ740:EN740"/>
    <mergeCell ref="CU775:CY775"/>
    <mergeCell ref="EE745:EI745"/>
    <mergeCell ref="EO745:ES745"/>
    <mergeCell ref="DU749:DY749"/>
    <mergeCell ref="DE751:DI751"/>
    <mergeCell ref="EE752:EI752"/>
    <mergeCell ref="CP753:CT753"/>
    <mergeCell ref="DE739:DI739"/>
    <mergeCell ref="DU745:DY745"/>
    <mergeCell ref="EO738:ES738"/>
    <mergeCell ref="DE738:DI738"/>
    <mergeCell ref="CZ750:DD750"/>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EJ752:EN752"/>
    <mergeCell ref="CM740:CN740"/>
    <mergeCell ref="AK749:AO749"/>
    <mergeCell ref="EJ739:EN739"/>
    <mergeCell ref="DX661:EB661"/>
    <mergeCell ref="DX645:EB645"/>
    <mergeCell ref="DX656:EB656"/>
    <mergeCell ref="EC656:EG656"/>
    <mergeCell ref="EH656:EL656"/>
    <mergeCell ref="EM656:EQ656"/>
    <mergeCell ref="ER654:EV654"/>
    <mergeCell ref="EM652:EQ652"/>
    <mergeCell ref="DX650:EB650"/>
    <mergeCell ref="EC650:EG650"/>
    <mergeCell ref="EC655:EG655"/>
    <mergeCell ref="DX667:EB667"/>
    <mergeCell ref="ER650:EV650"/>
    <mergeCell ref="EW661:FA661"/>
    <mergeCell ref="EM662:EQ662"/>
    <mergeCell ref="DZ749:ED749"/>
    <mergeCell ref="ET738:EX738"/>
    <mergeCell ref="DU738:DY738"/>
    <mergeCell ref="CK745:CL745"/>
    <mergeCell ref="EW664:FA664"/>
    <mergeCell ref="EW666:FA666"/>
    <mergeCell ref="EW654:FA654"/>
    <mergeCell ref="DX647:EB647"/>
    <mergeCell ref="ER661:EV661"/>
    <mergeCell ref="DO738:DS738"/>
    <mergeCell ref="DU733:DY733"/>
    <mergeCell ref="DU730:DY730"/>
    <mergeCell ref="EJ733:EN733"/>
    <mergeCell ref="EJ717:EN717"/>
    <mergeCell ref="DJ720:DN720"/>
    <mergeCell ref="DJ717:DN717"/>
    <mergeCell ref="DJ722:DN722"/>
    <mergeCell ref="DE721:DI721"/>
    <mergeCell ref="DE723:DI723"/>
    <mergeCell ref="CU718:CY718"/>
    <mergeCell ref="CP717:CT717"/>
    <mergeCell ref="DZ729:ED729"/>
    <mergeCell ref="DZ720:ED720"/>
    <mergeCell ref="DE776:DI776"/>
    <mergeCell ref="DJ746:DN746"/>
    <mergeCell ref="DO746:DS746"/>
    <mergeCell ref="CZ746:DD746"/>
    <mergeCell ref="DE744:DI744"/>
    <mergeCell ref="DE750:DI750"/>
    <mergeCell ref="DJ750:DN750"/>
    <mergeCell ref="DO774:DS774"/>
    <mergeCell ref="DU753:DY753"/>
    <mergeCell ref="DZ753:ED753"/>
    <mergeCell ref="DE774:DI774"/>
    <mergeCell ref="DZ738:ED738"/>
    <mergeCell ref="DO732:DS732"/>
    <mergeCell ref="DZ739:ED739"/>
    <mergeCell ref="EE739:EI739"/>
    <mergeCell ref="DO753:DS753"/>
    <mergeCell ref="DO773:DS773"/>
    <mergeCell ref="DJ751:DN751"/>
    <mergeCell ref="DU734:DY734"/>
    <mergeCell ref="DZ745:ED745"/>
    <mergeCell ref="DJ747:DN747"/>
    <mergeCell ref="DO747:DS747"/>
    <mergeCell ref="CZ753:DD753"/>
    <mergeCell ref="DJ775:DN775"/>
    <mergeCell ref="DJ737:DN737"/>
    <mergeCell ref="DJ735:DN735"/>
    <mergeCell ref="DE737:DI737"/>
    <mergeCell ref="DJ733:DN733"/>
    <mergeCell ref="DU741:DY741"/>
    <mergeCell ref="DZ741:ED741"/>
    <mergeCell ref="CZ744:DD744"/>
    <mergeCell ref="DU736:DY736"/>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M633:P633"/>
    <mergeCell ref="G594:R594"/>
    <mergeCell ref="Z594:AK594"/>
    <mergeCell ref="Z610:AK610"/>
    <mergeCell ref="N599:O599"/>
    <mergeCell ref="AA590:AK590"/>
    <mergeCell ref="C563:L563"/>
    <mergeCell ref="AE565:AH565"/>
    <mergeCell ref="Z579:AK579"/>
    <mergeCell ref="P589:R589"/>
    <mergeCell ref="AK637:AN637"/>
    <mergeCell ref="Z655:AE655"/>
    <mergeCell ref="AM559:AS559"/>
    <mergeCell ref="AM565:AS565"/>
    <mergeCell ref="G569:R569"/>
    <mergeCell ref="AI559:AL559"/>
    <mergeCell ref="Z572:AE572"/>
    <mergeCell ref="AM564:AS564"/>
    <mergeCell ref="AI581:AK581"/>
    <mergeCell ref="AF631:AJ631"/>
    <mergeCell ref="T734:W734"/>
    <mergeCell ref="AC727:AG727"/>
    <mergeCell ref="AC728:AG728"/>
    <mergeCell ref="AC732:AG732"/>
    <mergeCell ref="X733:AB733"/>
    <mergeCell ref="G732:J732"/>
    <mergeCell ref="AH735:AJ735"/>
    <mergeCell ref="X734:AB734"/>
    <mergeCell ref="X724:AB724"/>
    <mergeCell ref="EO722:ES722"/>
    <mergeCell ref="EO717:ES717"/>
    <mergeCell ref="DJ730:DN730"/>
    <mergeCell ref="DU735:DY735"/>
    <mergeCell ref="DO737:DS737"/>
    <mergeCell ref="K737:N737"/>
    <mergeCell ref="K725:N725"/>
    <mergeCell ref="G731:J731"/>
    <mergeCell ref="ER662:EV662"/>
    <mergeCell ref="DU727:DY727"/>
    <mergeCell ref="EE726:EI726"/>
    <mergeCell ref="EJ726:EN726"/>
    <mergeCell ref="DO720:DS720"/>
    <mergeCell ref="DE736:DI736"/>
    <mergeCell ref="ET727:EX727"/>
    <mergeCell ref="DZ727:ED727"/>
    <mergeCell ref="EE727:EI727"/>
    <mergeCell ref="EE723:EI723"/>
    <mergeCell ref="EJ723:EN723"/>
    <mergeCell ref="EO725:ES725"/>
    <mergeCell ref="EJ719:EN719"/>
    <mergeCell ref="O728:S728"/>
    <mergeCell ref="EJ718:EN718"/>
    <mergeCell ref="AK723:AO723"/>
    <mergeCell ref="AK724:AO724"/>
    <mergeCell ref="AK725:AO725"/>
    <mergeCell ref="AK726:AO726"/>
    <mergeCell ref="X725:AB725"/>
    <mergeCell ref="AK737:AO737"/>
    <mergeCell ref="EE738:EI738"/>
    <mergeCell ref="EJ738:EN738"/>
    <mergeCell ref="EJ724:EN724"/>
    <mergeCell ref="EJ727:EN727"/>
    <mergeCell ref="EJ722:EN722"/>
    <mergeCell ref="EE734:EI734"/>
    <mergeCell ref="DU731:DY731"/>
    <mergeCell ref="DU725:DY725"/>
    <mergeCell ref="DU732:DY732"/>
    <mergeCell ref="DO731:DS731"/>
    <mergeCell ref="DO729:DS729"/>
    <mergeCell ref="DJ731:DN731"/>
    <mergeCell ref="DJ729:DN729"/>
    <mergeCell ref="DZ728:ED728"/>
    <mergeCell ref="T721:W721"/>
    <mergeCell ref="CU721:CY721"/>
    <mergeCell ref="EJ729:EN729"/>
    <mergeCell ref="DU729:DY729"/>
    <mergeCell ref="T727:W727"/>
    <mergeCell ref="DZ731:ED731"/>
    <mergeCell ref="X728:AB728"/>
    <mergeCell ref="CU731:CY731"/>
    <mergeCell ref="DE732:DI732"/>
    <mergeCell ref="T744:W744"/>
    <mergeCell ref="X721:AB721"/>
    <mergeCell ref="X727:AB727"/>
    <mergeCell ref="K745:N745"/>
    <mergeCell ref="G728:J728"/>
    <mergeCell ref="O737:S737"/>
    <mergeCell ref="O738:S738"/>
    <mergeCell ref="T740:W740"/>
    <mergeCell ref="G741:J741"/>
    <mergeCell ref="T739:W739"/>
    <mergeCell ref="AH737:AJ737"/>
    <mergeCell ref="AH738:AJ738"/>
    <mergeCell ref="AH736:AJ736"/>
    <mergeCell ref="AC739:AG739"/>
    <mergeCell ref="X732:AB732"/>
    <mergeCell ref="K734:N734"/>
    <mergeCell ref="AH733:AJ733"/>
    <mergeCell ref="G723:J723"/>
    <mergeCell ref="O725:S725"/>
    <mergeCell ref="O726:S726"/>
    <mergeCell ref="X735:AB735"/>
    <mergeCell ref="X736:AB736"/>
    <mergeCell ref="T735:W735"/>
    <mergeCell ref="K730:N730"/>
    <mergeCell ref="AC724:AG724"/>
    <mergeCell ref="AC730:AG730"/>
    <mergeCell ref="AH727:AJ727"/>
    <mergeCell ref="AC736:AG736"/>
    <mergeCell ref="K726:N726"/>
    <mergeCell ref="K724:N724"/>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I589:AK589"/>
    <mergeCell ref="Z596:AK596"/>
    <mergeCell ref="H598:R598"/>
    <mergeCell ref="AG583:AH583"/>
    <mergeCell ref="G588:R588"/>
    <mergeCell ref="Z580:AK580"/>
    <mergeCell ref="Z595:AK595"/>
    <mergeCell ref="G603:R603"/>
    <mergeCell ref="P597:R597"/>
    <mergeCell ref="V381:W38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1" zoomScaleNormal="100" workbookViewId="0">
      <selection activeCell="D113" sqref="D113"/>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6" t="s">
        <v>621</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373</v>
      </c>
      <c r="D2" s="138" t="s">
        <v>372</v>
      </c>
      <c r="E2" s="138" t="s">
        <v>24</v>
      </c>
      <c r="F2" s="139" t="str">
        <f>Application!B627&amp;Application!C627</f>
        <v>1)Permanent Loan</v>
      </c>
      <c r="G2" s="139" t="str">
        <f>Application!B628&amp;Application!C628</f>
        <v>2)Alliance Housing Fund</v>
      </c>
      <c r="H2" s="139" t="str">
        <f>Application!B629&amp;Application!C629</f>
        <v>3)REAP: Regional Competitiveness Grant</v>
      </c>
      <c r="I2" s="139" t="str">
        <f>Application!B630&amp;Application!C630</f>
        <v>4)City of Merced PLHA</v>
      </c>
      <c r="J2" s="139" t="str">
        <f>Application!B631&amp;Application!C631</f>
        <v>5)FHLB AHP</v>
      </c>
      <c r="K2" s="139" t="str">
        <f>Application!B632&amp;Application!C632</f>
        <v>6)Impact Fee Waiver</v>
      </c>
      <c r="L2" s="139" t="str">
        <f>Application!B633&amp;Application!C633</f>
        <v>7)Donated Land</v>
      </c>
      <c r="M2" s="139" t="str">
        <f>Application!B634&amp;Application!C634</f>
        <v>8)Deferred Developer Fee</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400000</v>
      </c>
      <c r="C4" s="147">
        <v>400000</v>
      </c>
      <c r="D4" s="147"/>
      <c r="E4" s="147">
        <f>SUM(C4:D4)-SUM(F4:Q4)</f>
        <v>0</v>
      </c>
      <c r="F4" s="147"/>
      <c r="G4" s="147"/>
      <c r="H4" s="147"/>
      <c r="I4" s="147"/>
      <c r="J4" s="147"/>
      <c r="K4" s="147"/>
      <c r="L4" s="147">
        <v>400000</v>
      </c>
      <c r="M4" s="147"/>
      <c r="N4" s="147"/>
      <c r="O4" s="147"/>
      <c r="P4" s="147"/>
      <c r="Q4" s="147"/>
      <c r="R4" s="516">
        <f>SUM(E4:Q4)</f>
        <v>400000</v>
      </c>
      <c r="S4" s="148"/>
      <c r="T4" s="148"/>
      <c r="U4" s="143"/>
    </row>
    <row r="5" spans="1:21" s="144" customFormat="1">
      <c r="A5" s="145" t="s">
        <v>28</v>
      </c>
      <c r="B5" s="146">
        <f>SUM(C5+D5)</f>
        <v>0</v>
      </c>
      <c r="C5" s="147"/>
      <c r="D5" s="147"/>
      <c r="E5" s="147">
        <f t="shared" ref="E5:E7" si="0">SUM(C5:D5)-SUM(F5:Q5)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15000</v>
      </c>
      <c r="C6" s="147">
        <v>15000</v>
      </c>
      <c r="D6" s="147"/>
      <c r="E6" s="147">
        <f t="shared" si="0"/>
        <v>15000</v>
      </c>
      <c r="F6" s="147"/>
      <c r="G6" s="147"/>
      <c r="H6" s="147"/>
      <c r="I6" s="147"/>
      <c r="J6" s="147"/>
      <c r="K6" s="147"/>
      <c r="L6" s="147"/>
      <c r="M6" s="147"/>
      <c r="N6" s="147"/>
      <c r="O6" s="147"/>
      <c r="P6" s="147"/>
      <c r="Q6" s="147"/>
      <c r="R6" s="516">
        <f>SUM(E6:Q6)</f>
        <v>15000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593</v>
      </c>
      <c r="B8" s="146">
        <f>SUM(C8:D8)</f>
        <v>415000</v>
      </c>
      <c r="C8" s="146">
        <f t="shared" ref="C8:Q8" si="1">SUM(C4:C7)</f>
        <v>415000</v>
      </c>
      <c r="D8" s="146">
        <f t="shared" si="1"/>
        <v>0</v>
      </c>
      <c r="E8" s="146">
        <f t="shared" si="1"/>
        <v>15000</v>
      </c>
      <c r="F8" s="146">
        <f t="shared" si="1"/>
        <v>0</v>
      </c>
      <c r="G8" s="146">
        <f t="shared" si="1"/>
        <v>0</v>
      </c>
      <c r="H8" s="146">
        <f t="shared" si="1"/>
        <v>0</v>
      </c>
      <c r="I8" s="146">
        <f t="shared" si="1"/>
        <v>0</v>
      </c>
      <c r="J8" s="146">
        <f t="shared" si="1"/>
        <v>0</v>
      </c>
      <c r="K8" s="146">
        <f t="shared" si="1"/>
        <v>0</v>
      </c>
      <c r="L8" s="146">
        <f t="shared" si="1"/>
        <v>400000</v>
      </c>
      <c r="M8" s="146">
        <f t="shared" si="1"/>
        <v>0</v>
      </c>
      <c r="N8" s="146">
        <f t="shared" si="1"/>
        <v>0</v>
      </c>
      <c r="O8" s="146">
        <f t="shared" si="1"/>
        <v>0</v>
      </c>
      <c r="P8" s="146"/>
      <c r="Q8" s="146">
        <f t="shared" si="1"/>
        <v>0</v>
      </c>
      <c r="R8" s="342">
        <f>SUM(R4:R7)</f>
        <v>415000</v>
      </c>
      <c r="S8" s="148"/>
      <c r="T8" s="148"/>
      <c r="U8" s="143"/>
    </row>
    <row r="9" spans="1:21" s="144" customFormat="1">
      <c r="A9" s="145" t="s">
        <v>594</v>
      </c>
      <c r="B9" s="146">
        <f>SUM(C9+D9)</f>
        <v>0</v>
      </c>
      <c r="C9" s="147"/>
      <c r="D9" s="147"/>
      <c r="E9" s="147">
        <f t="shared" ref="E9:E10" si="2">SUM(C9:D9)-SUM(F9:Q9)</f>
        <v>0</v>
      </c>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c r="A12" s="149" t="s">
        <v>84</v>
      </c>
      <c r="B12" s="146">
        <f t="shared" ref="B12:Q12" si="4">SUM(B8+B11)</f>
        <v>415000</v>
      </c>
      <c r="C12" s="146">
        <f t="shared" si="4"/>
        <v>415000</v>
      </c>
      <c r="D12" s="146">
        <f t="shared" si="4"/>
        <v>0</v>
      </c>
      <c r="E12" s="146">
        <f t="shared" si="4"/>
        <v>15000</v>
      </c>
      <c r="F12" s="146">
        <f t="shared" si="4"/>
        <v>0</v>
      </c>
      <c r="G12" s="146">
        <f t="shared" si="4"/>
        <v>0</v>
      </c>
      <c r="H12" s="146">
        <f t="shared" si="4"/>
        <v>0</v>
      </c>
      <c r="I12" s="146">
        <f t="shared" si="4"/>
        <v>0</v>
      </c>
      <c r="J12" s="146">
        <f t="shared" si="4"/>
        <v>0</v>
      </c>
      <c r="K12" s="146">
        <f t="shared" si="4"/>
        <v>0</v>
      </c>
      <c r="L12" s="146">
        <f t="shared" si="4"/>
        <v>400000</v>
      </c>
      <c r="M12" s="146">
        <f t="shared" si="4"/>
        <v>0</v>
      </c>
      <c r="N12" s="146">
        <f t="shared" si="4"/>
        <v>0</v>
      </c>
      <c r="O12" s="146">
        <f t="shared" si="4"/>
        <v>0</v>
      </c>
      <c r="P12" s="146"/>
      <c r="Q12" s="146">
        <f t="shared" si="4"/>
        <v>0</v>
      </c>
      <c r="R12" s="342">
        <f>SUM(R8+R11)</f>
        <v>415000</v>
      </c>
      <c r="S12" s="148"/>
      <c r="T12" s="148"/>
      <c r="U12" s="143"/>
    </row>
    <row r="13" spans="1:21" s="144" customFormat="1">
      <c r="A13" s="287" t="s">
        <v>902</v>
      </c>
      <c r="B13" s="146">
        <f>SUM(C13+D13)</f>
        <v>35000</v>
      </c>
      <c r="C13" s="147">
        <f>5000+30000</f>
        <v>35000</v>
      </c>
      <c r="D13" s="147"/>
      <c r="E13" s="147">
        <f t="shared" ref="E13:E15" si="5">SUM(C13:D13)-SUM(F13:Q13)</f>
        <v>35000</v>
      </c>
      <c r="F13" s="147"/>
      <c r="G13" s="147"/>
      <c r="H13" s="147"/>
      <c r="I13" s="147"/>
      <c r="J13" s="147"/>
      <c r="K13" s="147"/>
      <c r="L13" s="147"/>
      <c r="M13" s="147"/>
      <c r="N13" s="147"/>
      <c r="O13" s="147"/>
      <c r="P13" s="147"/>
      <c r="Q13" s="147"/>
      <c r="R13" s="516">
        <f>SUM(E13:Q13)</f>
        <v>35000</v>
      </c>
      <c r="S13" s="147">
        <v>30000</v>
      </c>
      <c r="T13" s="147"/>
      <c r="U13" s="143"/>
    </row>
    <row r="14" spans="1:21" s="144" customFormat="1" ht="24">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SUM(C17+D17)</f>
        <v>0</v>
      </c>
      <c r="C17" s="147"/>
      <c r="D17" s="147"/>
      <c r="E17" s="147">
        <f t="shared" ref="E17:E25" si="6">SUM(C17:D17)-SUM(F17:Q17)</f>
        <v>0</v>
      </c>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SUM(C18+D18)</f>
        <v>0</v>
      </c>
      <c r="C18" s="147"/>
      <c r="D18" s="147"/>
      <c r="E18" s="147">
        <f>SUM(C18:D18)-SUM(F18:Q18)</f>
        <v>0</v>
      </c>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ref="B19:B26" si="7">SUM(C19+D19)</f>
        <v>0</v>
      </c>
      <c r="C19" s="147"/>
      <c r="D19" s="147"/>
      <c r="E19" s="147">
        <f t="shared" si="6"/>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SUM(C20+D20)</f>
        <v>0</v>
      </c>
      <c r="C20" s="147"/>
      <c r="D20" s="147"/>
      <c r="E20" s="147">
        <f t="shared" si="6"/>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SUM(C21+D21)</f>
        <v>0</v>
      </c>
      <c r="C21" s="147"/>
      <c r="D21" s="147"/>
      <c r="E21" s="147">
        <f>SUM(C21:D21)-SUM(F21:Q21)</f>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7"/>
        <v>0</v>
      </c>
      <c r="C22" s="147"/>
      <c r="D22" s="147"/>
      <c r="E22" s="147">
        <f t="shared" si="6"/>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7"/>
        <v>0</v>
      </c>
      <c r="C23" s="147"/>
      <c r="D23" s="147"/>
      <c r="E23" s="147">
        <f t="shared" si="6"/>
        <v>0</v>
      </c>
      <c r="F23" s="147"/>
      <c r="G23" s="147"/>
      <c r="H23" s="147"/>
      <c r="I23" s="147"/>
      <c r="J23" s="147"/>
      <c r="K23" s="147"/>
      <c r="L23" s="147"/>
      <c r="M23" s="147"/>
      <c r="N23" s="147"/>
      <c r="O23" s="147"/>
      <c r="P23" s="147"/>
      <c r="Q23" s="147"/>
      <c r="R23" s="516">
        <f t="shared" si="8"/>
        <v>0</v>
      </c>
      <c r="S23" s="147"/>
      <c r="T23" s="147"/>
      <c r="U23" s="143"/>
    </row>
    <row r="24" spans="1:21" s="144" customFormat="1">
      <c r="A24" s="508" t="s">
        <v>1640</v>
      </c>
      <c r="B24" s="146">
        <f t="shared" si="7"/>
        <v>0</v>
      </c>
      <c r="C24" s="147"/>
      <c r="D24" s="147"/>
      <c r="E24" s="147">
        <f t="shared" si="6"/>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7"/>
        <v>0</v>
      </c>
      <c r="C25" s="147"/>
      <c r="D25" s="147"/>
      <c r="E25" s="147">
        <f t="shared" si="6"/>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7"/>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SUM(C27:D27)-SUM(F27:Q27)</f>
        <v>0</v>
      </c>
      <c r="F27" s="147"/>
      <c r="G27" s="147"/>
      <c r="H27" s="147"/>
      <c r="I27" s="147"/>
      <c r="J27" s="147"/>
      <c r="K27" s="147"/>
      <c r="L27" s="147"/>
      <c r="M27" s="147"/>
      <c r="N27" s="147"/>
      <c r="O27" s="147"/>
      <c r="P27" s="147"/>
      <c r="Q27" s="147"/>
      <c r="R27" s="516">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0">SUM(C29+D29)</f>
        <v>1187124</v>
      </c>
      <c r="C29" s="147">
        <v>1187124</v>
      </c>
      <c r="D29" s="147"/>
      <c r="E29" s="147">
        <f t="shared" ref="E29:E37" si="11">SUM(C29:D29)-SUM(F29:Q29)</f>
        <v>1187124</v>
      </c>
      <c r="F29" s="147"/>
      <c r="G29" s="147"/>
      <c r="H29" s="147"/>
      <c r="I29" s="147"/>
      <c r="J29" s="147"/>
      <c r="K29" s="147"/>
      <c r="L29" s="147"/>
      <c r="M29" s="147"/>
      <c r="N29" s="147"/>
      <c r="O29" s="147"/>
      <c r="P29" s="147"/>
      <c r="Q29" s="147"/>
      <c r="R29" s="516">
        <f t="shared" ref="R29:S37" si="12">SUM(E29:Q29)</f>
        <v>1187124</v>
      </c>
      <c r="S29" s="147">
        <f t="shared" si="12"/>
        <v>1187124</v>
      </c>
      <c r="T29" s="147"/>
      <c r="U29" s="143"/>
    </row>
    <row r="30" spans="1:21" s="144" customFormat="1">
      <c r="A30" s="145" t="s">
        <v>599</v>
      </c>
      <c r="B30" s="146">
        <f t="shared" si="10"/>
        <v>19174485</v>
      </c>
      <c r="C30" s="147">
        <v>19174485</v>
      </c>
      <c r="D30" s="147"/>
      <c r="E30" s="147">
        <f t="shared" si="11"/>
        <v>8629496</v>
      </c>
      <c r="F30" s="147">
        <v>2251000</v>
      </c>
      <c r="G30" s="147">
        <v>3392621</v>
      </c>
      <c r="H30" s="147">
        <v>2497538</v>
      </c>
      <c r="I30" s="147">
        <v>1608830</v>
      </c>
      <c r="J30" s="147">
        <v>795000</v>
      </c>
      <c r="K30" s="147"/>
      <c r="L30" s="147"/>
      <c r="M30" s="147"/>
      <c r="N30" s="147"/>
      <c r="O30" s="147"/>
      <c r="P30" s="147"/>
      <c r="Q30" s="147"/>
      <c r="R30" s="516">
        <f t="shared" si="12"/>
        <v>19174485</v>
      </c>
      <c r="S30" s="147">
        <v>19174485</v>
      </c>
      <c r="T30" s="147"/>
      <c r="U30" s="143"/>
    </row>
    <row r="31" spans="1:21" s="144" customFormat="1">
      <c r="A31" s="145" t="s">
        <v>600</v>
      </c>
      <c r="B31" s="146">
        <f t="shared" si="10"/>
        <v>1425313</v>
      </c>
      <c r="C31" s="147">
        <v>1425313</v>
      </c>
      <c r="D31" s="147"/>
      <c r="E31" s="147">
        <f t="shared" si="11"/>
        <v>1425313</v>
      </c>
      <c r="F31" s="147"/>
      <c r="G31" s="147"/>
      <c r="H31" s="147"/>
      <c r="I31" s="147"/>
      <c r="J31" s="147"/>
      <c r="K31" s="147"/>
      <c r="L31" s="147"/>
      <c r="M31" s="147"/>
      <c r="N31" s="147"/>
      <c r="O31" s="147"/>
      <c r="P31" s="147"/>
      <c r="Q31" s="147"/>
      <c r="R31" s="516">
        <f t="shared" si="12"/>
        <v>1425313</v>
      </c>
      <c r="S31" s="147">
        <f t="shared" si="12"/>
        <v>1425313</v>
      </c>
      <c r="T31" s="147"/>
      <c r="U31" s="143"/>
    </row>
    <row r="32" spans="1:21" s="144" customFormat="1">
      <c r="A32" s="145" t="s">
        <v>137</v>
      </c>
      <c r="B32" s="146">
        <f t="shared" si="10"/>
        <v>610849</v>
      </c>
      <c r="C32" s="147">
        <v>610849</v>
      </c>
      <c r="D32" s="147"/>
      <c r="E32" s="147">
        <f t="shared" si="11"/>
        <v>610849</v>
      </c>
      <c r="F32" s="147"/>
      <c r="G32" s="147"/>
      <c r="H32" s="147"/>
      <c r="I32" s="147"/>
      <c r="J32" s="147"/>
      <c r="K32" s="147"/>
      <c r="L32" s="147"/>
      <c r="M32" s="147"/>
      <c r="N32" s="147"/>
      <c r="O32" s="147"/>
      <c r="P32" s="147"/>
      <c r="Q32" s="147"/>
      <c r="R32" s="516">
        <f t="shared" si="12"/>
        <v>610849</v>
      </c>
      <c r="S32" s="147">
        <f t="shared" si="12"/>
        <v>610849</v>
      </c>
      <c r="T32" s="147"/>
      <c r="U32" s="143"/>
    </row>
    <row r="33" spans="1:21" s="144" customFormat="1">
      <c r="A33" s="145" t="s">
        <v>138</v>
      </c>
      <c r="B33" s="146">
        <f t="shared" si="10"/>
        <v>814465</v>
      </c>
      <c r="C33" s="147">
        <v>814465</v>
      </c>
      <c r="D33" s="147"/>
      <c r="E33" s="147">
        <f t="shared" si="11"/>
        <v>814465</v>
      </c>
      <c r="F33" s="147"/>
      <c r="G33" s="147"/>
      <c r="H33" s="147"/>
      <c r="I33" s="147"/>
      <c r="J33" s="147"/>
      <c r="K33" s="147"/>
      <c r="L33" s="147"/>
      <c r="M33" s="147"/>
      <c r="N33" s="147"/>
      <c r="O33" s="147"/>
      <c r="P33" s="147"/>
      <c r="Q33" s="147"/>
      <c r="R33" s="516">
        <f t="shared" si="12"/>
        <v>814465</v>
      </c>
      <c r="S33" s="147">
        <f t="shared" si="12"/>
        <v>814465</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f t="shared" si="12"/>
        <v>0</v>
      </c>
      <c r="T34" s="147"/>
      <c r="U34" s="143"/>
    </row>
    <row r="35" spans="1:21" s="144" customFormat="1">
      <c r="A35" s="145" t="s">
        <v>140</v>
      </c>
      <c r="B35" s="146">
        <f t="shared" si="10"/>
        <v>281890</v>
      </c>
      <c r="C35" s="147">
        <v>281890</v>
      </c>
      <c r="D35" s="147"/>
      <c r="E35" s="147">
        <f t="shared" si="11"/>
        <v>281890</v>
      </c>
      <c r="F35" s="147"/>
      <c r="G35" s="147"/>
      <c r="H35" s="147"/>
      <c r="I35" s="147"/>
      <c r="J35" s="147"/>
      <c r="K35" s="147"/>
      <c r="L35" s="147"/>
      <c r="M35" s="147"/>
      <c r="N35" s="147"/>
      <c r="O35" s="147"/>
      <c r="P35" s="147"/>
      <c r="Q35" s="147"/>
      <c r="R35" s="516">
        <f t="shared" si="12"/>
        <v>281890</v>
      </c>
      <c r="S35" s="147">
        <f t="shared" si="12"/>
        <v>281890</v>
      </c>
      <c r="T35" s="147"/>
      <c r="U35" s="143"/>
    </row>
    <row r="36" spans="1:21" s="144" customFormat="1">
      <c r="A36" s="283" t="s">
        <v>1640</v>
      </c>
      <c r="B36" s="146">
        <f t="shared" si="10"/>
        <v>108000</v>
      </c>
      <c r="C36" s="147">
        <v>108000</v>
      </c>
      <c r="D36" s="147"/>
      <c r="E36" s="147">
        <f t="shared" si="11"/>
        <v>108000</v>
      </c>
      <c r="F36" s="147"/>
      <c r="G36" s="147"/>
      <c r="H36" s="147"/>
      <c r="I36" s="147"/>
      <c r="J36" s="147"/>
      <c r="K36" s="147"/>
      <c r="L36" s="147"/>
      <c r="M36" s="147"/>
      <c r="N36" s="147"/>
      <c r="O36" s="147"/>
      <c r="P36" s="147"/>
      <c r="Q36" s="147"/>
      <c r="R36" s="516">
        <f t="shared" si="12"/>
        <v>108000</v>
      </c>
      <c r="S36" s="147">
        <f t="shared" si="12"/>
        <v>108000</v>
      </c>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23602126</v>
      </c>
      <c r="C38" s="146">
        <f>SUM(C29:C37)</f>
        <v>23602126</v>
      </c>
      <c r="D38" s="146">
        <f t="shared" ref="D38:Q38" si="13">SUM(D29:D37)</f>
        <v>0</v>
      </c>
      <c r="E38" s="146">
        <f t="shared" si="13"/>
        <v>13057137</v>
      </c>
      <c r="F38" s="146">
        <f t="shared" si="13"/>
        <v>2251000</v>
      </c>
      <c r="G38" s="146">
        <f t="shared" si="13"/>
        <v>3392621</v>
      </c>
      <c r="H38" s="146">
        <f t="shared" si="13"/>
        <v>2497538</v>
      </c>
      <c r="I38" s="146">
        <f t="shared" si="13"/>
        <v>1608830</v>
      </c>
      <c r="J38" s="146">
        <f t="shared" si="13"/>
        <v>795000</v>
      </c>
      <c r="K38" s="146">
        <f t="shared" si="13"/>
        <v>0</v>
      </c>
      <c r="L38" s="146">
        <f t="shared" si="13"/>
        <v>0</v>
      </c>
      <c r="M38" s="146">
        <f t="shared" si="13"/>
        <v>0</v>
      </c>
      <c r="N38" s="146">
        <f t="shared" si="13"/>
        <v>0</v>
      </c>
      <c r="O38" s="146">
        <f t="shared" si="13"/>
        <v>0</v>
      </c>
      <c r="P38" s="146">
        <f t="shared" si="13"/>
        <v>0</v>
      </c>
      <c r="Q38" s="146">
        <f t="shared" si="13"/>
        <v>0</v>
      </c>
      <c r="R38" s="342">
        <f>SUM(R29:R37)</f>
        <v>23602126</v>
      </c>
      <c r="S38" s="150">
        <f>SUM(S29:S37)</f>
        <v>23602126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f t="shared" ref="E40:E41" si="14">SUM(C40:D40)-SUM(F40:Q40)</f>
        <v>600000</v>
      </c>
      <c r="F40" s="147"/>
      <c r="G40" s="147"/>
      <c r="H40" s="147"/>
      <c r="I40" s="147"/>
      <c r="J40" s="147"/>
      <c r="K40" s="147"/>
      <c r="L40" s="147"/>
      <c r="M40" s="147"/>
      <c r="N40" s="147"/>
      <c r="O40" s="147"/>
      <c r="P40" s="147"/>
      <c r="Q40" s="147"/>
      <c r="R40" s="516">
        <f>SUM(E40:Q40)</f>
        <v>600000</v>
      </c>
      <c r="S40" s="147">
        <f>SUM(F40:R40)</f>
        <v>600000</v>
      </c>
      <c r="T40" s="147"/>
      <c r="U40" s="143"/>
    </row>
    <row r="41" spans="1:21" s="144" customFormat="1">
      <c r="A41" s="145" t="s">
        <v>146</v>
      </c>
      <c r="B41" s="146">
        <f>SUM(C41+D41)</f>
        <v>200000</v>
      </c>
      <c r="C41" s="147">
        <v>200000</v>
      </c>
      <c r="D41" s="147"/>
      <c r="E41" s="147">
        <f t="shared" si="14"/>
        <v>200000</v>
      </c>
      <c r="F41" s="147"/>
      <c r="G41" s="147"/>
      <c r="H41" s="147"/>
      <c r="I41" s="147"/>
      <c r="J41" s="147"/>
      <c r="K41" s="147"/>
      <c r="L41" s="147"/>
      <c r="M41" s="147"/>
      <c r="N41" s="147"/>
      <c r="O41" s="147"/>
      <c r="P41" s="147"/>
      <c r="Q41" s="147"/>
      <c r="R41" s="516">
        <f>SUM(E41:Q41)</f>
        <v>200000</v>
      </c>
      <c r="S41" s="147">
        <f>SUM(F41:R41)</f>
        <v>200000</v>
      </c>
      <c r="T41" s="147"/>
      <c r="U41" s="143"/>
    </row>
    <row r="42" spans="1:21" s="144" customFormat="1">
      <c r="A42" s="149" t="s">
        <v>147</v>
      </c>
      <c r="B42" s="146">
        <f>SUM(C42:D42)</f>
        <v>800000</v>
      </c>
      <c r="C42" s="146">
        <f>SUM(C39:C41)</f>
        <v>800000</v>
      </c>
      <c r="D42" s="146">
        <f>SUM(D39:D41)</f>
        <v>0</v>
      </c>
      <c r="E42" s="146">
        <f t="shared" ref="E42:T42" si="15">SUM(E40:E41)</f>
        <v>800000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800000</v>
      </c>
      <c r="S42" s="150">
        <f t="shared" si="15"/>
        <v>800000</v>
      </c>
      <c r="T42" s="150">
        <f t="shared" si="15"/>
        <v>0</v>
      </c>
      <c r="U42" s="143"/>
    </row>
    <row r="43" spans="1:21" s="144" customFormat="1">
      <c r="A43" s="149" t="s">
        <v>148</v>
      </c>
      <c r="B43" s="146">
        <f>SUM(C43:D43)</f>
        <v>200000</v>
      </c>
      <c r="C43" s="147">
        <v>200000</v>
      </c>
      <c r="D43" s="147"/>
      <c r="E43" s="147">
        <f>SUM(C43:D43)-SUM(F43:Q43)</f>
        <v>200000</v>
      </c>
      <c r="F43" s="147"/>
      <c r="G43" s="147"/>
      <c r="H43" s="147"/>
      <c r="I43" s="147"/>
      <c r="J43" s="147"/>
      <c r="K43" s="147"/>
      <c r="L43" s="147"/>
      <c r="M43" s="147"/>
      <c r="N43" s="147"/>
      <c r="O43" s="147"/>
      <c r="P43" s="147"/>
      <c r="Q43" s="147"/>
      <c r="R43" s="516">
        <f>SUM(E43:Q43)</f>
        <v>200000</v>
      </c>
      <c r="S43" s="147">
        <f>SUM(F43:R43)</f>
        <v>200000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1802168</v>
      </c>
      <c r="C45" s="147">
        <f>1727058+75110</f>
        <v>1802168</v>
      </c>
      <c r="D45" s="147"/>
      <c r="E45" s="147">
        <f t="shared" ref="E45:E53" si="17">SUM(C45:D45)-SUM(F45:Q45)</f>
        <v>1802168</v>
      </c>
      <c r="F45" s="147"/>
      <c r="G45" s="147"/>
      <c r="H45" s="147"/>
      <c r="I45" s="147"/>
      <c r="J45" s="147"/>
      <c r="K45" s="147"/>
      <c r="L45" s="147"/>
      <c r="M45" s="147"/>
      <c r="N45" s="147"/>
      <c r="O45" s="147"/>
      <c r="P45" s="147"/>
      <c r="Q45" s="147"/>
      <c r="R45" s="516">
        <f t="shared" ref="R45:R53" si="18">SUM(E45:Q45)</f>
        <v>1802168</v>
      </c>
      <c r="S45" s="147">
        <v>1051257</v>
      </c>
      <c r="T45" s="147"/>
      <c r="U45" s="143"/>
    </row>
    <row r="46" spans="1:21" s="144" customFormat="1">
      <c r="A46" s="145" t="s">
        <v>151</v>
      </c>
      <c r="B46" s="146">
        <f t="shared" si="16"/>
        <v>199839</v>
      </c>
      <c r="C46" s="147">
        <v>199839</v>
      </c>
      <c r="D46" s="147"/>
      <c r="E46" s="147">
        <f t="shared" si="17"/>
        <v>199839</v>
      </c>
      <c r="F46" s="147"/>
      <c r="G46" s="147"/>
      <c r="H46" s="147"/>
      <c r="I46" s="147"/>
      <c r="J46" s="147"/>
      <c r="K46" s="147"/>
      <c r="L46" s="147"/>
      <c r="M46" s="147"/>
      <c r="N46" s="147"/>
      <c r="O46" s="147"/>
      <c r="P46" s="147"/>
      <c r="Q46" s="147"/>
      <c r="R46" s="516">
        <f t="shared" si="18"/>
        <v>199839</v>
      </c>
      <c r="S46" s="147">
        <v>116677</v>
      </c>
      <c r="T46" s="147"/>
      <c r="U46" s="143"/>
    </row>
    <row r="47" spans="1:21" s="144" customFormat="1">
      <c r="A47" s="186" t="s">
        <v>152</v>
      </c>
      <c r="B47" s="146">
        <f t="shared" si="16"/>
        <v>0</v>
      </c>
      <c r="C47" s="147"/>
      <c r="D47" s="147"/>
      <c r="E47" s="147">
        <f t="shared" si="17"/>
        <v>0</v>
      </c>
      <c r="F47" s="147"/>
      <c r="G47" s="147"/>
      <c r="H47" s="147"/>
      <c r="I47" s="147"/>
      <c r="J47" s="147"/>
      <c r="K47" s="147"/>
      <c r="L47" s="147"/>
      <c r="M47" s="147"/>
      <c r="N47" s="147"/>
      <c r="O47" s="147"/>
      <c r="P47" s="147"/>
      <c r="Q47" s="147"/>
      <c r="R47" s="516">
        <f t="shared" si="18"/>
        <v>0</v>
      </c>
      <c r="S47" s="147"/>
      <c r="T47" s="147"/>
      <c r="U47" s="143"/>
    </row>
    <row r="48" spans="1:21" s="144" customFormat="1">
      <c r="A48" s="145" t="s">
        <v>153</v>
      </c>
      <c r="B48" s="146">
        <f t="shared" si="16"/>
        <v>278547</v>
      </c>
      <c r="C48" s="147">
        <v>278547</v>
      </c>
      <c r="D48" s="147"/>
      <c r="E48" s="147">
        <f t="shared" si="17"/>
        <v>278547</v>
      </c>
      <c r="F48" s="147"/>
      <c r="G48" s="147"/>
      <c r="H48" s="147"/>
      <c r="I48" s="147"/>
      <c r="J48" s="147"/>
      <c r="K48" s="147"/>
      <c r="L48" s="147"/>
      <c r="M48" s="147"/>
      <c r="N48" s="147"/>
      <c r="O48" s="147"/>
      <c r="P48" s="147"/>
      <c r="Q48" s="147"/>
      <c r="R48" s="516">
        <f t="shared" si="18"/>
        <v>278547</v>
      </c>
      <c r="S48" s="147">
        <f>R48</f>
        <v>278547</v>
      </c>
      <c r="T48" s="147"/>
      <c r="U48" s="143"/>
    </row>
    <row r="49" spans="1:21" s="144" customFormat="1">
      <c r="A49" s="145" t="s">
        <v>57</v>
      </c>
      <c r="B49" s="146">
        <f t="shared" si="16"/>
        <v>142549</v>
      </c>
      <c r="C49" s="147">
        <f>2500+45190+20379+2000+7780+4700+60000</f>
        <v>142549</v>
      </c>
      <c r="D49" s="147"/>
      <c r="E49" s="147">
        <f t="shared" si="17"/>
        <v>142549</v>
      </c>
      <c r="F49" s="147"/>
      <c r="G49" s="147"/>
      <c r="H49" s="147"/>
      <c r="I49" s="147"/>
      <c r="J49" s="147"/>
      <c r="K49" s="147"/>
      <c r="L49" s="147"/>
      <c r="M49" s="147"/>
      <c r="N49" s="147"/>
      <c r="O49" s="147"/>
      <c r="P49" s="147"/>
      <c r="Q49" s="147"/>
      <c r="R49" s="516">
        <f t="shared" si="18"/>
        <v>142549</v>
      </c>
      <c r="S49" s="147">
        <f>15361+640+11569+5217+512</f>
        <v>33299</v>
      </c>
      <c r="T49" s="147"/>
      <c r="U49" s="143"/>
    </row>
    <row r="50" spans="1:21" s="144" customFormat="1">
      <c r="A50" s="145" t="s">
        <v>156</v>
      </c>
      <c r="B50" s="146">
        <f t="shared" si="16"/>
        <v>100000</v>
      </c>
      <c r="C50" s="147">
        <v>100000</v>
      </c>
      <c r="D50" s="147"/>
      <c r="E50" s="147">
        <f t="shared" si="17"/>
        <v>100000</v>
      </c>
      <c r="F50" s="147"/>
      <c r="G50" s="147"/>
      <c r="H50" s="147"/>
      <c r="I50" s="147"/>
      <c r="J50" s="147"/>
      <c r="K50" s="147"/>
      <c r="L50" s="147"/>
      <c r="M50" s="147"/>
      <c r="N50" s="147"/>
      <c r="O50" s="147"/>
      <c r="P50" s="147"/>
      <c r="Q50" s="147"/>
      <c r="R50" s="516">
        <f t="shared" si="18"/>
        <v>100000</v>
      </c>
      <c r="S50" s="147">
        <f>R50</f>
        <v>100000</v>
      </c>
      <c r="T50" s="147"/>
      <c r="U50" s="143"/>
    </row>
    <row r="51" spans="1:21" s="144" customFormat="1">
      <c r="A51" s="283" t="s">
        <v>154</v>
      </c>
      <c r="B51" s="146">
        <f t="shared" si="16"/>
        <v>8000</v>
      </c>
      <c r="C51" s="147">
        <v>8000</v>
      </c>
      <c r="D51" s="147"/>
      <c r="E51" s="147">
        <f t="shared" si="17"/>
        <v>8000</v>
      </c>
      <c r="F51" s="147"/>
      <c r="G51" s="147"/>
      <c r="H51" s="147"/>
      <c r="I51" s="147"/>
      <c r="J51" s="147"/>
      <c r="K51" s="147"/>
      <c r="L51" s="147"/>
      <c r="M51" s="147"/>
      <c r="N51" s="147"/>
      <c r="O51" s="147"/>
      <c r="P51" s="147"/>
      <c r="Q51" s="147"/>
      <c r="R51" s="516">
        <f t="shared" si="18"/>
        <v>8000</v>
      </c>
      <c r="S51" s="147">
        <f>R51</f>
        <v>8000</v>
      </c>
      <c r="T51" s="147"/>
      <c r="U51" s="143"/>
    </row>
    <row r="52" spans="1:21" s="144" customFormat="1">
      <c r="A52" s="145" t="s">
        <v>155</v>
      </c>
      <c r="B52" s="146">
        <f t="shared" si="16"/>
        <v>297000</v>
      </c>
      <c r="C52" s="147">
        <v>297000</v>
      </c>
      <c r="D52" s="147"/>
      <c r="E52" s="147">
        <f t="shared" si="17"/>
        <v>297000</v>
      </c>
      <c r="F52" s="147"/>
      <c r="G52" s="147"/>
      <c r="H52" s="147"/>
      <c r="I52" s="147"/>
      <c r="J52" s="147"/>
      <c r="K52" s="147"/>
      <c r="L52" s="147"/>
      <c r="M52" s="147"/>
      <c r="N52" s="147"/>
      <c r="O52" s="147"/>
      <c r="P52" s="147"/>
      <c r="Q52" s="147"/>
      <c r="R52" s="516">
        <f t="shared" si="18"/>
        <v>297000</v>
      </c>
      <c r="S52" s="147">
        <f>R52</f>
        <v>297000</v>
      </c>
      <c r="T52" s="147"/>
      <c r="U52" s="143"/>
    </row>
    <row r="53" spans="1:21" s="144" customFormat="1">
      <c r="A53" s="1149" t="s">
        <v>34</v>
      </c>
      <c r="B53" s="146">
        <f t="shared" si="16"/>
        <v>0</v>
      </c>
      <c r="C53" s="147"/>
      <c r="D53" s="147"/>
      <c r="E53" s="147">
        <f t="shared" si="17"/>
        <v>0</v>
      </c>
      <c r="F53" s="147"/>
      <c r="G53" s="147"/>
      <c r="H53" s="147"/>
      <c r="I53" s="147"/>
      <c r="J53" s="147"/>
      <c r="K53" s="147"/>
      <c r="L53" s="147"/>
      <c r="M53" s="147"/>
      <c r="N53" s="147"/>
      <c r="O53" s="147"/>
      <c r="P53" s="147"/>
      <c r="Q53" s="147"/>
      <c r="R53" s="516">
        <f t="shared" si="18"/>
        <v>0</v>
      </c>
      <c r="S53" s="147"/>
      <c r="T53" s="147"/>
      <c r="U53" s="143"/>
    </row>
    <row r="54" spans="1:21" s="153" customFormat="1">
      <c r="A54" s="149" t="s">
        <v>157</v>
      </c>
      <c r="B54" s="150">
        <f>SUM(C54:D54)</f>
        <v>2828103</v>
      </c>
      <c r="C54" s="150">
        <f t="shared" ref="C54:T54" si="19">SUM(C45:C53)</f>
        <v>2828103</v>
      </c>
      <c r="D54" s="150">
        <f t="shared" si="19"/>
        <v>0</v>
      </c>
      <c r="E54" s="150">
        <f t="shared" si="19"/>
        <v>2828103</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2828103</v>
      </c>
      <c r="S54" s="150">
        <f t="shared" si="19"/>
        <v>1884780</v>
      </c>
      <c r="T54" s="150">
        <f t="shared" si="19"/>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22510</v>
      </c>
      <c r="C56" s="147">
        <v>22510</v>
      </c>
      <c r="D56" s="147"/>
      <c r="E56" s="147">
        <f t="shared" ref="E56:E61" si="21">SUM(C56:D56)-SUM(F56:Q56)</f>
        <v>22510</v>
      </c>
      <c r="F56" s="147"/>
      <c r="G56" s="147"/>
      <c r="H56" s="147"/>
      <c r="I56" s="147"/>
      <c r="J56" s="147"/>
      <c r="K56" s="147"/>
      <c r="L56" s="147"/>
      <c r="M56" s="147"/>
      <c r="N56" s="147"/>
      <c r="O56" s="147"/>
      <c r="P56" s="147"/>
      <c r="Q56" s="147"/>
      <c r="R56" s="516">
        <f t="shared" ref="R56:R61" si="22">SUM(E56:Q56)</f>
        <v>22510</v>
      </c>
      <c r="S56" s="148"/>
      <c r="T56" s="148"/>
      <c r="U56" s="143"/>
    </row>
    <row r="57" spans="1:21" s="192" customFormat="1">
      <c r="A57" s="186" t="s">
        <v>152</v>
      </c>
      <c r="B57" s="193">
        <f t="shared" si="20"/>
        <v>0</v>
      </c>
      <c r="C57" s="190"/>
      <c r="D57" s="190"/>
      <c r="E57" s="190">
        <f t="shared" si="21"/>
        <v>0</v>
      </c>
      <c r="F57" s="190"/>
      <c r="G57" s="190"/>
      <c r="H57" s="190"/>
      <c r="I57" s="190"/>
      <c r="J57" s="190"/>
      <c r="K57" s="190"/>
      <c r="L57" s="190"/>
      <c r="M57" s="190"/>
      <c r="N57" s="190"/>
      <c r="O57" s="190"/>
      <c r="P57" s="190"/>
      <c r="Q57" s="190"/>
      <c r="R57" s="516">
        <f t="shared" si="22"/>
        <v>0</v>
      </c>
      <c r="S57" s="194"/>
      <c r="T57" s="194"/>
      <c r="U57" s="191"/>
    </row>
    <row r="58" spans="1:21" s="144" customFormat="1">
      <c r="A58" s="145" t="s">
        <v>156</v>
      </c>
      <c r="B58" s="146">
        <f t="shared" si="20"/>
        <v>15000</v>
      </c>
      <c r="C58" s="147">
        <v>15000</v>
      </c>
      <c r="D58" s="147"/>
      <c r="E58" s="147">
        <f t="shared" si="21"/>
        <v>15000</v>
      </c>
      <c r="F58" s="147"/>
      <c r="G58" s="147"/>
      <c r="H58" s="147"/>
      <c r="I58" s="147"/>
      <c r="J58" s="147"/>
      <c r="K58" s="147"/>
      <c r="L58" s="147"/>
      <c r="M58" s="147"/>
      <c r="N58" s="147"/>
      <c r="O58" s="147"/>
      <c r="P58" s="147"/>
      <c r="Q58" s="147"/>
      <c r="R58" s="516">
        <f t="shared" si="22"/>
        <v>15000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34</v>
      </c>
      <c r="B61" s="146">
        <f t="shared" si="20"/>
        <v>0</v>
      </c>
      <c r="C61" s="147"/>
      <c r="D61" s="147"/>
      <c r="E61" s="147">
        <f t="shared" si="21"/>
        <v>0</v>
      </c>
      <c r="F61" s="147"/>
      <c r="G61" s="147"/>
      <c r="H61" s="147"/>
      <c r="I61" s="147"/>
      <c r="J61" s="147"/>
      <c r="K61" s="147"/>
      <c r="L61" s="147"/>
      <c r="M61" s="147"/>
      <c r="N61" s="147"/>
      <c r="O61" s="147"/>
      <c r="P61" s="147"/>
      <c r="Q61" s="147"/>
      <c r="R61" s="516">
        <f t="shared" si="22"/>
        <v>0</v>
      </c>
      <c r="S61" s="148"/>
      <c r="T61" s="148"/>
      <c r="U61" s="143"/>
    </row>
    <row r="62" spans="1:21" s="144" customFormat="1" ht="13.7" customHeight="1">
      <c r="A62" s="149" t="s">
        <v>300</v>
      </c>
      <c r="B62" s="146">
        <f>SUM(C62:D62)</f>
        <v>37510</v>
      </c>
      <c r="C62" s="146">
        <f t="shared" ref="C62:R62" si="23">SUM(C56:C61)</f>
        <v>37510</v>
      </c>
      <c r="D62" s="146">
        <f t="shared" si="23"/>
        <v>0</v>
      </c>
      <c r="E62" s="146">
        <f t="shared" si="23"/>
        <v>37510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37510</v>
      </c>
      <c r="S62" s="148"/>
      <c r="T62" s="148"/>
      <c r="U62" s="143"/>
    </row>
    <row r="63" spans="1:21" s="144" customFormat="1">
      <c r="A63" s="154" t="s">
        <v>301</v>
      </c>
      <c r="B63" s="146">
        <f t="shared" ref="B63:R63" si="24">SUM(B8+B11+B13+B14+B15+B26+B27+B38+B42+B43+B54+B62)</f>
        <v>27917739</v>
      </c>
      <c r="C63" s="146">
        <f t="shared" si="24"/>
        <v>27917739</v>
      </c>
      <c r="D63" s="146">
        <f t="shared" si="24"/>
        <v>0</v>
      </c>
      <c r="E63" s="146">
        <f t="shared" si="24"/>
        <v>16972750</v>
      </c>
      <c r="F63" s="146">
        <f t="shared" si="24"/>
        <v>2251000</v>
      </c>
      <c r="G63" s="146">
        <f t="shared" si="24"/>
        <v>3392621</v>
      </c>
      <c r="H63" s="146">
        <f t="shared" si="24"/>
        <v>2497538</v>
      </c>
      <c r="I63" s="146">
        <f t="shared" si="24"/>
        <v>1608830</v>
      </c>
      <c r="J63" s="146">
        <f t="shared" si="24"/>
        <v>795000</v>
      </c>
      <c r="K63" s="146">
        <f t="shared" si="24"/>
        <v>0</v>
      </c>
      <c r="L63" s="146">
        <f t="shared" si="24"/>
        <v>400000</v>
      </c>
      <c r="M63" s="146">
        <f t="shared" si="24"/>
        <v>0</v>
      </c>
      <c r="N63" s="146">
        <f t="shared" si="24"/>
        <v>0</v>
      </c>
      <c r="O63" s="146">
        <f t="shared" si="24"/>
        <v>0</v>
      </c>
      <c r="P63" s="146">
        <f t="shared" si="24"/>
        <v>0</v>
      </c>
      <c r="Q63" s="146">
        <f t="shared" si="24"/>
        <v>0</v>
      </c>
      <c r="R63" s="342">
        <f t="shared" si="24"/>
        <v>27917739</v>
      </c>
      <c r="S63" s="146">
        <f>SUM(S10+S13+S14+S15+S26+S27+S38+S42+S43+S54)</f>
        <v>26516906</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320000</v>
      </c>
      <c r="C65" s="147">
        <f>100000+30000+50000+90000+30000+20000</f>
        <v>320000</v>
      </c>
      <c r="D65" s="147"/>
      <c r="E65" s="147">
        <f t="shared" ref="E65:E69" si="25">SUM(C65:D65)-SUM(F65:Q65)</f>
        <v>320000</v>
      </c>
      <c r="F65" s="147"/>
      <c r="G65" s="147"/>
      <c r="H65" s="147"/>
      <c r="I65" s="147"/>
      <c r="J65" s="147"/>
      <c r="K65" s="147"/>
      <c r="L65" s="147"/>
      <c r="M65" s="147"/>
      <c r="N65" s="147"/>
      <c r="O65" s="147"/>
      <c r="P65" s="147"/>
      <c r="Q65" s="147"/>
      <c r="R65" s="516">
        <f>SUM(E65:Q65)</f>
        <v>320000</v>
      </c>
      <c r="S65" s="147">
        <f>100000+29193+52547</f>
        <v>181740</v>
      </c>
      <c r="T65" s="147"/>
      <c r="U65" s="143"/>
    </row>
    <row r="66" spans="1:21" s="144" customFormat="1" ht="24" customHeight="1">
      <c r="A66" s="283" t="s">
        <v>1641</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f t="shared" si="25"/>
        <v>0</v>
      </c>
      <c r="F69" s="147"/>
      <c r="G69" s="147"/>
      <c r="H69" s="147"/>
      <c r="I69" s="147"/>
      <c r="J69" s="147"/>
      <c r="K69" s="147"/>
      <c r="L69" s="147"/>
      <c r="M69" s="147"/>
      <c r="N69" s="147"/>
      <c r="O69" s="147"/>
      <c r="P69" s="147"/>
      <c r="Q69" s="147"/>
      <c r="R69" s="516">
        <f>SUM(E69:Q69)</f>
        <v>0</v>
      </c>
      <c r="S69" s="147"/>
      <c r="T69" s="147"/>
      <c r="U69" s="143"/>
    </row>
    <row r="70" spans="1:21" s="144" customFormat="1">
      <c r="A70" s="149" t="s">
        <v>1645</v>
      </c>
      <c r="B70" s="146">
        <f>SUM(C70:D70)</f>
        <v>320000</v>
      </c>
      <c r="C70" s="146">
        <f>SUM(C65:C69)</f>
        <v>320000</v>
      </c>
      <c r="D70" s="146">
        <f>SUM(D65:D69)</f>
        <v>0</v>
      </c>
      <c r="E70" s="146">
        <f t="shared" ref="E70:T70" si="26">SUM(E65:E69)</f>
        <v>320000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320000</v>
      </c>
      <c r="S70" s="150">
        <f t="shared" si="26"/>
        <v>181740</v>
      </c>
      <c r="T70" s="150">
        <f t="shared" si="26"/>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7">SUM(C72:D72)-SUM(F72:Q72)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166330</v>
      </c>
      <c r="C75" s="147">
        <v>166330</v>
      </c>
      <c r="D75" s="147"/>
      <c r="E75" s="147">
        <f t="shared" si="27"/>
        <v>166330</v>
      </c>
      <c r="F75" s="147"/>
      <c r="G75" s="147"/>
      <c r="H75" s="147"/>
      <c r="I75" s="147"/>
      <c r="J75" s="147"/>
      <c r="K75" s="147"/>
      <c r="L75" s="147"/>
      <c r="M75" s="147"/>
      <c r="N75" s="147"/>
      <c r="O75" s="147"/>
      <c r="P75" s="147"/>
      <c r="Q75" s="147"/>
      <c r="R75" s="516">
        <f>SUM(E75:Q75)</f>
        <v>166330</v>
      </c>
      <c r="S75" s="148"/>
      <c r="T75" s="148"/>
      <c r="U75" s="143"/>
    </row>
    <row r="76" spans="1:21" s="144" customFormat="1">
      <c r="A76" s="1149" t="s">
        <v>34</v>
      </c>
      <c r="B76" s="146">
        <f>SUM(C76+D76)</f>
        <v>0</v>
      </c>
      <c r="C76" s="147"/>
      <c r="D76" s="147"/>
      <c r="E76" s="147">
        <f t="shared" si="27"/>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166330</v>
      </c>
      <c r="C77" s="146">
        <f>SUM(C72:C76)</f>
        <v>166330</v>
      </c>
      <c r="D77" s="146">
        <f>SUM(D72:D76)</f>
        <v>0</v>
      </c>
      <c r="E77" s="146">
        <f t="shared" ref="E77:Q77" si="28">SUM(E72:E76)</f>
        <v>166330</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166330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1782951</v>
      </c>
      <c r="C79" s="147">
        <v>1782951</v>
      </c>
      <c r="D79" s="147"/>
      <c r="E79" s="147">
        <f t="shared" ref="E79:E80" si="29">SUM(C79:D79)-SUM(F79:Q79)</f>
        <v>1782951</v>
      </c>
      <c r="F79" s="147"/>
      <c r="G79" s="147"/>
      <c r="H79" s="147"/>
      <c r="I79" s="147"/>
      <c r="J79" s="147"/>
      <c r="K79" s="147"/>
      <c r="L79" s="147"/>
      <c r="M79" s="147"/>
      <c r="N79" s="147"/>
      <c r="O79" s="147"/>
      <c r="P79" s="147"/>
      <c r="Q79" s="147"/>
      <c r="R79" s="516">
        <f>SUM(E79:Q79)</f>
        <v>1782951</v>
      </c>
      <c r="S79" s="147">
        <f>R79</f>
        <v>1782951</v>
      </c>
      <c r="T79" s="147"/>
      <c r="U79" s="143"/>
    </row>
    <row r="80" spans="1:21" s="144" customFormat="1">
      <c r="A80" s="283" t="s">
        <v>58</v>
      </c>
      <c r="B80" s="146">
        <f>SUM(C80:D80)</f>
        <v>316818</v>
      </c>
      <c r="C80" s="147">
        <v>316818</v>
      </c>
      <c r="D80" s="147"/>
      <c r="E80" s="147">
        <f t="shared" si="29"/>
        <v>316818</v>
      </c>
      <c r="F80" s="147"/>
      <c r="G80" s="147"/>
      <c r="H80" s="147"/>
      <c r="I80" s="147"/>
      <c r="J80" s="147"/>
      <c r="K80" s="147"/>
      <c r="L80" s="147"/>
      <c r="M80" s="147"/>
      <c r="N80" s="147"/>
      <c r="O80" s="147"/>
      <c r="P80" s="147"/>
      <c r="Q80" s="147"/>
      <c r="R80" s="516">
        <f>SUM(E80:Q80)</f>
        <v>316818</v>
      </c>
      <c r="S80" s="147">
        <f>R80</f>
        <v>316818</v>
      </c>
      <c r="T80" s="147"/>
      <c r="U80" s="143"/>
    </row>
    <row r="81" spans="1:21" s="144" customFormat="1">
      <c r="A81" s="149" t="s">
        <v>1209</v>
      </c>
      <c r="B81" s="146">
        <f>SUM(C81:D81)</f>
        <v>2099769</v>
      </c>
      <c r="C81" s="509">
        <f>SUM(C79:C80)</f>
        <v>2099769</v>
      </c>
      <c r="D81" s="509">
        <f t="shared" ref="D81:T81" si="30">SUM(D79:D80)</f>
        <v>0</v>
      </c>
      <c r="E81" s="509">
        <f t="shared" si="30"/>
        <v>2099769</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2099769</v>
      </c>
      <c r="S81" s="509">
        <f t="shared" si="30"/>
        <v>2099769</v>
      </c>
      <c r="T81" s="509">
        <f t="shared" si="30"/>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31">SUM(C83+D83)</f>
        <v>57919</v>
      </c>
      <c r="C83" s="147">
        <v>57919</v>
      </c>
      <c r="D83" s="147"/>
      <c r="E83" s="147">
        <f t="shared" ref="E83:E95" si="32">SUM(C83:D83)-SUM(F83:Q83)</f>
        <v>57919</v>
      </c>
      <c r="F83" s="147"/>
      <c r="G83" s="147"/>
      <c r="H83" s="147"/>
      <c r="I83" s="147"/>
      <c r="J83" s="147"/>
      <c r="K83" s="147"/>
      <c r="L83" s="147"/>
      <c r="M83" s="147"/>
      <c r="N83" s="147"/>
      <c r="O83" s="147"/>
      <c r="P83" s="147"/>
      <c r="Q83" s="147"/>
      <c r="R83" s="516">
        <f t="shared" ref="R83:R95" si="33">SUM(E83:Q83)</f>
        <v>57919</v>
      </c>
      <c r="S83" s="148"/>
      <c r="T83" s="148"/>
      <c r="U83" s="143"/>
    </row>
    <row r="84" spans="1:21" s="144" customFormat="1">
      <c r="A84" s="145" t="s">
        <v>767</v>
      </c>
      <c r="B84" s="146">
        <f t="shared" si="31"/>
        <v>150000</v>
      </c>
      <c r="C84" s="147">
        <f>85000+65000</f>
        <v>150000</v>
      </c>
      <c r="D84" s="147"/>
      <c r="E84" s="147">
        <f t="shared" si="32"/>
        <v>150000</v>
      </c>
      <c r="F84" s="147"/>
      <c r="G84" s="147"/>
      <c r="H84" s="147"/>
      <c r="I84" s="147"/>
      <c r="J84" s="147"/>
      <c r="K84" s="147"/>
      <c r="L84" s="147"/>
      <c r="M84" s="147"/>
      <c r="N84" s="147"/>
      <c r="O84" s="147"/>
      <c r="P84" s="147"/>
      <c r="Q84" s="147"/>
      <c r="R84" s="516">
        <f t="shared" si="33"/>
        <v>150000</v>
      </c>
      <c r="S84" s="147">
        <f>R84</f>
        <v>150000</v>
      </c>
      <c r="T84" s="147"/>
      <c r="U84" s="143"/>
    </row>
    <row r="85" spans="1:21" s="144" customFormat="1">
      <c r="A85" s="145" t="s">
        <v>768</v>
      </c>
      <c r="B85" s="146">
        <f t="shared" si="31"/>
        <v>1619383</v>
      </c>
      <c r="C85" s="147">
        <f>1203349+416034</f>
        <v>1619383</v>
      </c>
      <c r="D85" s="147"/>
      <c r="E85" s="147">
        <f t="shared" si="32"/>
        <v>1203349</v>
      </c>
      <c r="F85" s="147"/>
      <c r="G85" s="147"/>
      <c r="H85" s="147"/>
      <c r="I85" s="147"/>
      <c r="J85" s="147"/>
      <c r="K85" s="147">
        <v>416034</v>
      </c>
      <c r="L85" s="147"/>
      <c r="M85" s="147"/>
      <c r="N85" s="147"/>
      <c r="O85" s="147"/>
      <c r="P85" s="147"/>
      <c r="Q85" s="147"/>
      <c r="R85" s="516">
        <f t="shared" si="33"/>
        <v>1619383</v>
      </c>
      <c r="S85" s="147">
        <f>R85-K85</f>
        <v>1203349</v>
      </c>
      <c r="T85" s="147"/>
      <c r="U85" s="143"/>
    </row>
    <row r="86" spans="1:21" s="144" customFormat="1">
      <c r="A86" s="145" t="s">
        <v>769</v>
      </c>
      <c r="B86" s="146">
        <f t="shared" si="31"/>
        <v>540000</v>
      </c>
      <c r="C86" s="147">
        <v>540000</v>
      </c>
      <c r="D86" s="147"/>
      <c r="E86" s="147">
        <f t="shared" si="32"/>
        <v>540000</v>
      </c>
      <c r="F86" s="147"/>
      <c r="G86" s="147"/>
      <c r="H86" s="147"/>
      <c r="I86" s="147"/>
      <c r="J86" s="147"/>
      <c r="K86" s="147"/>
      <c r="L86" s="147"/>
      <c r="M86" s="147"/>
      <c r="N86" s="147"/>
      <c r="O86" s="147"/>
      <c r="P86" s="147"/>
      <c r="Q86" s="147"/>
      <c r="R86" s="516">
        <f t="shared" si="33"/>
        <v>540000</v>
      </c>
      <c r="S86" s="147">
        <f>R86</f>
        <v>540000</v>
      </c>
      <c r="T86" s="147"/>
      <c r="U86" s="143"/>
    </row>
    <row r="87" spans="1:21" s="144" customFormat="1">
      <c r="A87" s="145" t="s">
        <v>770</v>
      </c>
      <c r="B87" s="146">
        <f>SUM(C87+D87)</f>
        <v>0</v>
      </c>
      <c r="C87" s="147"/>
      <c r="D87" s="147"/>
      <c r="E87" s="147">
        <f t="shared" si="32"/>
        <v>0</v>
      </c>
      <c r="F87" s="147"/>
      <c r="G87" s="147"/>
      <c r="H87" s="147"/>
      <c r="I87" s="147"/>
      <c r="J87" s="147"/>
      <c r="K87" s="147"/>
      <c r="L87" s="147"/>
      <c r="M87" s="147"/>
      <c r="N87" s="147"/>
      <c r="O87" s="147"/>
      <c r="P87" s="147"/>
      <c r="Q87" s="147"/>
      <c r="R87" s="516">
        <f t="shared" si="33"/>
        <v>0</v>
      </c>
      <c r="S87" s="147"/>
      <c r="T87" s="147"/>
      <c r="U87" s="143"/>
    </row>
    <row r="88" spans="1:21" s="144" customFormat="1">
      <c r="A88" s="145" t="s">
        <v>771</v>
      </c>
      <c r="B88" s="146">
        <f>SUM(C88+D88)</f>
        <v>63250</v>
      </c>
      <c r="C88" s="147">
        <f>20000+43250</f>
        <v>63250</v>
      </c>
      <c r="D88" s="147"/>
      <c r="E88" s="147">
        <f>SUM(C88:D88)-SUM(F88:Q88)</f>
        <v>63250</v>
      </c>
      <c r="F88" s="147"/>
      <c r="G88" s="147"/>
      <c r="H88" s="147"/>
      <c r="I88" s="147"/>
      <c r="J88" s="147"/>
      <c r="K88" s="147"/>
      <c r="L88" s="147"/>
      <c r="M88" s="147"/>
      <c r="N88" s="147"/>
      <c r="O88" s="147"/>
      <c r="P88" s="147"/>
      <c r="Q88" s="147"/>
      <c r="R88" s="516">
        <f t="shared" si="33"/>
        <v>63250</v>
      </c>
      <c r="S88" s="148"/>
      <c r="T88" s="148"/>
      <c r="U88" s="143"/>
    </row>
    <row r="89" spans="1:21" s="144" customFormat="1">
      <c r="A89" s="145" t="s">
        <v>772</v>
      </c>
      <c r="B89" s="146">
        <f t="shared" si="31"/>
        <v>135000</v>
      </c>
      <c r="C89" s="147">
        <v>135000</v>
      </c>
      <c r="D89" s="147"/>
      <c r="E89" s="147">
        <f t="shared" si="32"/>
        <v>135000</v>
      </c>
      <c r="F89" s="147"/>
      <c r="G89" s="147"/>
      <c r="H89" s="147"/>
      <c r="I89" s="147"/>
      <c r="J89" s="147"/>
      <c r="K89" s="147"/>
      <c r="L89" s="147"/>
      <c r="M89" s="147"/>
      <c r="N89" s="147"/>
      <c r="O89" s="147"/>
      <c r="P89" s="147"/>
      <c r="Q89" s="147"/>
      <c r="R89" s="516">
        <f t="shared" si="33"/>
        <v>135000</v>
      </c>
      <c r="S89" s="147">
        <f>R89</f>
        <v>135000</v>
      </c>
      <c r="T89" s="147"/>
      <c r="U89" s="143"/>
    </row>
    <row r="90" spans="1:21" s="144" customFormat="1">
      <c r="A90" s="145" t="s">
        <v>773</v>
      </c>
      <c r="B90" s="146">
        <f t="shared" si="31"/>
        <v>15000</v>
      </c>
      <c r="C90" s="147">
        <v>15000</v>
      </c>
      <c r="D90" s="147"/>
      <c r="E90" s="147">
        <f t="shared" si="32"/>
        <v>15000</v>
      </c>
      <c r="F90" s="147"/>
      <c r="G90" s="147"/>
      <c r="H90" s="147"/>
      <c r="I90" s="147"/>
      <c r="J90" s="147"/>
      <c r="K90" s="147"/>
      <c r="L90" s="147"/>
      <c r="M90" s="147"/>
      <c r="N90" s="147"/>
      <c r="O90" s="147"/>
      <c r="P90" s="147"/>
      <c r="Q90" s="147"/>
      <c r="R90" s="516">
        <f t="shared" si="33"/>
        <v>15000</v>
      </c>
      <c r="S90" s="147"/>
      <c r="T90" s="147"/>
      <c r="U90" s="143"/>
    </row>
    <row r="91" spans="1:21" s="144" customFormat="1">
      <c r="A91" s="145" t="s">
        <v>371</v>
      </c>
      <c r="B91" s="146">
        <f t="shared" si="31"/>
        <v>0</v>
      </c>
      <c r="C91" s="147"/>
      <c r="D91" s="147"/>
      <c r="E91" s="147">
        <f t="shared" si="32"/>
        <v>0</v>
      </c>
      <c r="F91" s="147"/>
      <c r="G91" s="147"/>
      <c r="H91" s="147"/>
      <c r="I91" s="147"/>
      <c r="J91" s="147"/>
      <c r="K91" s="147"/>
      <c r="L91" s="147"/>
      <c r="M91" s="147"/>
      <c r="N91" s="147"/>
      <c r="O91" s="147"/>
      <c r="P91" s="147"/>
      <c r="Q91" s="147"/>
      <c r="R91" s="516">
        <f t="shared" si="33"/>
        <v>0</v>
      </c>
      <c r="S91" s="147"/>
      <c r="T91" s="147"/>
      <c r="U91" s="143"/>
    </row>
    <row r="92" spans="1:21" s="144" customFormat="1">
      <c r="A92" s="283" t="s">
        <v>1211</v>
      </c>
      <c r="B92" s="146">
        <f t="shared" si="31"/>
        <v>15000</v>
      </c>
      <c r="C92" s="147">
        <v>15000</v>
      </c>
      <c r="D92" s="147"/>
      <c r="E92" s="147">
        <f t="shared" si="32"/>
        <v>15000</v>
      </c>
      <c r="F92" s="147"/>
      <c r="G92" s="147"/>
      <c r="H92" s="147"/>
      <c r="I92" s="147"/>
      <c r="J92" s="147"/>
      <c r="K92" s="147"/>
      <c r="L92" s="147"/>
      <c r="M92" s="147"/>
      <c r="N92" s="147"/>
      <c r="O92" s="147"/>
      <c r="P92" s="147"/>
      <c r="Q92" s="147"/>
      <c r="R92" s="516">
        <f t="shared" si="33"/>
        <v>15000</v>
      </c>
      <c r="S92" s="147">
        <f>R92</f>
        <v>15000</v>
      </c>
      <c r="T92" s="147"/>
      <c r="U92" s="143"/>
    </row>
    <row r="93" spans="1:21" s="144" customFormat="1">
      <c r="A93" s="1149" t="s">
        <v>2747</v>
      </c>
      <c r="B93" s="146">
        <f t="shared" si="31"/>
        <v>100000</v>
      </c>
      <c r="C93" s="147">
        <f>60000+40000</f>
        <v>100000</v>
      </c>
      <c r="D93" s="147"/>
      <c r="E93" s="147">
        <f t="shared" si="32"/>
        <v>100000</v>
      </c>
      <c r="F93" s="147"/>
      <c r="G93" s="147"/>
      <c r="H93" s="147"/>
      <c r="I93" s="147"/>
      <c r="J93" s="147"/>
      <c r="K93" s="147"/>
      <c r="L93" s="147"/>
      <c r="M93" s="147"/>
      <c r="N93" s="147"/>
      <c r="O93" s="147"/>
      <c r="P93" s="147"/>
      <c r="Q93" s="147"/>
      <c r="R93" s="516">
        <f t="shared" si="33"/>
        <v>100000</v>
      </c>
      <c r="S93" s="147">
        <f>R93</f>
        <v>100000</v>
      </c>
      <c r="T93" s="147"/>
      <c r="U93" s="143"/>
    </row>
    <row r="94" spans="1:21" s="144" customFormat="1">
      <c r="A94" s="1149" t="s">
        <v>2748</v>
      </c>
      <c r="B94" s="146">
        <f t="shared" si="31"/>
        <v>135000</v>
      </c>
      <c r="C94" s="147">
        <f>75000+60000</f>
        <v>135000</v>
      </c>
      <c r="D94" s="147"/>
      <c r="E94" s="147">
        <f t="shared" si="32"/>
        <v>135000</v>
      </c>
      <c r="F94" s="147"/>
      <c r="G94" s="147"/>
      <c r="H94" s="147"/>
      <c r="I94" s="147"/>
      <c r="J94" s="147"/>
      <c r="K94" s="147"/>
      <c r="L94" s="147"/>
      <c r="M94" s="147"/>
      <c r="N94" s="147"/>
      <c r="O94" s="147"/>
      <c r="P94" s="147"/>
      <c r="Q94" s="147"/>
      <c r="R94" s="516">
        <f t="shared" si="33"/>
        <v>135000</v>
      </c>
      <c r="S94" s="147">
        <f>R94</f>
        <v>135000</v>
      </c>
      <c r="T94" s="147"/>
      <c r="U94" s="143"/>
    </row>
    <row r="95" spans="1:21" s="144" customFormat="1">
      <c r="A95" s="1149" t="s">
        <v>2749</v>
      </c>
      <c r="B95" s="146">
        <f t="shared" si="31"/>
        <v>58500</v>
      </c>
      <c r="C95" s="147">
        <v>58500</v>
      </c>
      <c r="D95" s="147"/>
      <c r="E95" s="147">
        <f t="shared" si="32"/>
        <v>58500</v>
      </c>
      <c r="F95" s="147"/>
      <c r="G95" s="147"/>
      <c r="H95" s="147"/>
      <c r="I95" s="147"/>
      <c r="J95" s="147"/>
      <c r="K95" s="147"/>
      <c r="L95" s="147"/>
      <c r="M95" s="147"/>
      <c r="N95" s="147"/>
      <c r="O95" s="147"/>
      <c r="P95" s="147"/>
      <c r="Q95" s="147"/>
      <c r="R95" s="516">
        <f t="shared" si="33"/>
        <v>58500</v>
      </c>
      <c r="S95" s="147">
        <f>R95</f>
        <v>58500</v>
      </c>
      <c r="T95" s="147"/>
      <c r="U95" s="143"/>
    </row>
    <row r="96" spans="1:21" s="144" customFormat="1">
      <c r="A96" s="149" t="s">
        <v>774</v>
      </c>
      <c r="B96" s="146">
        <f>SUM(C96:D96)</f>
        <v>2889052</v>
      </c>
      <c r="C96" s="146">
        <f t="shared" ref="C96:R96" si="34">SUM(C83:C95)</f>
        <v>2889052</v>
      </c>
      <c r="D96" s="146">
        <f t="shared" si="34"/>
        <v>0</v>
      </c>
      <c r="E96" s="146">
        <f t="shared" si="34"/>
        <v>2473018</v>
      </c>
      <c r="F96" s="146">
        <f t="shared" si="34"/>
        <v>0</v>
      </c>
      <c r="G96" s="146">
        <f t="shared" si="34"/>
        <v>0</v>
      </c>
      <c r="H96" s="146">
        <f t="shared" si="34"/>
        <v>0</v>
      </c>
      <c r="I96" s="146">
        <f t="shared" si="34"/>
        <v>0</v>
      </c>
      <c r="J96" s="146">
        <f t="shared" si="34"/>
        <v>0</v>
      </c>
      <c r="K96" s="146">
        <f t="shared" si="34"/>
        <v>416034</v>
      </c>
      <c r="L96" s="146">
        <f t="shared" si="34"/>
        <v>0</v>
      </c>
      <c r="M96" s="146">
        <f t="shared" si="34"/>
        <v>0</v>
      </c>
      <c r="N96" s="146">
        <f t="shared" si="34"/>
        <v>0</v>
      </c>
      <c r="O96" s="146">
        <f t="shared" si="34"/>
        <v>0</v>
      </c>
      <c r="P96" s="146">
        <f t="shared" si="34"/>
        <v>0</v>
      </c>
      <c r="Q96" s="146">
        <f t="shared" si="34"/>
        <v>0</v>
      </c>
      <c r="R96" s="342">
        <f t="shared" si="34"/>
        <v>2889052</v>
      </c>
      <c r="S96" s="150">
        <f>SUM(S84:S87,S89:S95)</f>
        <v>2336849</v>
      </c>
      <c r="T96" s="146">
        <f>SUM(T84:T87,T89:T95)</f>
        <v>0</v>
      </c>
      <c r="U96" s="143"/>
    </row>
    <row r="97" spans="1:21" s="144" customFormat="1">
      <c r="A97" s="149" t="s">
        <v>775</v>
      </c>
      <c r="B97" s="146">
        <f>SUM(C97:D97)</f>
        <v>33392890</v>
      </c>
      <c r="C97" s="146">
        <f t="shared" ref="C97:R97" si="35">SUM(C63+C70+C77+C81+C96)</f>
        <v>33392890</v>
      </c>
      <c r="D97" s="146">
        <f t="shared" si="35"/>
        <v>0</v>
      </c>
      <c r="E97" s="146">
        <f t="shared" si="35"/>
        <v>22031867</v>
      </c>
      <c r="F97" s="146">
        <f t="shared" si="35"/>
        <v>2251000</v>
      </c>
      <c r="G97" s="146">
        <f t="shared" si="35"/>
        <v>3392621</v>
      </c>
      <c r="H97" s="146">
        <f t="shared" si="35"/>
        <v>2497538</v>
      </c>
      <c r="I97" s="146">
        <f t="shared" si="35"/>
        <v>1608830</v>
      </c>
      <c r="J97" s="146">
        <f t="shared" si="35"/>
        <v>795000</v>
      </c>
      <c r="K97" s="146">
        <f t="shared" si="35"/>
        <v>416034</v>
      </c>
      <c r="L97" s="146">
        <f t="shared" si="35"/>
        <v>400000</v>
      </c>
      <c r="M97" s="146">
        <f t="shared" si="35"/>
        <v>0</v>
      </c>
      <c r="N97" s="146">
        <f t="shared" si="35"/>
        <v>0</v>
      </c>
      <c r="O97" s="146">
        <f t="shared" si="35"/>
        <v>0</v>
      </c>
      <c r="P97" s="146">
        <f t="shared" si="35"/>
        <v>0</v>
      </c>
      <c r="Q97" s="146">
        <f t="shared" si="35"/>
        <v>0</v>
      </c>
      <c r="R97" s="146">
        <f t="shared" si="35"/>
        <v>33392890</v>
      </c>
      <c r="S97" s="146">
        <f>SUM(S63+S70+S81+S96)</f>
        <v>31135264</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4670289</v>
      </c>
      <c r="C99" s="979">
        <v>4670289</v>
      </c>
      <c r="D99" s="979"/>
      <c r="E99" s="979">
        <f t="shared" ref="E99:E103" si="36">SUM(C99:D99)-SUM(F99:Q99)</f>
        <v>2800000</v>
      </c>
      <c r="F99" s="147"/>
      <c r="G99" s="147"/>
      <c r="H99" s="147"/>
      <c r="I99" s="147"/>
      <c r="J99" s="147"/>
      <c r="K99" s="147"/>
      <c r="L99" s="147"/>
      <c r="M99" s="147">
        <v>1870289</v>
      </c>
      <c r="N99" s="147"/>
      <c r="O99" s="147"/>
      <c r="P99" s="147"/>
      <c r="Q99" s="147"/>
      <c r="R99" s="516">
        <f>SUM(E99:Q99)</f>
        <v>4670289</v>
      </c>
      <c r="S99" s="147">
        <f>R99</f>
        <v>4670289</v>
      </c>
      <c r="T99" s="147"/>
      <c r="U99" s="143"/>
    </row>
    <row r="100" spans="1:21" s="144" customFormat="1">
      <c r="A100" s="283" t="s">
        <v>1646</v>
      </c>
      <c r="B100" s="146">
        <f>SUM(C100+D100)</f>
        <v>0</v>
      </c>
      <c r="C100" s="147"/>
      <c r="D100" s="147"/>
      <c r="E100" s="147">
        <f t="shared" si="36"/>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6"/>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f t="shared" si="36"/>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6"/>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4670289</v>
      </c>
      <c r="C104" s="146">
        <f>SUM(C99:C103)</f>
        <v>4670289</v>
      </c>
      <c r="D104" s="146">
        <f t="shared" ref="D104:T104" si="37">SUM(D99:D103)</f>
        <v>0</v>
      </c>
      <c r="E104" s="146">
        <f t="shared" si="37"/>
        <v>2800000</v>
      </c>
      <c r="F104" s="146">
        <f t="shared" si="37"/>
        <v>0</v>
      </c>
      <c r="G104" s="146">
        <f t="shared" si="37"/>
        <v>0</v>
      </c>
      <c r="H104" s="146">
        <f t="shared" si="37"/>
        <v>0</v>
      </c>
      <c r="I104" s="146">
        <f t="shared" si="37"/>
        <v>0</v>
      </c>
      <c r="J104" s="146">
        <f t="shared" si="37"/>
        <v>0</v>
      </c>
      <c r="K104" s="146">
        <f t="shared" si="37"/>
        <v>0</v>
      </c>
      <c r="L104" s="146">
        <f t="shared" si="37"/>
        <v>0</v>
      </c>
      <c r="M104" s="146">
        <f t="shared" si="37"/>
        <v>1870289</v>
      </c>
      <c r="N104" s="146">
        <f t="shared" si="37"/>
        <v>0</v>
      </c>
      <c r="O104" s="146">
        <f t="shared" si="37"/>
        <v>0</v>
      </c>
      <c r="P104" s="146">
        <f t="shared" si="37"/>
        <v>0</v>
      </c>
      <c r="Q104" s="146">
        <f t="shared" si="37"/>
        <v>0</v>
      </c>
      <c r="R104" s="342">
        <f t="shared" si="37"/>
        <v>4670289</v>
      </c>
      <c r="S104" s="150">
        <f t="shared" si="37"/>
        <v>4670289</v>
      </c>
      <c r="T104" s="150">
        <f t="shared" si="37"/>
        <v>0</v>
      </c>
      <c r="U104" s="143"/>
    </row>
    <row r="105" spans="1:21" s="144" customFormat="1">
      <c r="A105" s="149" t="s">
        <v>780</v>
      </c>
      <c r="B105" s="150">
        <f>SUM(C105:D105)</f>
        <v>38063179</v>
      </c>
      <c r="C105" s="150">
        <f t="shared" ref="C105:R105" si="38">SUM(C97+C104)</f>
        <v>38063179</v>
      </c>
      <c r="D105" s="150">
        <f t="shared" si="38"/>
        <v>0</v>
      </c>
      <c r="E105" s="150">
        <f t="shared" si="38"/>
        <v>24831867</v>
      </c>
      <c r="F105" s="150">
        <f t="shared" si="38"/>
        <v>2251000</v>
      </c>
      <c r="G105" s="150">
        <f t="shared" si="38"/>
        <v>3392621</v>
      </c>
      <c r="H105" s="150">
        <f t="shared" si="38"/>
        <v>2497538</v>
      </c>
      <c r="I105" s="150">
        <f t="shared" si="38"/>
        <v>1608830</v>
      </c>
      <c r="J105" s="150">
        <f t="shared" si="38"/>
        <v>795000</v>
      </c>
      <c r="K105" s="150">
        <f t="shared" si="38"/>
        <v>416034</v>
      </c>
      <c r="L105" s="150">
        <f t="shared" si="38"/>
        <v>400000</v>
      </c>
      <c r="M105" s="150">
        <f t="shared" si="38"/>
        <v>1870289</v>
      </c>
      <c r="N105" s="150">
        <f t="shared" si="38"/>
        <v>0</v>
      </c>
      <c r="O105" s="150">
        <f t="shared" si="38"/>
        <v>0</v>
      </c>
      <c r="P105" s="150">
        <f t="shared" si="38"/>
        <v>0</v>
      </c>
      <c r="Q105" s="150">
        <f t="shared" si="38"/>
        <v>0</v>
      </c>
      <c r="R105" s="342">
        <f t="shared" si="38"/>
        <v>38063179</v>
      </c>
      <c r="S105" s="150">
        <f>S97+S104</f>
        <v>35805553</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35805553</v>
      </c>
      <c r="T107" s="150">
        <f>T105+T106</f>
        <v>0</v>
      </c>
    </row>
    <row r="108" spans="1:21" s="189" customFormat="1">
      <c r="A108" s="162" t="s">
        <v>879</v>
      </c>
      <c r="B108" s="157"/>
      <c r="C108" s="157"/>
      <c r="D108" s="157"/>
      <c r="E108" s="301">
        <f>Application!AO640</f>
        <v>24831867</v>
      </c>
      <c r="F108" s="301">
        <f>Application!AO627</f>
        <v>2251000</v>
      </c>
      <c r="G108" s="301">
        <f>Application!AO628</f>
        <v>3392621</v>
      </c>
      <c r="H108" s="301">
        <f>Application!AO629</f>
        <v>2497538</v>
      </c>
      <c r="I108" s="301">
        <f>Application!AO630</f>
        <v>1608830</v>
      </c>
      <c r="J108" s="301">
        <f>Application!AO631</f>
        <v>795000</v>
      </c>
      <c r="K108" s="301">
        <f>Application!AO632</f>
        <v>416034</v>
      </c>
      <c r="L108" s="301">
        <f>Application!AO633</f>
        <v>400000</v>
      </c>
      <c r="M108" s="301">
        <f>Application!AO634</f>
        <v>1870289</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2" t="s">
        <v>990</v>
      </c>
      <c r="E122" s="1872"/>
      <c r="F122" s="1872"/>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4"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299</v>
      </c>
      <c r="B129" s="333"/>
      <c r="C129" s="117"/>
      <c r="D129" s="1871" t="s">
        <v>997</v>
      </c>
      <c r="E129" s="1871"/>
      <c r="F129" s="1871"/>
      <c r="G129" s="1871"/>
      <c r="H129" s="1871"/>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75" t="s">
        <v>1000</v>
      </c>
      <c r="E132" s="1875"/>
      <c r="F132" s="1875"/>
      <c r="G132" s="1875"/>
      <c r="H132" s="1875"/>
      <c r="I132" s="117"/>
      <c r="J132" s="1875" t="s">
        <v>1001</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1004</v>
      </c>
      <c r="B139" s="1873"/>
      <c r="C139" s="1873"/>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2"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1227</v>
      </c>
      <c r="B1" s="1880"/>
      <c r="C1" s="1880"/>
      <c r="D1" s="1880"/>
      <c r="E1" s="1880"/>
      <c r="F1" s="1880"/>
      <c r="G1" s="1880"/>
      <c r="H1" s="1880"/>
      <c r="I1" s="1880"/>
      <c r="J1" s="1881"/>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400000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15000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415000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415000</v>
      </c>
      <c r="C12" s="361">
        <f>SUM(C8+C11)</f>
        <v>0</v>
      </c>
      <c r="D12" s="361">
        <f>SUM(D8+D11)</f>
        <v>0</v>
      </c>
      <c r="E12" s="363"/>
      <c r="F12" s="363"/>
      <c r="G12" s="363"/>
      <c r="H12" s="363"/>
      <c r="I12" s="363"/>
      <c r="J12" s="363"/>
      <c r="K12" s="359"/>
    </row>
    <row r="13" spans="1:11" s="360" customFormat="1">
      <c r="A13" s="366" t="s">
        <v>902</v>
      </c>
      <c r="B13" s="361">
        <f>'Sources and Uses Budget'!C13</f>
        <v>35000</v>
      </c>
      <c r="C13" s="362"/>
      <c r="D13" s="362"/>
      <c r="E13" s="361">
        <f>'Sources and Uses Budget'!S13</f>
        <v>30000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1187124</v>
      </c>
      <c r="C29" s="362"/>
      <c r="D29" s="362"/>
      <c r="E29" s="361">
        <f>'Sources and Uses Budget'!S29</f>
        <v>1187124</v>
      </c>
      <c r="F29" s="362"/>
      <c r="G29" s="362"/>
      <c r="H29" s="361">
        <f>'Sources and Uses Budget'!T29</f>
        <v>0</v>
      </c>
      <c r="I29" s="362"/>
      <c r="J29" s="362"/>
      <c r="K29" s="359"/>
    </row>
    <row r="30" spans="1:11" s="360" customFormat="1">
      <c r="A30" s="145" t="s">
        <v>599</v>
      </c>
      <c r="B30" s="361">
        <f>'Sources and Uses Budget'!C30</f>
        <v>19174485</v>
      </c>
      <c r="C30" s="362"/>
      <c r="D30" s="362"/>
      <c r="E30" s="361">
        <f>'Sources and Uses Budget'!S30</f>
        <v>19174485</v>
      </c>
      <c r="F30" s="362"/>
      <c r="G30" s="362"/>
      <c r="H30" s="361">
        <f>'Sources and Uses Budget'!T30</f>
        <v>0</v>
      </c>
      <c r="I30" s="362"/>
      <c r="J30" s="362"/>
      <c r="K30" s="359"/>
    </row>
    <row r="31" spans="1:11" s="360" customFormat="1">
      <c r="A31" s="145" t="s">
        <v>600</v>
      </c>
      <c r="B31" s="361">
        <f>'Sources and Uses Budget'!C31</f>
        <v>1425313</v>
      </c>
      <c r="C31" s="362"/>
      <c r="D31" s="362"/>
      <c r="E31" s="361">
        <f>'Sources and Uses Budget'!S31</f>
        <v>1425313</v>
      </c>
      <c r="F31" s="362"/>
      <c r="G31" s="362"/>
      <c r="H31" s="361">
        <f>'Sources and Uses Budget'!T31</f>
        <v>0</v>
      </c>
      <c r="I31" s="362"/>
      <c r="J31" s="362"/>
      <c r="K31" s="359"/>
    </row>
    <row r="32" spans="1:11" s="360" customFormat="1">
      <c r="A32" s="145" t="s">
        <v>137</v>
      </c>
      <c r="B32" s="361">
        <f>'Sources and Uses Budget'!C32</f>
        <v>610849</v>
      </c>
      <c r="C32" s="362"/>
      <c r="D32" s="362"/>
      <c r="E32" s="361">
        <f>'Sources and Uses Budget'!S32</f>
        <v>610849</v>
      </c>
      <c r="F32" s="362"/>
      <c r="G32" s="362"/>
      <c r="H32" s="361">
        <f>'Sources and Uses Budget'!T32</f>
        <v>0</v>
      </c>
      <c r="I32" s="362"/>
      <c r="J32" s="362"/>
      <c r="K32" s="359"/>
    </row>
    <row r="33" spans="1:11" s="360" customFormat="1">
      <c r="A33" s="145" t="s">
        <v>138</v>
      </c>
      <c r="B33" s="361">
        <f>'Sources and Uses Budget'!C33</f>
        <v>814465</v>
      </c>
      <c r="C33" s="362"/>
      <c r="D33" s="362"/>
      <c r="E33" s="361">
        <f>'Sources and Uses Budget'!S33</f>
        <v>814465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281890</v>
      </c>
      <c r="C35" s="362"/>
      <c r="D35" s="362"/>
      <c r="E35" s="361">
        <f>'Sources and Uses Budget'!S35</f>
        <v>281890</v>
      </c>
      <c r="F35" s="362"/>
      <c r="G35" s="362"/>
      <c r="H35" s="361">
        <f>'Sources and Uses Budget'!T35</f>
        <v>0</v>
      </c>
      <c r="I35" s="362"/>
      <c r="J35" s="362"/>
      <c r="K35" s="359"/>
    </row>
    <row r="36" spans="1:11" s="360" customFormat="1">
      <c r="A36" s="508" t="s">
        <v>1640</v>
      </c>
      <c r="B36" s="361">
        <f>'Sources and Uses Budget'!C36</f>
        <v>108000</v>
      </c>
      <c r="C36" s="362"/>
      <c r="D36" s="362"/>
      <c r="E36" s="361">
        <f>'Sources and Uses Budget'!S36</f>
        <v>108000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23602126</v>
      </c>
      <c r="C38" s="361">
        <f>SUM(C29:C37)</f>
        <v>0</v>
      </c>
      <c r="D38" s="361">
        <f>SUM(D29:D37)</f>
        <v>0</v>
      </c>
      <c r="E38" s="361">
        <f>'Sources and Uses Budget'!S38</f>
        <v>23602126</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600000</v>
      </c>
      <c r="C40" s="362"/>
      <c r="D40" s="362"/>
      <c r="E40" s="361">
        <f>'Sources and Uses Budget'!S40</f>
        <v>600000</v>
      </c>
      <c r="F40" s="362"/>
      <c r="G40" s="362"/>
      <c r="H40" s="361">
        <f>'Sources and Uses Budget'!T40</f>
        <v>0</v>
      </c>
      <c r="I40" s="362"/>
      <c r="J40" s="362"/>
      <c r="K40" s="359"/>
    </row>
    <row r="41" spans="1:11" s="360" customFormat="1">
      <c r="A41" s="364" t="s">
        <v>146</v>
      </c>
      <c r="B41" s="361">
        <f>'Sources and Uses Budget'!C41</f>
        <v>200000</v>
      </c>
      <c r="C41" s="362"/>
      <c r="D41" s="362"/>
      <c r="E41" s="361">
        <f>'Sources and Uses Budget'!S41</f>
        <v>200000</v>
      </c>
      <c r="F41" s="362"/>
      <c r="G41" s="362"/>
      <c r="H41" s="361">
        <f>'Sources and Uses Budget'!T41</f>
        <v>0</v>
      </c>
      <c r="I41" s="362"/>
      <c r="J41" s="362"/>
      <c r="K41" s="359"/>
    </row>
    <row r="42" spans="1:11" s="360" customFormat="1">
      <c r="A42" s="365" t="s">
        <v>147</v>
      </c>
      <c r="B42" s="361">
        <f>'Sources and Uses Budget'!C42</f>
        <v>800000</v>
      </c>
      <c r="C42" s="361">
        <f>SUM(C39:C41)</f>
        <v>0</v>
      </c>
      <c r="D42" s="361">
        <f>SUM(D39:D41)</f>
        <v>0</v>
      </c>
      <c r="E42" s="361">
        <f>'Sources and Uses Budget'!S42</f>
        <v>800000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200000</v>
      </c>
      <c r="C43" s="362"/>
      <c r="D43" s="362"/>
      <c r="E43" s="361">
        <f>'Sources and Uses Budget'!S43</f>
        <v>200000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1802168</v>
      </c>
      <c r="C45" s="362"/>
      <c r="D45" s="362"/>
      <c r="E45" s="361">
        <f>'Sources and Uses Budget'!S45</f>
        <v>1051257</v>
      </c>
      <c r="F45" s="362"/>
      <c r="G45" s="362"/>
      <c r="H45" s="361">
        <f>'Sources and Uses Budget'!T45</f>
        <v>0</v>
      </c>
      <c r="I45" s="362"/>
      <c r="J45" s="362"/>
      <c r="K45" s="359"/>
    </row>
    <row r="46" spans="1:11" s="360" customFormat="1">
      <c r="A46" s="364" t="s">
        <v>151</v>
      </c>
      <c r="B46" s="361">
        <f>'Sources and Uses Budget'!C46</f>
        <v>199839</v>
      </c>
      <c r="C46" s="362"/>
      <c r="D46" s="362"/>
      <c r="E46" s="361">
        <f>'Sources and Uses Budget'!S46</f>
        <v>116677</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278547</v>
      </c>
      <c r="C48" s="362"/>
      <c r="D48" s="362"/>
      <c r="E48" s="361">
        <f>'Sources and Uses Budget'!S48</f>
        <v>278547</v>
      </c>
      <c r="F48" s="362"/>
      <c r="G48" s="362"/>
      <c r="H48" s="361">
        <f>'Sources and Uses Budget'!T48</f>
        <v>0</v>
      </c>
      <c r="I48" s="362"/>
      <c r="J48" s="362"/>
      <c r="K48" s="359"/>
    </row>
    <row r="49" spans="1:11" s="360" customFormat="1">
      <c r="A49" s="283" t="s">
        <v>57</v>
      </c>
      <c r="B49" s="361">
        <f>'Sources and Uses Budget'!C49</f>
        <v>142549</v>
      </c>
      <c r="C49" s="362"/>
      <c r="D49" s="362"/>
      <c r="E49" s="361">
        <f>'Sources and Uses Budget'!S49</f>
        <v>33299</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8000</v>
      </c>
      <c r="C51" s="362"/>
      <c r="D51" s="362"/>
      <c r="E51" s="361">
        <f>'Sources and Uses Budget'!S51</f>
        <v>8000</v>
      </c>
      <c r="F51" s="362"/>
      <c r="G51" s="362"/>
      <c r="H51" s="361">
        <f>'Sources and Uses Budget'!T51</f>
        <v>0</v>
      </c>
      <c r="I51" s="362"/>
      <c r="J51" s="362"/>
      <c r="K51" s="359"/>
    </row>
    <row r="52" spans="1:11" s="360" customFormat="1">
      <c r="A52" s="364" t="s">
        <v>155</v>
      </c>
      <c r="B52" s="361">
        <f>'Sources and Uses Budget'!C52</f>
        <v>297000</v>
      </c>
      <c r="C52" s="362"/>
      <c r="D52" s="362"/>
      <c r="E52" s="361">
        <f>'Sources and Uses Budget'!S52</f>
        <v>297000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2828103</v>
      </c>
      <c r="C54" s="367">
        <f>SUM(C45:C53)</f>
        <v>0</v>
      </c>
      <c r="D54" s="367">
        <f>SUM(D45:D53)</f>
        <v>0</v>
      </c>
      <c r="E54" s="361">
        <f>'Sources and Uses Budget'!S54</f>
        <v>1884780</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22510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37510</v>
      </c>
      <c r="C62" s="361">
        <f>SUM(C56:C61)</f>
        <v>0</v>
      </c>
      <c r="D62" s="361">
        <f>SUM(D56:D61)</f>
        <v>0</v>
      </c>
      <c r="E62" s="363"/>
      <c r="F62" s="363"/>
      <c r="G62" s="363"/>
      <c r="H62" s="363"/>
      <c r="I62" s="363"/>
      <c r="J62" s="363"/>
      <c r="K62" s="359"/>
    </row>
    <row r="63" spans="1:11" s="360" customFormat="1">
      <c r="A63" s="370" t="s">
        <v>301</v>
      </c>
      <c r="B63" s="361">
        <f>'Sources and Uses Budget'!C63</f>
        <v>27917739</v>
      </c>
      <c r="C63" s="361">
        <f>SUM(C8+C11+C13+C14+C15+C26+C27+C38+C42+C43+C54+C62)</f>
        <v>0</v>
      </c>
      <c r="D63" s="361">
        <f>SUM(D8+D11+D13+D14+D15+D26+D27+D38+D42+D43+D54+D62)</f>
        <v>0</v>
      </c>
      <c r="E63" s="361">
        <f>'Sources and Uses Budget'!S63</f>
        <v>26516906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320000</v>
      </c>
      <c r="C65" s="362"/>
      <c r="D65" s="362"/>
      <c r="E65" s="361">
        <f>'Sources and Uses Budget'!S65</f>
        <v>181740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320000</v>
      </c>
      <c r="C70" s="361">
        <f>SUM(C64:C69)</f>
        <v>0</v>
      </c>
      <c r="D70" s="361">
        <f>SUM(D64:D69)</f>
        <v>0</v>
      </c>
      <c r="E70" s="361">
        <f>'Sources and Uses Budget'!S70</f>
        <v>181740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166330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166330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1782951</v>
      </c>
      <c r="C79" s="362"/>
      <c r="D79" s="362"/>
      <c r="E79" s="361">
        <f>'Sources and Uses Budget'!S79</f>
        <v>1782951</v>
      </c>
      <c r="F79" s="362"/>
      <c r="G79" s="362"/>
      <c r="H79" s="361">
        <f>'Sources and Uses Budget'!T79</f>
        <v>0</v>
      </c>
      <c r="I79" s="362"/>
      <c r="J79" s="362"/>
      <c r="K79" s="359"/>
    </row>
    <row r="80" spans="1:11" s="360" customFormat="1">
      <c r="A80" s="364" t="s">
        <v>58</v>
      </c>
      <c r="B80" s="361">
        <f>'Sources and Uses Budget'!C80</f>
        <v>316818</v>
      </c>
      <c r="C80" s="362"/>
      <c r="D80" s="362"/>
      <c r="E80" s="361">
        <f>'Sources and Uses Budget'!S80</f>
        <v>316818</v>
      </c>
      <c r="F80" s="362"/>
      <c r="G80" s="362"/>
      <c r="H80" s="361">
        <f>'Sources and Uses Budget'!T80</f>
        <v>0</v>
      </c>
      <c r="I80" s="362"/>
      <c r="J80" s="362"/>
      <c r="K80" s="359"/>
    </row>
    <row r="81" spans="1:11" s="360" customFormat="1">
      <c r="A81" s="365" t="s">
        <v>1209</v>
      </c>
      <c r="B81" s="361">
        <f>'Sources and Uses Budget'!C81</f>
        <v>2099769</v>
      </c>
      <c r="C81" s="361">
        <f>SUM(C79:C80)</f>
        <v>0</v>
      </c>
      <c r="D81" s="361">
        <f>SUM(D79:D80)</f>
        <v>0</v>
      </c>
      <c r="E81" s="361">
        <f>'Sources and Uses Budget'!S81</f>
        <v>2099769</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57919</v>
      </c>
      <c r="C83" s="362"/>
      <c r="D83" s="362"/>
      <c r="E83" s="363"/>
      <c r="F83" s="363"/>
      <c r="G83" s="363"/>
      <c r="H83" s="363"/>
      <c r="I83" s="363"/>
      <c r="J83" s="363"/>
      <c r="K83" s="359"/>
    </row>
    <row r="84" spans="1:11" s="360" customFormat="1">
      <c r="A84" s="145" t="s">
        <v>767</v>
      </c>
      <c r="B84" s="361">
        <f>'Sources and Uses Budget'!C84</f>
        <v>150000</v>
      </c>
      <c r="C84" s="362"/>
      <c r="D84" s="362"/>
      <c r="E84" s="361">
        <f>'Sources and Uses Budget'!S84</f>
        <v>150000</v>
      </c>
      <c r="F84" s="362"/>
      <c r="G84" s="362"/>
      <c r="H84" s="361">
        <f>'Sources and Uses Budget'!T84</f>
        <v>0</v>
      </c>
      <c r="I84" s="362"/>
      <c r="J84" s="362"/>
      <c r="K84" s="359"/>
    </row>
    <row r="85" spans="1:11" s="360" customFormat="1">
      <c r="A85" s="145" t="s">
        <v>768</v>
      </c>
      <c r="B85" s="361">
        <f>'Sources and Uses Budget'!C85</f>
        <v>1619383</v>
      </c>
      <c r="C85" s="362"/>
      <c r="D85" s="362"/>
      <c r="E85" s="361">
        <f>'Sources and Uses Budget'!S85</f>
        <v>1203349</v>
      </c>
      <c r="F85" s="362"/>
      <c r="G85" s="362"/>
      <c r="H85" s="361">
        <f>'Sources and Uses Budget'!T85</f>
        <v>0</v>
      </c>
      <c r="I85" s="362"/>
      <c r="J85" s="362"/>
      <c r="K85" s="359"/>
    </row>
    <row r="86" spans="1:11" s="360" customFormat="1">
      <c r="A86" s="145" t="s">
        <v>769</v>
      </c>
      <c r="B86" s="361">
        <f>'Sources and Uses Budget'!C86</f>
        <v>540000</v>
      </c>
      <c r="C86" s="362"/>
      <c r="D86" s="362"/>
      <c r="E86" s="361">
        <f>'Sources and Uses Budget'!S86</f>
        <v>540000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63250</v>
      </c>
      <c r="C88" s="362"/>
      <c r="D88" s="362"/>
      <c r="E88" s="363"/>
      <c r="F88" s="363"/>
      <c r="G88" s="363"/>
      <c r="H88" s="363"/>
      <c r="I88" s="363"/>
      <c r="J88" s="363"/>
      <c r="K88" s="359"/>
    </row>
    <row r="89" spans="1:11" s="360" customFormat="1">
      <c r="A89" s="145" t="s">
        <v>772</v>
      </c>
      <c r="B89" s="361">
        <f>'Sources and Uses Budget'!C89</f>
        <v>135000</v>
      </c>
      <c r="C89" s="362"/>
      <c r="D89" s="362"/>
      <c r="E89" s="361">
        <f>'Sources and Uses Budget'!S89</f>
        <v>135000</v>
      </c>
      <c r="F89" s="362"/>
      <c r="G89" s="362"/>
      <c r="H89" s="361">
        <f>'Sources and Uses Budget'!T89</f>
        <v>0</v>
      </c>
      <c r="I89" s="362"/>
      <c r="J89" s="362"/>
      <c r="K89" s="359"/>
    </row>
    <row r="90" spans="1:11" s="360" customFormat="1">
      <c r="A90" s="145" t="s">
        <v>773</v>
      </c>
      <c r="B90" s="361">
        <f>'Sources and Uses Budget'!C90</f>
        <v>15000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Green, Prevailing Wage Monitoring</v>
      </c>
      <c r="B93" s="361">
        <f>'Sources and Uses Budget'!C93</f>
        <v>100000</v>
      </c>
      <c r="C93" s="362"/>
      <c r="D93" s="362"/>
      <c r="E93" s="361">
        <f>'Sources and Uses Budget'!S93</f>
        <v>100000</v>
      </c>
      <c r="F93" s="362"/>
      <c r="G93" s="362"/>
      <c r="H93" s="361">
        <f>'Sources and Uses Budget'!T93</f>
        <v>0</v>
      </c>
      <c r="I93" s="362"/>
      <c r="J93" s="362"/>
      <c r="K93" s="359"/>
    </row>
    <row r="94" spans="1:11" s="360" customFormat="1">
      <c r="A94" s="364" t="str">
        <f>'Sources and Uses Budget'!$A94</f>
        <v>Deputy Inspections, Utility Fees</v>
      </c>
      <c r="B94" s="361">
        <f>'Sources and Uses Budget'!C94</f>
        <v>135000</v>
      </c>
      <c r="C94" s="362"/>
      <c r="D94" s="362"/>
      <c r="E94" s="361">
        <f>'Sources and Uses Budget'!S94</f>
        <v>135000</v>
      </c>
      <c r="F94" s="362"/>
      <c r="G94" s="362"/>
      <c r="H94" s="361">
        <f>'Sources and Uses Budget'!T94</f>
        <v>0</v>
      </c>
      <c r="I94" s="362"/>
      <c r="J94" s="362"/>
      <c r="K94" s="359"/>
    </row>
    <row r="95" spans="1:11" s="360" customFormat="1">
      <c r="A95" s="364" t="str">
        <f>'Sources and Uses Budget'!$A95</f>
        <v>Security</v>
      </c>
      <c r="B95" s="361">
        <f>'Sources and Uses Budget'!C95</f>
        <v>58500</v>
      </c>
      <c r="C95" s="362"/>
      <c r="D95" s="362"/>
      <c r="E95" s="361">
        <f>'Sources and Uses Budget'!S95</f>
        <v>58500</v>
      </c>
      <c r="F95" s="362"/>
      <c r="G95" s="362"/>
      <c r="H95" s="361">
        <f>'Sources and Uses Budget'!T95</f>
        <v>0</v>
      </c>
      <c r="I95" s="362"/>
      <c r="J95" s="362"/>
      <c r="K95" s="359"/>
    </row>
    <row r="96" spans="1:11" s="360" customFormat="1">
      <c r="A96" s="365" t="s">
        <v>774</v>
      </c>
      <c r="B96" s="361">
        <f>'Sources and Uses Budget'!C96</f>
        <v>2889052</v>
      </c>
      <c r="C96" s="361">
        <f>SUM(C83:C95)</f>
        <v>0</v>
      </c>
      <c r="D96" s="361">
        <f>SUM(D83:D95)</f>
        <v>0</v>
      </c>
      <c r="E96" s="361">
        <f>'Sources and Uses Budget'!S96</f>
        <v>2336849</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33392890</v>
      </c>
      <c r="C97" s="361">
        <f>SUM(C63+C70+C77+C81+C96)</f>
        <v>0</v>
      </c>
      <c r="D97" s="361">
        <f>SUM(D63+D70+D77+D81+D96)</f>
        <v>0</v>
      </c>
      <c r="E97" s="361">
        <f>'Sources and Uses Budget'!S97</f>
        <v>31135264</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4670289</v>
      </c>
      <c r="C99" s="362"/>
      <c r="D99" s="362"/>
      <c r="E99" s="361">
        <f>'Sources and Uses Budget'!S99</f>
        <v>4670289</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4670289</v>
      </c>
      <c r="C104" s="361">
        <f>SUM(C99:C103)</f>
        <v>0</v>
      </c>
      <c r="D104" s="361">
        <f>SUM(D99:D103)</f>
        <v>0</v>
      </c>
      <c r="E104" s="361">
        <f>'Sources and Uses Budget'!S104</f>
        <v>4670289</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38063179</v>
      </c>
      <c r="C105" s="367">
        <f>SUM(C97+C104)</f>
        <v>0</v>
      </c>
      <c r="D105" s="367">
        <f>SUM(D97+D104)</f>
        <v>0</v>
      </c>
      <c r="E105" s="361">
        <f>'Sources and Uses Budget'!S105</f>
        <v>35805553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35805553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20" workbookViewId="0">
      <selection activeCell="R36" sqref="R36:U36"/>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7" t="s">
        <v>2458</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2457</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9" t="str">
        <f>IF(Application!H18="","",Application!H18)</f>
        <v>I Street, Merced</v>
      </c>
      <c r="M4" s="2320"/>
      <c r="N4" s="2320"/>
      <c r="O4" s="2320"/>
      <c r="P4" s="2320"/>
      <c r="Q4" s="2320"/>
      <c r="R4" s="2320"/>
      <c r="S4" s="2320"/>
      <c r="T4" s="2320"/>
      <c r="U4" s="2320"/>
      <c r="V4" s="2320"/>
      <c r="W4" s="2320"/>
      <c r="X4" s="2320"/>
      <c r="Y4" s="2320"/>
      <c r="Z4" s="2320"/>
      <c r="AA4" s="2320"/>
      <c r="AB4" s="2320"/>
      <c r="AC4" s="2321"/>
      <c r="AD4" s="1190"/>
      <c r="AE4" s="1190"/>
      <c r="AF4" s="2315" t="s">
        <v>2456</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2455</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9" t="str">
        <f>IF(Application!H16="","",Application!H16)</f>
        <v>Linc Housing Corporation (as Sole Member and Manager of Linc I Street Apts LLC, the Managing General Partner of Linc I Street Apts, LP)</v>
      </c>
      <c r="M6" s="2320"/>
      <c r="N6" s="2320"/>
      <c r="O6" s="2320"/>
      <c r="P6" s="2320"/>
      <c r="Q6" s="2320"/>
      <c r="R6" s="2320"/>
      <c r="S6" s="2320"/>
      <c r="T6" s="2320"/>
      <c r="U6" s="2320"/>
      <c r="V6" s="2320"/>
      <c r="W6" s="2320"/>
      <c r="X6" s="2320"/>
      <c r="Y6" s="2320"/>
      <c r="Z6" s="2320"/>
      <c r="AA6" s="2320"/>
      <c r="AB6" s="2320"/>
      <c r="AC6" s="2321"/>
      <c r="AD6" s="1190"/>
      <c r="AE6" s="1190"/>
      <c r="AF6" s="2322" t="s">
        <v>2453</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2452</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2450</v>
      </c>
      <c r="AG8" s="2322"/>
      <c r="AH8" s="2322"/>
      <c r="AI8" s="2322"/>
      <c r="AJ8" s="2322"/>
      <c r="AK8" s="2322"/>
      <c r="AL8" s="2322"/>
      <c r="AM8" s="2322"/>
      <c r="AN8" s="2322"/>
      <c r="AO8" s="2322"/>
      <c r="AP8" s="2323" t="s">
        <v>2099</v>
      </c>
      <c r="AQ8" s="2323"/>
      <c r="AR8" s="2323"/>
      <c r="AS8" s="2323"/>
      <c r="AT8" s="2323"/>
      <c r="AU8" s="232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2449</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8">
        <f>Application!AO627</f>
        <v>2251000</v>
      </c>
      <c r="O10" s="2318"/>
      <c r="P10" s="2318"/>
      <c r="Q10" s="2318"/>
      <c r="R10" s="2318"/>
      <c r="S10" s="2318"/>
      <c r="T10" s="2318"/>
      <c r="U10" s="1190"/>
      <c r="V10" s="1190"/>
      <c r="W10" s="1190"/>
      <c r="X10" s="1193"/>
      <c r="Y10" s="1193"/>
      <c r="Z10" s="1193"/>
      <c r="AA10" s="1193"/>
      <c r="AB10" s="1193"/>
      <c r="AC10" s="1193"/>
      <c r="AD10" s="1193"/>
      <c r="AE10" s="1193"/>
      <c r="AF10" s="2315" t="s">
        <v>2446</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2443</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6" t="s">
        <v>2441</v>
      </c>
      <c r="C13" s="2307"/>
      <c r="D13" s="2307"/>
      <c r="E13" s="2307"/>
      <c r="F13" s="2307"/>
      <c r="G13" s="2307"/>
      <c r="H13" s="2307"/>
      <c r="I13" s="2307"/>
      <c r="J13" s="2307"/>
      <c r="K13" s="2307"/>
      <c r="L13" s="2307"/>
      <c r="M13" s="2307"/>
      <c r="N13" s="2307"/>
      <c r="O13" s="2307"/>
      <c r="P13" s="2308"/>
      <c r="Q13" s="2309" t="s">
        <v>669</v>
      </c>
      <c r="R13" s="2310"/>
      <c r="S13" s="2310"/>
      <c r="T13" s="2311"/>
      <c r="U13" s="1193"/>
      <c r="V13" s="1190"/>
      <c r="W13" s="1190"/>
      <c r="X13" s="1190"/>
      <c r="Y13" s="1190"/>
      <c r="Z13" s="1190"/>
      <c r="AA13" s="2296" t="s">
        <v>2440</v>
      </c>
      <c r="AB13" s="2296"/>
      <c r="AC13" s="2296"/>
      <c r="AD13" s="2296"/>
      <c r="AE13" s="2296"/>
      <c r="AF13" s="2296"/>
      <c r="AG13" s="2296"/>
      <c r="AH13" s="2296"/>
      <c r="AI13" s="2296"/>
      <c r="AJ13" s="2296"/>
      <c r="AK13" s="2296"/>
      <c r="AL13" s="2296"/>
      <c r="AM13" s="2296"/>
      <c r="AN13" s="2296"/>
      <c r="AO13" s="2312">
        <f>Application!W473</f>
        <v>0</v>
      </c>
      <c r="AP13" s="2313"/>
      <c r="AQ13" s="2313"/>
      <c r="AR13" s="2313"/>
      <c r="AS13" s="2313"/>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2438</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2437</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2436</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2435</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2434</v>
      </c>
      <c r="C18" s="2300"/>
      <c r="D18" s="2300"/>
      <c r="E18" s="2300"/>
      <c r="F18" s="2300"/>
      <c r="G18" s="2300"/>
      <c r="H18" s="2300"/>
      <c r="I18" s="2301"/>
      <c r="J18" s="2302" t="s">
        <v>1586</v>
      </c>
      <c r="K18" s="2303"/>
      <c r="L18" s="2303"/>
      <c r="M18" s="2303"/>
      <c r="N18" s="2303"/>
      <c r="O18" s="2304"/>
      <c r="P18" s="2302" t="s">
        <v>323</v>
      </c>
      <c r="Q18" s="2303"/>
      <c r="R18" s="2303"/>
      <c r="S18" s="2303"/>
      <c r="T18" s="2303"/>
      <c r="U18" s="2304"/>
      <c r="V18" s="2302" t="s">
        <v>324</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2433</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53</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53</v>
      </c>
      <c r="W19" s="2289"/>
      <c r="X19" s="2289"/>
      <c r="Y19" s="2289"/>
      <c r="Z19" s="2289"/>
      <c r="AA19" s="2290"/>
      <c r="AB19" s="2288" cm="1">
        <f t="array" ref="AB19">SUMPRODUCT((Application!$B$714:$B$738 = 'CalHFA Addendum'!AB$18)*(Application!$AC$714:$AC$738 = 'CalHFA Addendum'!$B19),Application!$G$714:$G$738)</f>
        <v>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0.98148148148148151</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0</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0</v>
      </c>
      <c r="W21" s="2289"/>
      <c r="X21" s="2289"/>
      <c r="Y21" s="2289"/>
      <c r="Z21" s="2289"/>
      <c r="AA21" s="2290"/>
      <c r="AB21" s="2288" cm="1">
        <f t="array" ref="AB21">SUMPRODUCT((Application!$B$714:$B$738 = 'CalHFA Addendum'!AB$18)*(Application!$AC$714:$AC$738 = 'CalHFA Addendum'!$B21),Application!$G$714:$G$738)</f>
        <v>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0</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0</v>
      </c>
      <c r="W22" s="2289"/>
      <c r="X22" s="2289"/>
      <c r="Y22" s="2289"/>
      <c r="Z22" s="2289"/>
      <c r="AA22" s="2290"/>
      <c r="AB22" s="2288" cm="1">
        <f t="array" ref="AB22">SUMPRODUCT((Application!$B$714:$B$738 = 'CalHFA Addendum'!AB$18)*(Application!$AC$714:$AC$738 = 'CalHFA Addendum'!$B22),Application!$G$714:$G$738)</f>
        <v>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0</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2432</v>
      </c>
      <c r="C28" s="2277"/>
      <c r="D28" s="2277"/>
      <c r="E28" s="2277"/>
      <c r="F28" s="2277"/>
      <c r="G28" s="2277"/>
      <c r="H28" s="2277"/>
      <c r="I28" s="2278"/>
      <c r="J28" s="2279">
        <f>SUM(P28:AS28)</f>
        <v>1</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0</v>
      </c>
      <c r="AC28" s="2280"/>
      <c r="AD28" s="2280"/>
      <c r="AE28" s="2280"/>
      <c r="AF28" s="2280"/>
      <c r="AG28" s="2281"/>
      <c r="AH28" s="2279">
        <f>_xlfn.IFNA(VLOOKUP(AH$18,Application!$J$773:$S$776,6,FALSE), 0)</f>
        <v>1</v>
      </c>
      <c r="AI28" s="2280"/>
      <c r="AJ28" s="2280"/>
      <c r="AK28" s="2280"/>
      <c r="AL28" s="2280"/>
      <c r="AM28" s="2281"/>
      <c r="AN28" s="2279">
        <f>_xlfn.IFNA(VLOOKUP(AN$18,Application!$J$773:$S$776,6,FALSE), 0)</f>
        <v>0</v>
      </c>
      <c r="AO28" s="2280"/>
      <c r="AP28" s="2280"/>
      <c r="AQ28" s="2280"/>
      <c r="AR28" s="2280"/>
      <c r="AS28" s="2281"/>
      <c r="AT28" s="2282">
        <f t="shared" si="1"/>
        <v>1.8518518518518517E-2</v>
      </c>
      <c r="AU28" s="2283"/>
      <c r="AV28" s="2283"/>
      <c r="AW28" s="2283"/>
      <c r="AX28" s="2283"/>
      <c r="AY28" s="2284"/>
      <c r="AZ28" s="1190"/>
      <c r="BA28" s="1190"/>
      <c r="BB28" s="1190"/>
      <c r="BC28" s="1190"/>
      <c r="BD28" s="1190"/>
      <c r="BE28" s="1194"/>
    </row>
    <row r="29" spans="1:58" thickBot="1">
      <c r="A29" s="1190"/>
      <c r="B29" s="2259" t="s">
        <v>1586</v>
      </c>
      <c r="C29" s="2232"/>
      <c r="D29" s="2232"/>
      <c r="E29" s="2232"/>
      <c r="F29" s="2232"/>
      <c r="G29" s="2232"/>
      <c r="H29" s="2232"/>
      <c r="I29" s="2233"/>
      <c r="J29" s="2231">
        <f>SUM(J19:O28)</f>
        <v>54</v>
      </c>
      <c r="K29" s="2232"/>
      <c r="L29" s="2232"/>
      <c r="M29" s="2232"/>
      <c r="N29" s="2232"/>
      <c r="O29" s="2233"/>
      <c r="P29" s="2231">
        <f>SUM(P19:U28)</f>
        <v>0</v>
      </c>
      <c r="Q29" s="2232"/>
      <c r="R29" s="2232"/>
      <c r="S29" s="2232"/>
      <c r="T29" s="2232"/>
      <c r="U29" s="2233"/>
      <c r="V29" s="2231">
        <f>SUM(V19:AA28)</f>
        <v>53</v>
      </c>
      <c r="W29" s="2232"/>
      <c r="X29" s="2232"/>
      <c r="Y29" s="2232"/>
      <c r="Z29" s="2232"/>
      <c r="AA29" s="2233"/>
      <c r="AB29" s="2231">
        <f>SUM(AB19:AG28)</f>
        <v>0</v>
      </c>
      <c r="AC29" s="2232"/>
      <c r="AD29" s="2232"/>
      <c r="AE29" s="2232"/>
      <c r="AF29" s="2232"/>
      <c r="AG29" s="2233"/>
      <c r="AH29" s="2231">
        <f>SUM(AH19:AM28)</f>
        <v>1</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2431</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2430</v>
      </c>
      <c r="C32" s="2241"/>
      <c r="D32" s="2241"/>
      <c r="E32" s="2241"/>
      <c r="F32" s="2241"/>
      <c r="G32" s="2241"/>
      <c r="H32" s="2241"/>
      <c r="I32" s="2241"/>
      <c r="J32" s="2244" t="s">
        <v>2429</v>
      </c>
      <c r="K32" s="2245"/>
      <c r="L32" s="2245"/>
      <c r="M32" s="2245"/>
      <c r="N32" s="2244" t="s">
        <v>2428</v>
      </c>
      <c r="O32" s="2245"/>
      <c r="P32" s="2245"/>
      <c r="Q32" s="2247"/>
      <c r="R32" s="2249" t="s">
        <v>2427</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2426</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2425</v>
      </c>
      <c r="AT35" s="2261"/>
      <c r="AU35" s="2261"/>
      <c r="AV35" s="2261"/>
      <c r="AW35" s="2261"/>
      <c r="AX35" s="2269"/>
      <c r="AY35" s="2260" t="s">
        <v>2424</v>
      </c>
      <c r="AZ35" s="2261"/>
      <c r="BA35" s="2261"/>
      <c r="BB35" s="2261"/>
      <c r="BC35" s="2261"/>
      <c r="BD35" s="2262"/>
      <c r="BE35" s="1194"/>
    </row>
    <row r="36" spans="1:58" ht="15.75" customHeight="1">
      <c r="A36" s="1190"/>
      <c r="B36" s="2164" t="s">
        <v>2423</v>
      </c>
      <c r="C36" s="2165"/>
      <c r="D36" s="2165"/>
      <c r="E36" s="2165"/>
      <c r="F36" s="2165"/>
      <c r="G36" s="2165"/>
      <c r="H36" s="2165"/>
      <c r="I36" s="2165"/>
      <c r="J36" s="2229" t="s">
        <v>2422</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2421</v>
      </c>
      <c r="C37" s="2165"/>
      <c r="D37" s="2165"/>
      <c r="E37" s="2165"/>
      <c r="F37" s="2165"/>
      <c r="G37" s="2165"/>
      <c r="H37" s="2165"/>
      <c r="I37" s="2165"/>
      <c r="J37" s="2229" t="s">
        <v>2420</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2419</v>
      </c>
      <c r="C38" s="2165"/>
      <c r="D38" s="2165"/>
      <c r="E38" s="2165"/>
      <c r="F38" s="2165"/>
      <c r="G38" s="2165"/>
      <c r="H38" s="2165"/>
      <c r="I38" s="2165"/>
      <c r="J38" s="2229" t="s">
        <v>2418</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2417</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2417</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2416</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2416</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2415</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2414</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2413</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2337</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299</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2410</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2403</v>
      </c>
      <c r="C51" s="2107"/>
      <c r="D51" s="2107"/>
      <c r="E51" s="2107"/>
      <c r="F51" s="2107"/>
      <c r="G51" s="2107"/>
      <c r="H51" s="2107"/>
      <c r="I51" s="2107"/>
      <c r="J51" s="2107" t="s">
        <v>2409</v>
      </c>
      <c r="K51" s="2107"/>
      <c r="L51" s="2107"/>
      <c r="M51" s="2107"/>
      <c r="N51" s="2107"/>
      <c r="O51" s="2107"/>
      <c r="P51" s="2107"/>
      <c r="Q51" s="2107"/>
      <c r="R51" s="2208" t="s">
        <v>2408</v>
      </c>
      <c r="S51" s="2208"/>
      <c r="T51" s="2208"/>
      <c r="U51" s="2208"/>
      <c r="V51" s="2208"/>
      <c r="W51" s="2208"/>
      <c r="X51" s="2208"/>
      <c r="Y51" s="2208"/>
      <c r="Z51" s="2208" t="s">
        <v>2407</v>
      </c>
      <c r="AA51" s="2208"/>
      <c r="AB51" s="2208"/>
      <c r="AC51" s="2208"/>
      <c r="AD51" s="2208"/>
      <c r="AE51" s="2208"/>
      <c r="AF51" s="2208"/>
      <c r="AG51" s="2208"/>
      <c r="AH51" s="2208" t="s">
        <v>2406</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2405</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2404</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1586</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2403</v>
      </c>
      <c r="C59" s="2198"/>
      <c r="D59" s="2198"/>
      <c r="E59" s="2198"/>
      <c r="F59" s="2198"/>
      <c r="G59" s="2198"/>
      <c r="H59" s="2198"/>
      <c r="I59" s="2199"/>
      <c r="J59" s="2105" t="s">
        <v>2402</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2400</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2399</v>
      </c>
      <c r="AD68" s="2031"/>
      <c r="AE68" s="2031"/>
      <c r="AF68" s="2031"/>
      <c r="AG68" s="2031"/>
      <c r="AH68" s="2031"/>
      <c r="AI68" s="2031"/>
      <c r="AJ68" s="2031"/>
      <c r="AK68" s="2031"/>
      <c r="AL68" s="2031"/>
      <c r="AM68" s="2031"/>
      <c r="AN68" s="2031"/>
      <c r="AO68" s="2031"/>
      <c r="AP68" s="2031"/>
      <c r="AQ68" s="2031"/>
      <c r="AR68" s="2031"/>
      <c r="AS68" s="2031"/>
      <c r="AT68" s="2031"/>
      <c r="AU68" s="2031"/>
      <c r="AV68" s="2181" t="s">
        <v>669</v>
      </c>
      <c r="AW68" s="2087"/>
      <c r="AX68" s="2087"/>
      <c r="AY68" s="2087"/>
      <c r="AZ68" s="2087"/>
      <c r="BA68" s="2087"/>
      <c r="BB68" s="2087"/>
      <c r="BC68" s="2088"/>
      <c r="BD68" s="1190"/>
      <c r="BE68" s="1194"/>
      <c r="BM68" s="1199" t="s">
        <v>2398</v>
      </c>
    </row>
    <row r="69" spans="1:94" ht="15.75" customHeight="1" thickTop="1" thickBot="1">
      <c r="A69" s="1190"/>
      <c r="B69" s="2182" t="s">
        <v>2397</v>
      </c>
      <c r="C69" s="2183"/>
      <c r="D69" s="2183"/>
      <c r="E69" s="2183"/>
      <c r="F69" s="2183"/>
      <c r="G69" s="2183"/>
      <c r="H69" s="2183"/>
      <c r="I69" s="2183"/>
      <c r="J69" s="2183"/>
      <c r="K69" s="2183"/>
      <c r="L69" s="2183"/>
      <c r="M69" s="2183"/>
      <c r="N69" s="2183"/>
      <c r="O69" s="2184" t="s">
        <v>2396</v>
      </c>
      <c r="P69" s="2185"/>
      <c r="Q69" s="2185"/>
      <c r="R69" s="2185"/>
      <c r="S69" s="2185"/>
      <c r="T69" s="2185"/>
      <c r="U69" s="2185"/>
      <c r="V69" s="2185"/>
      <c r="W69" s="2185"/>
      <c r="X69" s="2185"/>
      <c r="Y69" s="2185"/>
      <c r="Z69" s="2185"/>
      <c r="AA69" s="2186"/>
      <c r="AB69" s="1190"/>
      <c r="AC69" s="2187" t="s">
        <v>2395</v>
      </c>
      <c r="AD69" s="2188"/>
      <c r="AE69" s="2188"/>
      <c r="AF69" s="2188"/>
      <c r="AG69" s="2188"/>
      <c r="AH69" s="2188"/>
      <c r="AI69" s="2188"/>
      <c r="AJ69" s="2188"/>
      <c r="AK69" s="2188"/>
      <c r="AL69" s="2188"/>
      <c r="AM69" s="2188"/>
      <c r="AN69" s="2188"/>
      <c r="AO69" s="2188"/>
      <c r="AP69" s="2188"/>
      <c r="AQ69" s="2188"/>
      <c r="AR69" s="2188"/>
      <c r="AS69" s="2188"/>
      <c r="AT69" s="2188"/>
      <c r="AU69" s="2188"/>
      <c r="AV69" s="2181" t="s">
        <v>669</v>
      </c>
      <c r="AW69" s="2087"/>
      <c r="AX69" s="2087"/>
      <c r="AY69" s="2087"/>
      <c r="AZ69" s="2087"/>
      <c r="BA69" s="2087"/>
      <c r="BB69" s="2087"/>
      <c r="BC69" s="2088"/>
      <c r="BD69" s="1190"/>
      <c r="BE69" s="1194"/>
      <c r="BM69" s="1200" t="s">
        <v>545</v>
      </c>
    </row>
    <row r="70" spans="1:94" ht="15.75" customHeight="1">
      <c r="A70" s="1190"/>
      <c r="B70" s="2164" t="s">
        <v>2394</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2393</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669</v>
      </c>
    </row>
    <row r="71" spans="1:94" ht="15.75" customHeight="1" thickBot="1">
      <c r="A71" s="1190"/>
      <c r="B71" s="2164" t="s">
        <v>2392</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2391</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2390</v>
      </c>
    </row>
    <row r="72" spans="1:94" ht="15.75" customHeight="1">
      <c r="A72" s="1190"/>
      <c r="B72" s="2164" t="s">
        <v>2389</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2388</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2387</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2332</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2385</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2384</v>
      </c>
      <c r="C81" s="2159"/>
      <c r="D81" s="2159"/>
      <c r="E81" s="2159"/>
      <c r="F81" s="2159"/>
      <c r="G81" s="2159"/>
      <c r="H81" s="2159"/>
      <c r="I81" s="2159"/>
      <c r="J81" s="2159"/>
      <c r="K81" s="2159"/>
      <c r="L81" s="2159"/>
      <c r="M81" s="2159"/>
      <c r="N81" s="2159"/>
      <c r="O81" s="2159"/>
      <c r="P81" s="2159"/>
      <c r="Q81" s="2159"/>
      <c r="R81" s="2140" t="s">
        <v>2189</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2383</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2382</v>
      </c>
      <c r="AK83" s="2129"/>
      <c r="AL83" s="2129"/>
      <c r="AM83" s="2129"/>
      <c r="AN83" s="2129"/>
      <c r="AO83" s="2129"/>
      <c r="AP83" s="2129"/>
      <c r="AQ83" s="2129"/>
      <c r="AR83" s="2129"/>
      <c r="AS83" s="2129"/>
      <c r="AT83" s="2129"/>
      <c r="AU83" s="2129"/>
      <c r="AV83" s="2129"/>
      <c r="AW83" s="2129"/>
      <c r="AX83" s="2129"/>
      <c r="AY83" s="2145" t="s">
        <v>545</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2372</v>
      </c>
      <c r="J84" s="2107"/>
      <c r="K84" s="2107"/>
      <c r="L84" s="2107"/>
      <c r="M84" s="2107"/>
      <c r="N84" s="2107"/>
      <c r="O84" s="2107" t="s">
        <v>2348</v>
      </c>
      <c r="P84" s="2107"/>
      <c r="Q84" s="2107"/>
      <c r="R84" s="2107"/>
      <c r="S84" s="2107"/>
      <c r="T84" s="2107"/>
      <c r="U84" s="2107"/>
      <c r="V84" s="2143" t="s">
        <v>2347</v>
      </c>
      <c r="W84" s="2143"/>
      <c r="X84" s="2143"/>
      <c r="Y84" s="2143"/>
      <c r="Z84" s="2143"/>
      <c r="AA84" s="2143"/>
      <c r="AB84" s="2077" t="s">
        <v>2371</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2370</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2369</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2376</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2368</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2380</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2379</v>
      </c>
      <c r="C94" s="2159"/>
      <c r="D94" s="2159"/>
      <c r="E94" s="2159"/>
      <c r="F94" s="2159"/>
      <c r="G94" s="2159"/>
      <c r="H94" s="2159"/>
      <c r="I94" s="2159"/>
      <c r="J94" s="2159"/>
      <c r="K94" s="2159"/>
      <c r="L94" s="2159"/>
      <c r="M94" s="2159"/>
      <c r="N94" s="2159"/>
      <c r="O94" s="2159"/>
      <c r="P94" s="2159"/>
      <c r="Q94" s="2160"/>
      <c r="R94" s="2140" t="s">
        <v>2189</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2378</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2377</v>
      </c>
      <c r="AK96" s="2129"/>
      <c r="AL96" s="2129"/>
      <c r="AM96" s="2129"/>
      <c r="AN96" s="2129"/>
      <c r="AO96" s="2129"/>
      <c r="AP96" s="2129"/>
      <c r="AQ96" s="2129"/>
      <c r="AR96" s="2129"/>
      <c r="AS96" s="2129"/>
      <c r="AT96" s="2129"/>
      <c r="AU96" s="2129"/>
      <c r="AV96" s="2129"/>
      <c r="AW96" s="2129"/>
      <c r="AX96" s="2129"/>
      <c r="AY96" s="2145" t="s">
        <v>545</v>
      </c>
      <c r="AZ96" s="2145"/>
      <c r="BA96" s="2145"/>
      <c r="BB96" s="2146"/>
      <c r="BC96" s="1190"/>
      <c r="BD96" s="1190"/>
      <c r="BE96" s="1194"/>
      <c r="BQ96" s="1256" t="str">
        <f>Application!M243&amp;IF(TRIM(Application!AA249)&lt;&gt;""," ("&amp;Application!AA249&amp;")","")</f>
        <v>Linc I Street Apts LLC  (Linc Housing Corporation)</v>
      </c>
      <c r="BR96" s="1259">
        <f>Application!AH246</f>
        <v>0.01</v>
      </c>
      <c r="CM96" s="1188"/>
      <c r="CN96" s="1188"/>
      <c r="CO96" s="1188"/>
      <c r="CP96" s="1188"/>
    </row>
    <row r="97" spans="1:94" ht="15.75" customHeight="1">
      <c r="A97" s="1190"/>
      <c r="B97" s="2139"/>
      <c r="C97" s="2107"/>
      <c r="D97" s="2107"/>
      <c r="E97" s="2107"/>
      <c r="F97" s="2107"/>
      <c r="G97" s="2107"/>
      <c r="H97" s="2107"/>
      <c r="I97" s="2107" t="s">
        <v>2372</v>
      </c>
      <c r="J97" s="2107"/>
      <c r="K97" s="2107"/>
      <c r="L97" s="2107"/>
      <c r="M97" s="2107"/>
      <c r="N97" s="2107"/>
      <c r="O97" s="2107" t="s">
        <v>2348</v>
      </c>
      <c r="P97" s="2107"/>
      <c r="Q97" s="2107"/>
      <c r="R97" s="2107"/>
      <c r="S97" s="2107"/>
      <c r="T97" s="2107"/>
      <c r="U97" s="2107"/>
      <c r="V97" s="2143" t="s">
        <v>2347</v>
      </c>
      <c r="W97" s="2143"/>
      <c r="X97" s="2143"/>
      <c r="Y97" s="2143"/>
      <c r="Z97" s="2143"/>
      <c r="AA97" s="2143"/>
      <c r="AB97" s="2077" t="s">
        <v>2371</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Not Applicable</v>
      </c>
      <c r="BR97" s="1259">
        <f>Application!AH254</f>
        <v>0</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Not Applicable</v>
      </c>
      <c r="BR98" s="1259">
        <f>Application!AH262</f>
        <v>0</v>
      </c>
      <c r="CM98" s="1188"/>
      <c r="CN98" s="1188"/>
      <c r="CO98" s="1188"/>
      <c r="CP98" s="1188"/>
    </row>
    <row r="99" spans="1:94" ht="15.75" customHeight="1">
      <c r="A99" s="1190"/>
      <c r="B99" s="2139" t="s">
        <v>2370</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2369</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2376</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2368</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WinnResidential</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2373</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2372</v>
      </c>
      <c r="J108" s="2107"/>
      <c r="K108" s="2107"/>
      <c r="L108" s="2107"/>
      <c r="M108" s="2107"/>
      <c r="N108" s="2107"/>
      <c r="O108" s="2107" t="s">
        <v>2348</v>
      </c>
      <c r="P108" s="2107"/>
      <c r="Q108" s="2107"/>
      <c r="R108" s="2107"/>
      <c r="S108" s="2107"/>
      <c r="T108" s="2107"/>
      <c r="U108" s="2107"/>
      <c r="V108" s="2143" t="s">
        <v>2347</v>
      </c>
      <c r="W108" s="2143"/>
      <c r="X108" s="2143"/>
      <c r="Y108" s="2143"/>
      <c r="Z108" s="2143"/>
      <c r="AA108" s="2143"/>
      <c r="AB108" s="2077" t="s">
        <v>2371</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2370</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2369</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2368</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2366</v>
      </c>
      <c r="C117" s="2113"/>
      <c r="D117" s="2113"/>
      <c r="E117" s="2113"/>
      <c r="F117" s="2113"/>
      <c r="G117" s="2113"/>
      <c r="H117" s="2113"/>
      <c r="I117" s="2113"/>
      <c r="J117" s="2113"/>
      <c r="K117" s="2113"/>
      <c r="L117" s="2113"/>
      <c r="M117" s="2113"/>
      <c r="N117" s="2113"/>
      <c r="O117" s="2113"/>
      <c r="P117" s="2113"/>
      <c r="Q117" s="2113"/>
      <c r="R117" s="2113"/>
      <c r="S117" s="2113"/>
      <c r="T117" s="2113"/>
      <c r="U117" s="2116" t="s">
        <v>545</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2366</v>
      </c>
      <c r="C121" s="2121"/>
      <c r="D121" s="2121"/>
      <c r="E121" s="2121"/>
      <c r="F121" s="2121"/>
      <c r="G121" s="2121"/>
      <c r="H121" s="2121"/>
      <c r="I121" s="2121"/>
      <c r="J121" s="2121"/>
      <c r="K121" s="2121"/>
      <c r="L121" s="2121"/>
      <c r="M121" s="2121"/>
      <c r="N121" s="2121"/>
      <c r="O121" s="2121"/>
      <c r="P121" s="2121"/>
      <c r="Q121" s="2121"/>
      <c r="R121" s="2121"/>
      <c r="S121" s="2121"/>
      <c r="T121" s="2121"/>
      <c r="U121" s="2124" t="s">
        <v>545</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2364</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1576</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2363</v>
      </c>
      <c r="J127" s="2107"/>
      <c r="K127" s="2107"/>
      <c r="L127" s="2107"/>
      <c r="M127" s="2107"/>
      <c r="N127" s="2107"/>
      <c r="O127" s="2108" t="s">
        <v>2362</v>
      </c>
      <c r="P127" s="2108"/>
      <c r="Q127" s="2108"/>
      <c r="R127" s="2108"/>
      <c r="S127" s="2108"/>
      <c r="T127" s="2108"/>
      <c r="U127" s="2109"/>
      <c r="V127" s="1190"/>
      <c r="W127" s="1190"/>
      <c r="X127" s="2047" t="s">
        <v>2332</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2346</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2345</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2360</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2348</v>
      </c>
      <c r="J134" s="2082"/>
      <c r="K134" s="2082"/>
      <c r="L134" s="2082"/>
      <c r="M134" s="2082"/>
      <c r="N134" s="2082"/>
      <c r="O134" s="2082"/>
      <c r="P134" s="2082" t="s">
        <v>2347</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2346</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2345</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2359</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545</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2358</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2357</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545</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2356</v>
      </c>
      <c r="C142" s="2090"/>
      <c r="D142" s="2090"/>
      <c r="E142" s="2090"/>
      <c r="F142" s="2090"/>
      <c r="G142" s="2090"/>
      <c r="H142" s="2090"/>
      <c r="I142" s="2090"/>
      <c r="J142" s="2090"/>
      <c r="K142" s="2090"/>
      <c r="L142" s="2090"/>
      <c r="M142" s="2090"/>
      <c r="N142" s="2090"/>
      <c r="O142" s="2090"/>
      <c r="P142" s="2090"/>
      <c r="Q142" s="2090"/>
      <c r="R142" s="2091" t="s">
        <v>2355</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249</v>
      </c>
      <c r="BD142" s="1190"/>
      <c r="BE142" s="1194"/>
    </row>
    <row r="143" spans="1:57" ht="15.75" customHeight="1">
      <c r="A143" s="1190"/>
      <c r="B143" s="2093" t="s">
        <v>2354</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2351</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2350</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2348</v>
      </c>
      <c r="J157" s="2082"/>
      <c r="K157" s="2082"/>
      <c r="L157" s="2082"/>
      <c r="M157" s="2082"/>
      <c r="N157" s="2082"/>
      <c r="O157" s="2082"/>
      <c r="P157" s="2082" t="s">
        <v>2349</v>
      </c>
      <c r="Q157" s="2082"/>
      <c r="R157" s="2082"/>
      <c r="S157" s="2082"/>
      <c r="T157" s="2082"/>
      <c r="U157" s="2083"/>
      <c r="V157" s="1190"/>
      <c r="W157" s="1190"/>
      <c r="X157" s="2044"/>
      <c r="Y157" s="2045"/>
      <c r="Z157" s="2045"/>
      <c r="AA157" s="2045"/>
      <c r="AB157" s="2045"/>
      <c r="AC157" s="2045"/>
      <c r="AD157" s="2045"/>
      <c r="AE157" s="2082" t="s">
        <v>2348</v>
      </c>
      <c r="AF157" s="2082"/>
      <c r="AG157" s="2082"/>
      <c r="AH157" s="2082"/>
      <c r="AI157" s="2082"/>
      <c r="AJ157" s="2082"/>
      <c r="AK157" s="2082"/>
      <c r="AL157" s="2082" t="s">
        <v>2347</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2346</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2346</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2345</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2344</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2329</v>
      </c>
      <c r="D163" s="2045"/>
      <c r="E163" s="2045"/>
      <c r="F163" s="2045"/>
      <c r="G163" s="2045"/>
      <c r="H163" s="2045"/>
      <c r="I163" s="2045"/>
      <c r="J163" s="2045"/>
      <c r="K163" s="2045"/>
      <c r="L163" s="2045"/>
      <c r="M163" s="2045"/>
      <c r="N163" s="2045"/>
      <c r="O163" s="2045"/>
      <c r="P163" s="2045"/>
      <c r="Q163" s="2045" t="s">
        <v>2343</v>
      </c>
      <c r="R163" s="2045"/>
      <c r="S163" s="2045"/>
      <c r="T163" s="2077" t="s">
        <v>2342</v>
      </c>
      <c r="U163" s="2077"/>
      <c r="V163" s="2077"/>
      <c r="W163" s="2077"/>
      <c r="X163" s="2077"/>
      <c r="Y163" s="2077"/>
      <c r="Z163" s="2077"/>
      <c r="AA163" s="2077"/>
      <c r="AB163" s="2045" t="s">
        <v>2341</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2340</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2339</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2338</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2337</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169</v>
      </c>
      <c r="D168" s="2060"/>
      <c r="E168" s="2060"/>
      <c r="F168" s="2061" t="s">
        <v>2318</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169</v>
      </c>
      <c r="D169" s="2060"/>
      <c r="E169" s="2060"/>
      <c r="F169" s="2061" t="s">
        <v>2318</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169</v>
      </c>
      <c r="D170" s="2066"/>
      <c r="E170" s="2066"/>
      <c r="F170" s="2067" t="s">
        <v>2318</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2336</v>
      </c>
      <c r="D172" s="2031"/>
      <c r="E172" s="2031"/>
      <c r="F172" s="2031"/>
      <c r="G172" s="2031"/>
      <c r="H172" s="2031"/>
      <c r="I172" s="2031"/>
      <c r="J172" s="2031"/>
      <c r="K172" s="2031"/>
      <c r="L172" s="2031"/>
      <c r="M172" s="2031"/>
      <c r="N172" s="2040"/>
      <c r="O172" s="1190"/>
      <c r="P172" s="2041" t="s">
        <v>2335</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2334</v>
      </c>
      <c r="D173" s="2045"/>
      <c r="E173" s="2045"/>
      <c r="F173" s="2045"/>
      <c r="G173" s="2045"/>
      <c r="H173" s="2045"/>
      <c r="I173" s="2045" t="s">
        <v>2333</v>
      </c>
      <c r="J173" s="2045"/>
      <c r="K173" s="2045"/>
      <c r="L173" s="2045"/>
      <c r="M173" s="2045"/>
      <c r="N173" s="2046"/>
      <c r="O173" s="1190"/>
      <c r="P173" s="2047" t="s">
        <v>2332</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2331</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2329</v>
      </c>
      <c r="D184" s="2031"/>
      <c r="E184" s="2031"/>
      <c r="F184" s="2031"/>
      <c r="G184" s="2031"/>
      <c r="H184" s="2031"/>
      <c r="I184" s="2031"/>
      <c r="J184" s="2031"/>
      <c r="K184" s="2031"/>
      <c r="L184" s="2031"/>
      <c r="M184" s="2031"/>
      <c r="N184" s="2031" t="s">
        <v>2330</v>
      </c>
      <c r="O184" s="2031"/>
      <c r="P184" s="2031"/>
      <c r="Q184" s="2031"/>
      <c r="R184" s="2031"/>
      <c r="S184" s="2031"/>
      <c r="T184" s="2031"/>
      <c r="U184" s="2032" t="s">
        <v>2329</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2328</v>
      </c>
      <c r="D185" s="2010"/>
      <c r="E185" s="2010"/>
      <c r="F185" s="2010"/>
      <c r="G185" s="2010"/>
      <c r="H185" s="2010"/>
      <c r="I185" s="2010"/>
      <c r="J185" s="2010"/>
      <c r="K185" s="2010"/>
      <c r="L185" s="2010"/>
      <c r="M185" s="2010"/>
      <c r="N185" s="2020">
        <f>'Sources and Uses Budget'!B105</f>
        <v>38063179</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2327</v>
      </c>
      <c r="D186" s="2010"/>
      <c r="E186" s="2010"/>
      <c r="F186" s="2010"/>
      <c r="G186" s="2010"/>
      <c r="H186" s="2010"/>
      <c r="I186" s="2010"/>
      <c r="J186" s="2010"/>
      <c r="K186" s="2010"/>
      <c r="L186" s="2010"/>
      <c r="M186" s="2010"/>
      <c r="N186" s="2020">
        <f>N185/J29</f>
        <v>704873.68518518517</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2326</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2325</v>
      </c>
      <c r="D188" s="2010"/>
      <c r="E188" s="2010"/>
      <c r="F188" s="2010"/>
      <c r="G188" s="2010"/>
      <c r="H188" s="2010"/>
      <c r="I188" s="2010"/>
      <c r="J188" s="2010"/>
      <c r="K188" s="2010"/>
      <c r="L188" s="2010"/>
      <c r="M188" s="2010"/>
      <c r="N188" s="2039">
        <f>SUM('Sources and Uses Budget'!B85:B86)</f>
        <v>2159383</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2324</v>
      </c>
      <c r="D189" s="2010"/>
      <c r="E189" s="2010"/>
      <c r="F189" s="2010"/>
      <c r="G189" s="2010"/>
      <c r="H189" s="2010"/>
      <c r="I189" s="2010"/>
      <c r="J189" s="2010"/>
      <c r="K189" s="2010"/>
      <c r="L189" s="2010"/>
      <c r="M189" s="2010"/>
      <c r="N189" s="2039">
        <f>'Sources and Uses Budget'!B8</f>
        <v>415000</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2322</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2323</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2322</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2321</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2320</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299</v>
      </c>
      <c r="D192" s="2002"/>
      <c r="E192" s="1994" t="s">
        <v>2318</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2319</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299</v>
      </c>
      <c r="D193" s="1993"/>
      <c r="E193" s="1994" t="s">
        <v>2318</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299</v>
      </c>
      <c r="D194" s="1981"/>
      <c r="E194" s="1982" t="s">
        <v>2318</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2317</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2316</v>
      </c>
      <c r="D195" s="1964"/>
      <c r="E195" s="1964"/>
      <c r="F195" s="1964"/>
      <c r="G195" s="1964"/>
      <c r="H195" s="1964"/>
      <c r="I195" s="1964"/>
      <c r="J195" s="1964"/>
      <c r="K195" s="1964"/>
      <c r="L195" s="1964"/>
      <c r="M195" s="1964"/>
      <c r="N195" s="1965">
        <f>SUM(N187:T194)</f>
        <v>2574383</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2315</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2314</v>
      </c>
      <c r="D196" s="1974"/>
      <c r="E196" s="1974"/>
      <c r="F196" s="1974"/>
      <c r="G196" s="1974"/>
      <c r="H196" s="1974"/>
      <c r="I196" s="1974"/>
      <c r="J196" s="1974"/>
      <c r="K196" s="1974"/>
      <c r="L196" s="1974"/>
      <c r="M196" s="1974"/>
      <c r="N196" s="1975">
        <f>(N185-N195)/J29</f>
        <v>657199.92592592596</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2313</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2312</v>
      </c>
      <c r="D200" s="1961"/>
      <c r="E200" s="1961"/>
      <c r="F200" s="1961"/>
      <c r="G200" s="1961"/>
      <c r="H200" s="1961"/>
      <c r="I200" s="1961"/>
      <c r="J200" s="1961"/>
      <c r="K200" s="1961"/>
      <c r="L200" s="1961"/>
      <c r="M200" s="1961"/>
      <c r="N200" s="1961"/>
      <c r="O200" s="1962" t="s">
        <v>2311</v>
      </c>
      <c r="P200" s="1962"/>
      <c r="Q200" s="1962"/>
      <c r="R200" s="1962"/>
      <c r="S200" s="1962"/>
      <c r="T200" s="1962"/>
      <c r="U200" s="1962"/>
      <c r="V200" s="1962"/>
      <c r="W200" s="1962"/>
      <c r="X200" s="1962" t="s">
        <v>2310</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2309</v>
      </c>
      <c r="D201" s="1953"/>
      <c r="E201" s="1953"/>
      <c r="F201" s="1953"/>
      <c r="G201" s="1953"/>
      <c r="H201" s="1953"/>
      <c r="I201" s="1953"/>
      <c r="J201" s="1953"/>
      <c r="K201" s="1953"/>
      <c r="L201" s="1953"/>
      <c r="M201" s="1953"/>
      <c r="N201" s="1953"/>
      <c r="O201" s="1954" t="s">
        <v>2308</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854</v>
      </c>
      <c r="D202" s="1953"/>
      <c r="E202" s="1953"/>
      <c r="F202" s="1953"/>
      <c r="G202" s="1953"/>
      <c r="H202" s="1953"/>
      <c r="I202" s="1953"/>
      <c r="J202" s="1953"/>
      <c r="K202" s="1953"/>
      <c r="L202" s="1953"/>
      <c r="M202" s="1953"/>
      <c r="N202" s="1953"/>
      <c r="O202" s="1954" t="s">
        <v>2308</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2307</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2306</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2305</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2304</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2303</v>
      </c>
      <c r="D207" s="1932"/>
      <c r="E207" s="1932"/>
      <c r="F207" s="1933"/>
      <c r="G207" s="1937" t="s">
        <v>2302</v>
      </c>
      <c r="H207" s="1932"/>
      <c r="I207" s="1932"/>
      <c r="J207" s="1932"/>
      <c r="K207" s="1932"/>
      <c r="L207" s="1932"/>
      <c r="M207" s="1932"/>
      <c r="N207" s="1932"/>
      <c r="O207" s="1933"/>
      <c r="P207" s="1939" t="s">
        <v>2301</v>
      </c>
      <c r="Q207" s="1940"/>
      <c r="R207" s="1940"/>
      <c r="S207" s="1940"/>
      <c r="T207" s="1941"/>
      <c r="U207" s="1945" t="s">
        <v>2300</v>
      </c>
      <c r="V207" s="1946"/>
      <c r="W207" s="1946"/>
      <c r="X207" s="1947"/>
      <c r="Y207" s="1945" t="s">
        <v>2299</v>
      </c>
      <c r="Z207" s="1946"/>
      <c r="AA207" s="1946"/>
      <c r="AB207" s="1947"/>
      <c r="AC207" s="1945" t="s">
        <v>2298</v>
      </c>
      <c r="AD207" s="1946"/>
      <c r="AE207" s="1946"/>
      <c r="AF207" s="1947"/>
      <c r="AG207" s="1937" t="s">
        <v>2297</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1885</v>
      </c>
      <c r="H209" s="1922"/>
      <c r="I209" s="1922"/>
      <c r="J209" s="1922"/>
      <c r="K209" s="1922"/>
      <c r="L209" s="1922"/>
      <c r="M209" s="1922"/>
      <c r="N209" s="1922"/>
      <c r="O209" s="1922"/>
      <c r="P209" s="1923"/>
      <c r="Q209" s="1926"/>
      <c r="R209" s="1926"/>
      <c r="S209" s="1926"/>
      <c r="T209" s="1926"/>
      <c r="U209" s="1924" t="s">
        <v>1885</v>
      </c>
      <c r="V209" s="1924"/>
      <c r="W209" s="1924"/>
      <c r="X209" s="1924"/>
      <c r="Y209" s="1924" t="s">
        <v>1885</v>
      </c>
      <c r="Z209" s="1924"/>
      <c r="AA209" s="1924"/>
      <c r="AB209" s="1924"/>
      <c r="AC209" s="1925" t="s">
        <v>1885</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1885</v>
      </c>
      <c r="H210" s="1922"/>
      <c r="I210" s="1922"/>
      <c r="J210" s="1922"/>
      <c r="K210" s="1922"/>
      <c r="L210" s="1922"/>
      <c r="M210" s="1922"/>
      <c r="N210" s="1922"/>
      <c r="O210" s="1922"/>
      <c r="P210" s="1923"/>
      <c r="Q210" s="1923"/>
      <c r="R210" s="1923"/>
      <c r="S210" s="1923"/>
      <c r="T210" s="1923"/>
      <c r="U210" s="1924" t="s">
        <v>1885</v>
      </c>
      <c r="V210" s="1924"/>
      <c r="W210" s="1924"/>
      <c r="X210" s="1924"/>
      <c r="Y210" s="1924" t="s">
        <v>1885</v>
      </c>
      <c r="Z210" s="1924"/>
      <c r="AA210" s="1924"/>
      <c r="AB210" s="1924"/>
      <c r="AC210" s="1925" t="s">
        <v>1885</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1885</v>
      </c>
      <c r="H211" s="1922"/>
      <c r="I211" s="1922"/>
      <c r="J211" s="1922"/>
      <c r="K211" s="1922"/>
      <c r="L211" s="1922"/>
      <c r="M211" s="1922"/>
      <c r="N211" s="1922"/>
      <c r="O211" s="1922"/>
      <c r="P211" s="1923"/>
      <c r="Q211" s="1923"/>
      <c r="R211" s="1923"/>
      <c r="S211" s="1923"/>
      <c r="T211" s="1923"/>
      <c r="U211" s="1924" t="s">
        <v>1885</v>
      </c>
      <c r="V211" s="1924"/>
      <c r="W211" s="1924"/>
      <c r="X211" s="1924"/>
      <c r="Y211" s="1924" t="s">
        <v>1885</v>
      </c>
      <c r="Z211" s="1924"/>
      <c r="AA211" s="1924"/>
      <c r="AB211" s="1924"/>
      <c r="AC211" s="1925" t="s">
        <v>1885</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1885</v>
      </c>
      <c r="H212" s="1922"/>
      <c r="I212" s="1922"/>
      <c r="J212" s="1922"/>
      <c r="K212" s="1922"/>
      <c r="L212" s="1922"/>
      <c r="M212" s="1922"/>
      <c r="N212" s="1922"/>
      <c r="O212" s="1922"/>
      <c r="P212" s="1923"/>
      <c r="Q212" s="1923"/>
      <c r="R212" s="1923"/>
      <c r="S212" s="1923"/>
      <c r="T212" s="1923"/>
      <c r="U212" s="1924" t="s">
        <v>1885</v>
      </c>
      <c r="V212" s="1924"/>
      <c r="W212" s="1924"/>
      <c r="X212" s="1924"/>
      <c r="Y212" s="1924" t="s">
        <v>1885</v>
      </c>
      <c r="Z212" s="1924"/>
      <c r="AA212" s="1924"/>
      <c r="AB212" s="1924"/>
      <c r="AC212" s="1925" t="s">
        <v>1885</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1885</v>
      </c>
      <c r="H213" s="1922"/>
      <c r="I213" s="1922"/>
      <c r="J213" s="1922"/>
      <c r="K213" s="1922"/>
      <c r="L213" s="1922"/>
      <c r="M213" s="1922"/>
      <c r="N213" s="1922"/>
      <c r="O213" s="1922"/>
      <c r="P213" s="1923"/>
      <c r="Q213" s="1923"/>
      <c r="R213" s="1923"/>
      <c r="S213" s="1923"/>
      <c r="T213" s="1923"/>
      <c r="U213" s="1924" t="s">
        <v>1885</v>
      </c>
      <c r="V213" s="1924"/>
      <c r="W213" s="1924"/>
      <c r="X213" s="1924"/>
      <c r="Y213" s="1924" t="s">
        <v>1885</v>
      </c>
      <c r="Z213" s="1924"/>
      <c r="AA213" s="1924"/>
      <c r="AB213" s="1924"/>
      <c r="AC213" s="1925" t="s">
        <v>1885</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1885</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1885</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1885</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2296</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2294</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2293</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2292</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2291</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2289</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2288</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2287</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2286</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2285</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441</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2284</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2283</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3" workbookViewId="0">
      <selection activeCell="AB73" sqref="AB73"/>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80" t="s">
        <v>1280</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374</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35805553</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497</v>
      </c>
      <c r="C12" s="1308"/>
      <c r="D12" s="1308"/>
      <c r="E12" s="1308"/>
      <c r="F12" s="1308"/>
      <c r="G12" s="1308"/>
      <c r="H12" s="1308"/>
      <c r="I12" s="1308"/>
      <c r="J12" s="1308"/>
      <c r="K12" s="1308"/>
      <c r="L12" s="1308"/>
      <c r="M12" s="1308"/>
      <c r="N12" s="1308"/>
      <c r="O12" s="1308"/>
      <c r="P12" s="1308"/>
      <c r="Q12" s="1308"/>
      <c r="R12" s="1308"/>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498</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499</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500</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805</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501</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6" t="s">
        <v>960</v>
      </c>
      <c r="D18" s="1566"/>
      <c r="E18" s="1566"/>
      <c r="F18" s="1566"/>
      <c r="G18" s="1566"/>
      <c r="H18" s="1566"/>
      <c r="I18" s="1566"/>
      <c r="J18" s="1566"/>
      <c r="K18" s="1566"/>
      <c r="L18" s="1566"/>
      <c r="M18" s="1566"/>
      <c r="N18" s="1566"/>
      <c r="O18" s="1566"/>
      <c r="P18" s="1566"/>
      <c r="Q18" s="1566"/>
      <c r="R18" s="1566"/>
      <c r="S18" s="1567"/>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6" t="s">
        <v>960</v>
      </c>
      <c r="D19" s="1566"/>
      <c r="E19" s="1566"/>
      <c r="F19" s="1566"/>
      <c r="G19" s="1566"/>
      <c r="H19" s="1566"/>
      <c r="I19" s="1566"/>
      <c r="J19" s="1566"/>
      <c r="K19" s="1566"/>
      <c r="L19" s="1566"/>
      <c r="M19" s="1566"/>
      <c r="N19" s="1566"/>
      <c r="O19" s="1566"/>
      <c r="P19" s="1566"/>
      <c r="Q19" s="1566"/>
      <c r="R19" s="1566"/>
      <c r="S19" s="1567"/>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502</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1263</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503</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504</v>
      </c>
      <c r="C23" s="2347"/>
      <c r="D23" s="2347"/>
      <c r="E23" s="2347"/>
      <c r="F23" s="2347"/>
      <c r="G23" s="2347"/>
      <c r="H23" s="2347"/>
      <c r="I23" s="2347"/>
      <c r="J23" s="2347"/>
      <c r="K23" s="2347"/>
      <c r="L23" s="2347"/>
      <c r="M23" s="2347"/>
      <c r="N23" s="2347"/>
      <c r="O23" s="2347"/>
      <c r="P23" s="2347"/>
      <c r="Q23" s="2347"/>
      <c r="R23" s="2347"/>
      <c r="S23" s="2348"/>
      <c r="T23" s="2359">
        <f>T11+T22</f>
        <v>35805553</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961</v>
      </c>
      <c r="C24" s="2347"/>
      <c r="D24" s="2347"/>
      <c r="E24" s="2347"/>
      <c r="F24" s="2347"/>
      <c r="G24" s="2347"/>
      <c r="H24" s="2347"/>
      <c r="I24" s="2347"/>
      <c r="J24" s="2347"/>
      <c r="K24" s="2347"/>
      <c r="L24" s="2347"/>
      <c r="M24" s="2347"/>
      <c r="N24" s="2347"/>
      <c r="O24" s="2347"/>
      <c r="P24" s="2347"/>
      <c r="Q24" s="2347"/>
      <c r="R24" s="2347"/>
      <c r="S24" s="2348"/>
      <c r="T24" s="2350">
        <f>Application!AJ1053</f>
        <v>65067840</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1264</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505</v>
      </c>
      <c r="C26" s="2347"/>
      <c r="D26" s="2347"/>
      <c r="E26" s="2347"/>
      <c r="F26" s="2347"/>
      <c r="G26" s="2347"/>
      <c r="H26" s="2347"/>
      <c r="I26" s="2347"/>
      <c r="J26" s="2347"/>
      <c r="K26" s="2347"/>
      <c r="L26" s="2347"/>
      <c r="M26" s="2347"/>
      <c r="N26" s="2347"/>
      <c r="O26" s="2347"/>
      <c r="P26" s="2347"/>
      <c r="Q26" s="2347"/>
      <c r="R26" s="2347"/>
      <c r="S26" s="2348"/>
      <c r="T26" s="2359">
        <f>T23*T25</f>
        <v>46547218.899999999</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425</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506</v>
      </c>
      <c r="C28" s="2347"/>
      <c r="D28" s="2347"/>
      <c r="E28" s="2347"/>
      <c r="F28" s="2347"/>
      <c r="G28" s="2347"/>
      <c r="H28" s="2347"/>
      <c r="I28" s="2347"/>
      <c r="J28" s="2347"/>
      <c r="K28" s="2347"/>
      <c r="L28" s="2347"/>
      <c r="M28" s="2347"/>
      <c r="N28" s="2347"/>
      <c r="O28" s="2347"/>
      <c r="P28" s="2347"/>
      <c r="Q28" s="2347"/>
      <c r="R28" s="2347"/>
      <c r="S28" s="2348"/>
      <c r="T28" s="2359">
        <f>IF(ISERROR((T26*T27)),0,(T26*T27))</f>
        <v>46547218.899999999</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523</v>
      </c>
      <c r="C29" s="2347"/>
      <c r="D29" s="2347"/>
      <c r="E29" s="2347"/>
      <c r="F29" s="2347"/>
      <c r="G29" s="2347"/>
      <c r="H29" s="2347"/>
      <c r="I29" s="2347"/>
      <c r="J29" s="2347"/>
      <c r="K29" s="2347"/>
      <c r="L29" s="2347"/>
      <c r="M29" s="2347"/>
      <c r="N29" s="2347"/>
      <c r="O29" s="2347"/>
      <c r="P29" s="2347"/>
      <c r="Q29" s="2347"/>
      <c r="R29" s="2347"/>
      <c r="S29" s="2348"/>
      <c r="T29" s="2350">
        <f>T28+Y28+AD28+AI28</f>
        <v>46547218.899999999</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1266</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1265</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1154</v>
      </c>
      <c r="Z35" s="2360"/>
      <c r="AA35" s="2360"/>
      <c r="AB35" s="2360"/>
      <c r="AC35" s="2360"/>
      <c r="AD35" s="2361" t="s">
        <v>368</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506</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46547218.899999999</v>
      </c>
      <c r="Z38" s="2340"/>
      <c r="AA38" s="2340"/>
      <c r="AB38" s="2340"/>
      <c r="AC38" s="2340"/>
      <c r="AD38" s="2340">
        <f>IF(T24&gt;=(T23+Y23+AD23+AI23),AD28+AI28,0)</f>
        <v>0</v>
      </c>
      <c r="AE38" s="2340"/>
      <c r="AF38" s="2340"/>
      <c r="AG38" s="2340"/>
      <c r="AH38" s="2340"/>
    </row>
    <row r="39" spans="1:76" ht="12.95" customHeight="1">
      <c r="B39" s="2346" t="s">
        <v>1691</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642</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1861889</v>
      </c>
      <c r="Z40" s="2340"/>
      <c r="AA40" s="2340"/>
      <c r="AB40" s="2340"/>
      <c r="AC40" s="2340"/>
      <c r="AD40" s="2359">
        <f>ROUND(AD38*AD39,0)</f>
        <v>0</v>
      </c>
      <c r="AE40" s="2340"/>
      <c r="AF40" s="2340"/>
      <c r="AG40" s="2340"/>
      <c r="AH40" s="2340"/>
    </row>
    <row r="41" spans="1:76" ht="12.95" customHeight="1">
      <c r="B41" s="2346" t="s">
        <v>643</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1861889</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1276</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586</v>
      </c>
      <c r="C46" s="404" t="s">
        <v>281</v>
      </c>
    </row>
    <row r="47" spans="1:76" ht="12.95" customHeight="1">
      <c r="D47" s="404" t="s">
        <v>282</v>
      </c>
      <c r="AB47" s="2354">
        <f>'Sources and Uses Budget'!B105-MAX(IF('Sources and Uses Budget'!B15="",0,'Sources and Uses Budget'!B15),IF(Application!AG394="",0,Application!AG394))</f>
        <v>38063179</v>
      </c>
      <c r="AC47" s="2355"/>
      <c r="AD47" s="2355"/>
      <c r="AE47" s="2355"/>
      <c r="AF47" s="2356"/>
    </row>
    <row r="48" spans="1:76" ht="12.95" customHeight="1">
      <c r="D48" s="404" t="s">
        <v>21</v>
      </c>
      <c r="AB48" s="2354">
        <f>Application!AO639-MAX(IF('Sources and Uses Budget'!B15="",0,'Sources and Uses Budget'!B15),IF(Application!AG394="",0,Application!AG394))</f>
        <v>13231312</v>
      </c>
      <c r="AC48" s="2355"/>
      <c r="AD48" s="2355"/>
      <c r="AE48" s="2355"/>
      <c r="AF48" s="2356"/>
    </row>
    <row r="49" spans="1:76" ht="12.95" customHeight="1">
      <c r="D49" s="404" t="s">
        <v>91</v>
      </c>
      <c r="AB49" s="2354">
        <f>AB47-AB48</f>
        <v>24831867</v>
      </c>
      <c r="AC49" s="2355"/>
      <c r="AD49" s="2355"/>
      <c r="AE49" s="2355"/>
      <c r="AF49" s="2356"/>
    </row>
    <row r="50" spans="1:76" ht="12.95" customHeight="1">
      <c r="D50" s="404" t="s">
        <v>681</v>
      </c>
      <c r="AA50" s="415"/>
      <c r="AB50" s="2342">
        <f>15450118/18618890</f>
        <v>0.82980875873910853</v>
      </c>
      <c r="AC50" s="2343"/>
      <c r="AD50" s="2343"/>
      <c r="AE50" s="2343"/>
      <c r="AF50" s="2344"/>
    </row>
    <row r="51" spans="1:76" s="417" customFormat="1" ht="12.95" customHeight="1">
      <c r="A51" s="402"/>
      <c r="B51" s="402"/>
      <c r="C51" s="402"/>
      <c r="D51" s="402"/>
      <c r="E51" s="2353" t="s">
        <v>1850</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4">
        <f>ROUND(IF(ISERROR((AB49/AB50)),0,(AB49/AB50)),0)</f>
        <v>29924807</v>
      </c>
      <c r="AC54" s="2355"/>
      <c r="AD54" s="2355"/>
      <c r="AE54" s="2355"/>
      <c r="AF54" s="2356"/>
    </row>
    <row r="55" spans="1:76" ht="12.95" customHeight="1">
      <c r="D55" s="404" t="s">
        <v>332</v>
      </c>
      <c r="AB55" s="2354">
        <f>(AB54/10)</f>
        <v>2992480.7</v>
      </c>
      <c r="AC55" s="2355"/>
      <c r="AD55" s="2355"/>
      <c r="AE55" s="2355"/>
      <c r="AF55" s="2356"/>
    </row>
    <row r="56" spans="1:76" ht="12.95" customHeight="1">
      <c r="D56" s="404" t="s">
        <v>756</v>
      </c>
      <c r="AB56" s="2354">
        <f>ROUND((IF((Y41&lt;AB55),Y41,AB55)),0)</f>
        <v>1861889</v>
      </c>
      <c r="AC56" s="2355"/>
      <c r="AD56" s="2355"/>
      <c r="AE56" s="2355"/>
      <c r="AF56" s="2356"/>
    </row>
    <row r="57" spans="1:76" ht="12.95" customHeight="1">
      <c r="D57" s="404" t="s">
        <v>755</v>
      </c>
      <c r="AB57" s="2354">
        <f>ROUND((10*AB56*AB50),0)</f>
        <v>15450118</v>
      </c>
      <c r="AC57" s="2355"/>
      <c r="AD57" s="2355"/>
      <c r="AE57" s="2355"/>
      <c r="AF57" s="2356"/>
    </row>
    <row r="58" spans="1:76" ht="12.95" customHeight="1">
      <c r="D58" s="404"/>
      <c r="AB58" s="423"/>
      <c r="AC58" s="423"/>
      <c r="AD58" s="423"/>
      <c r="AE58" s="423"/>
      <c r="AF58" s="423"/>
    </row>
    <row r="59" spans="1:76" ht="12.95" customHeight="1">
      <c r="D59" s="404" t="s">
        <v>754</v>
      </c>
      <c r="AB59" s="2338">
        <f>AB49-AB57</f>
        <v>9381749</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589</v>
      </c>
      <c r="C63" s="205" t="s">
        <v>1248</v>
      </c>
      <c r="Y63" s="2349" t="s">
        <v>984</v>
      </c>
      <c r="Z63" s="2349"/>
      <c r="AA63" s="2349"/>
      <c r="AB63" s="2349"/>
      <c r="AC63" s="2349"/>
      <c r="AD63" s="2349" t="s">
        <v>368</v>
      </c>
      <c r="AE63" s="2349"/>
      <c r="AF63" s="2349"/>
      <c r="AG63" s="2349"/>
      <c r="AH63" s="2349"/>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35805553</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0.3</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2226</v>
      </c>
      <c r="Y68" s="2340">
        <f>ROUND(Y64*Y67,0)</f>
        <v>10741666</v>
      </c>
      <c r="Z68" s="2341"/>
      <c r="AA68" s="2341"/>
      <c r="AB68" s="2341"/>
      <c r="AC68" s="2341"/>
      <c r="AD68" s="2340">
        <f>ROUND(AD64*AD67,0)</f>
        <v>0</v>
      </c>
      <c r="AE68" s="2341"/>
      <c r="AF68" s="2341"/>
      <c r="AG68" s="2341"/>
      <c r="AH68" s="2341"/>
    </row>
    <row r="69" spans="1:36" ht="12.95" customHeight="1">
      <c r="C69" s="404"/>
      <c r="D69" s="205" t="s">
        <v>2227</v>
      </c>
      <c r="Y69" s="2340">
        <f>IF(OR(Application!Z205="State Farmworker Credit",Application!Z205="$500M (Farmworker Housing)"),Y68+AD68,MIN(Y68+AD68,200000*(Application!G753+Application!O777)))</f>
        <v>10741666</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42">
        <f>9381750/10661079</f>
        <v>0.88000004502358531</v>
      </c>
      <c r="AC72" s="2343"/>
      <c r="AD72" s="2343"/>
      <c r="AE72" s="2343"/>
      <c r="AF72" s="2344"/>
    </row>
    <row r="73" spans="1:36" ht="12.95" customHeight="1">
      <c r="A73" s="404"/>
      <c r="C73" s="404"/>
      <c r="D73" s="404"/>
      <c r="E73" s="2345" t="s">
        <v>1251</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3">
        <f>ROUND(IF(ISERROR((AB59/AB72)),0,(AB59/AB72)),0)</f>
        <v>10661078</v>
      </c>
      <c r="AC77" s="2333"/>
      <c r="AD77" s="2333"/>
      <c r="AE77" s="2333"/>
      <c r="AF77" s="2333"/>
    </row>
    <row r="78" spans="1:36" ht="12.95" customHeight="1">
      <c r="C78" s="404"/>
      <c r="D78" s="205" t="s">
        <v>1253</v>
      </c>
      <c r="AB78" s="2334">
        <f>ROUNDUP(MIN(Y69,AB77),0)</f>
        <v>10661078</v>
      </c>
      <c r="AC78" s="2335"/>
      <c r="AD78" s="2335"/>
      <c r="AE78" s="2335"/>
      <c r="AF78" s="2336"/>
    </row>
    <row r="79" spans="1:36" ht="12.95" customHeight="1">
      <c r="C79" s="404"/>
      <c r="D79" s="205" t="s">
        <v>1254</v>
      </c>
      <c r="AB79" s="2337">
        <f>AB78*AB72</f>
        <v>9381749.1199999545</v>
      </c>
      <c r="AC79" s="2337"/>
      <c r="AD79" s="2337"/>
      <c r="AE79" s="2337"/>
      <c r="AF79" s="2337"/>
    </row>
    <row r="80" spans="1:36" ht="12.95" customHeight="1">
      <c r="C80" s="404"/>
      <c r="D80" s="404"/>
      <c r="AB80" s="425"/>
      <c r="AC80" s="425"/>
      <c r="AD80" s="425"/>
      <c r="AE80" s="425"/>
      <c r="AF80" s="425"/>
    </row>
    <row r="81" spans="1:78" ht="12.95" customHeight="1">
      <c r="D81" s="404" t="s">
        <v>754</v>
      </c>
      <c r="AB81" s="2338">
        <f>AB49-(AB57+AB79)</f>
        <v>-0.1199999526143074</v>
      </c>
      <c r="AC81" s="2338"/>
      <c r="AD81" s="2338"/>
      <c r="AE81" s="2338"/>
      <c r="AF81" s="2338"/>
    </row>
    <row r="82" spans="1:78" ht="12.95" customHeight="1">
      <c r="F82" s="522"/>
      <c r="J82" s="522" t="str">
        <f>IF(AB81&gt;0,"FUNDING GAP MUST NOT EXCEED ZERO","")</f>
        <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416" workbookViewId="0">
      <selection activeCell="B115" sqref="B115:C11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31" t="s">
        <v>1300</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1305</v>
      </c>
      <c r="AF7" s="2412"/>
      <c r="AG7" s="2412"/>
      <c r="AH7" s="2412"/>
      <c r="AI7" s="2412"/>
      <c r="AJ7" s="2412"/>
      <c r="AK7" s="241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591</v>
      </c>
      <c r="C13" s="240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591</v>
      </c>
      <c r="C16" s="2402"/>
      <c r="D16" s="547"/>
      <c r="E16" s="2413" t="s">
        <v>1307</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591</v>
      </c>
      <c r="C22" s="2402"/>
      <c r="D22" s="547"/>
      <c r="E22" s="2438" t="s">
        <v>1310</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591</v>
      </c>
      <c r="C25" s="2402"/>
      <c r="D25" s="547"/>
      <c r="E25" s="2403" t="s">
        <v>2034</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591</v>
      </c>
      <c r="C28" s="2402"/>
      <c r="D28" s="547"/>
      <c r="E28" s="2426" t="s">
        <v>2250</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2" t="s">
        <v>591</v>
      </c>
      <c r="C33" s="2402"/>
      <c r="D33" s="547"/>
      <c r="E33" s="2438" t="s">
        <v>2252</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591</v>
      </c>
      <c r="C36" s="2402"/>
      <c r="D36" s="547"/>
      <c r="E36" s="2403" t="s">
        <v>2253</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591</v>
      </c>
      <c r="C40" s="2402"/>
      <c r="D40" s="547"/>
      <c r="E40" s="2403" t="s">
        <v>2251</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591</v>
      </c>
      <c r="C45" s="2402"/>
      <c r="D45" s="1142"/>
      <c r="E45" s="2403" t="s">
        <v>2009</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591</v>
      </c>
      <c r="C52" s="2402"/>
      <c r="D52" s="540"/>
      <c r="E52" s="2403" t="s">
        <v>2014</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591</v>
      </c>
      <c r="C56" s="2402"/>
      <c r="D56" s="540"/>
      <c r="E56" s="2423" t="s">
        <v>2015</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591</v>
      </c>
      <c r="C58" s="2402"/>
      <c r="D58" s="540"/>
      <c r="E58" s="2403" t="s">
        <v>2016</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1314</v>
      </c>
      <c r="AF65" s="2412"/>
      <c r="AG65" s="2412"/>
      <c r="AH65" s="2412"/>
      <c r="AI65" s="2412"/>
      <c r="AJ65" s="2412"/>
      <c r="AK65" s="241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545</v>
      </c>
      <c r="C68" s="2402"/>
      <c r="D68" s="547" t="s">
        <v>1315</v>
      </c>
      <c r="E68" s="2413" t="s">
        <v>2017</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10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10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1316</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545</v>
      </c>
      <c r="C74" s="240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545</v>
      </c>
      <c r="F75" s="240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591</v>
      </c>
      <c r="F76" s="2401"/>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591</v>
      </c>
      <c r="F77" s="2401"/>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591</v>
      </c>
      <c r="F79" s="240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591</v>
      </c>
      <c r="C81" s="2402"/>
      <c r="D81" s="547" t="s">
        <v>1320</v>
      </c>
      <c r="E81" s="2403" t="s">
        <v>1740</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1305</v>
      </c>
      <c r="AF87" s="2412"/>
      <c r="AG87" s="2412"/>
      <c r="AH87" s="2412"/>
      <c r="AI87" s="2412"/>
      <c r="AJ87" s="2412"/>
      <c r="AK87" s="241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545</v>
      </c>
      <c r="C90" s="2402"/>
      <c r="D90" s="547" t="s">
        <v>1315</v>
      </c>
      <c r="E90" s="2413" t="s">
        <v>1325</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0.3</v>
      </c>
      <c r="F93" s="2397"/>
      <c r="G93" s="2397"/>
      <c r="H93" s="2397"/>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0.3</v>
      </c>
      <c r="F94" s="2399"/>
      <c r="G94" s="2399"/>
      <c r="H94" s="239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20</v>
      </c>
      <c r="F95" s="2430"/>
      <c r="G95" s="2430"/>
      <c r="H95" s="243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591</v>
      </c>
      <c r="C98" s="2402"/>
      <c r="D98" s="547" t="s">
        <v>1317</v>
      </c>
      <c r="E98" s="2413" t="s">
        <v>1725</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0.3</v>
      </c>
      <c r="F103" s="2397"/>
      <c r="G103" s="2397"/>
      <c r="H103" s="2397"/>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1</v>
      </c>
      <c r="F104" s="2397"/>
      <c r="G104" s="2397"/>
      <c r="H104" s="2397"/>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v>
      </c>
      <c r="F105" s="2397"/>
      <c r="G105" s="2397"/>
      <c r="H105" s="2397"/>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5">
        <f>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1314</v>
      </c>
      <c r="AF112" s="2412"/>
      <c r="AG112" s="2412"/>
      <c r="AH112" s="2412"/>
      <c r="AI112" s="2412"/>
      <c r="AJ112" s="2412"/>
      <c r="AK112" s="2412"/>
      <c r="AL112" s="540"/>
      <c r="AM112" s="540"/>
      <c r="AN112" s="535"/>
      <c r="AO112" s="536" t="str">
        <f>Application!B718</f>
        <v>1 Bedroom</v>
      </c>
      <c r="AQ112" s="536">
        <f>Application!O718</f>
        <v>416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416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402" t="s">
        <v>545</v>
      </c>
      <c r="C115" s="2402"/>
      <c r="D115" s="547" t="s">
        <v>1315</v>
      </c>
      <c r="E115" s="2413" t="s">
        <v>1858</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f>Application!B723</f>
        <v>0</v>
      </c>
      <c r="AQ117" s="536">
        <f>Application!O723</f>
        <v>0</v>
      </c>
      <c r="AU117" s="856" t="str">
        <f>J124</f>
        <v>1-bedroom</v>
      </c>
      <c r="AV117" s="536">
        <f t="array" ref="AV117">SUM(IF(Application!B718:F752="1 Bedroom",Application!G718:J752))</f>
        <v>53</v>
      </c>
      <c r="AW117" s="1011">
        <f>AV117/AV122</f>
        <v>1</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f>Application!B728</f>
        <v>0</v>
      </c>
      <c r="AQ122" s="536">
        <f>Application!O728</f>
        <v>0</v>
      </c>
      <c r="AV122" s="536">
        <f>SUM(AV116:AV121)</f>
        <v>53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1588</v>
      </c>
      <c r="F124" s="2397"/>
      <c r="G124" s="2397"/>
      <c r="H124" s="2397"/>
      <c r="I124" s="577"/>
      <c r="J124" s="2397" t="s">
        <v>1631</v>
      </c>
      <c r="K124" s="2397"/>
      <c r="L124" s="2397"/>
      <c r="M124" s="2397"/>
      <c r="N124" s="577"/>
      <c r="O124" s="2397" t="s">
        <v>1632</v>
      </c>
      <c r="P124" s="2397"/>
      <c r="Q124" s="2397"/>
      <c r="R124" s="2397"/>
      <c r="S124" s="577"/>
      <c r="T124" s="2397" t="s">
        <v>1334</v>
      </c>
      <c r="U124" s="2397"/>
      <c r="V124" s="2397"/>
      <c r="W124" s="2397"/>
      <c r="X124" s="577"/>
      <c r="Y124" s="2397" t="s">
        <v>1633</v>
      </c>
      <c r="Z124" s="2397"/>
      <c r="AA124" s="2397"/>
      <c r="AB124" s="2397"/>
      <c r="AC124" s="577"/>
      <c r="AD124" s="2397" t="s">
        <v>1634</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c r="F127" s="2457"/>
      <c r="G127" s="2457"/>
      <c r="H127" s="2457"/>
      <c r="I127" s="864"/>
      <c r="J127" s="2457">
        <v>1665</v>
      </c>
      <c r="K127" s="2457"/>
      <c r="L127" s="2457"/>
      <c r="M127" s="2457"/>
      <c r="N127" s="864"/>
      <c r="O127" s="2457"/>
      <c r="P127" s="2457"/>
      <c r="Q127" s="2457"/>
      <c r="R127" s="2457"/>
      <c r="S127" s="864"/>
      <c r="T127" s="2457"/>
      <c r="U127" s="2457"/>
      <c r="V127" s="2457"/>
      <c r="W127" s="2457"/>
      <c r="X127" s="864"/>
      <c r="Y127" s="2457"/>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0</v>
      </c>
      <c r="F130" s="2450"/>
      <c r="G130" s="2450"/>
      <c r="H130" s="2450"/>
      <c r="I130" s="864"/>
      <c r="J130" s="2450">
        <f>Application!EC670</f>
        <v>416</v>
      </c>
      <c r="K130" s="2450"/>
      <c r="L130" s="2450"/>
      <c r="M130" s="2450"/>
      <c r="N130" s="864"/>
      <c r="O130" s="2450">
        <f>Application!EH670</f>
        <v>0</v>
      </c>
      <c r="P130" s="2450"/>
      <c r="Q130" s="2450"/>
      <c r="R130" s="2450"/>
      <c r="S130" s="868"/>
      <c r="T130" s="2450">
        <f>Application!EM670</f>
        <v>0</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9" t="e">
        <f>(E127-E130)/E127</f>
        <v>#DIV/0!</v>
      </c>
      <c r="F133" s="2399"/>
      <c r="G133" s="2399"/>
      <c r="H133" s="2650"/>
      <c r="I133" s="577"/>
      <c r="J133" s="2649">
        <f>(J127-J130)/J127</f>
        <v>0.75015015015015019</v>
      </c>
      <c r="K133" s="2399"/>
      <c r="L133" s="2399"/>
      <c r="M133" s="2650"/>
      <c r="N133" s="577"/>
      <c r="O133" s="2649" t="e">
        <f>(O127-O130)/O127</f>
        <v>#DIV/0!</v>
      </c>
      <c r="P133" s="2399"/>
      <c r="Q133" s="2399"/>
      <c r="R133" s="2650"/>
      <c r="S133" s="577"/>
      <c r="T133" s="2649" t="e">
        <f>(T127-T130)/T127</f>
        <v>#DIV/0!</v>
      </c>
      <c r="U133" s="2399"/>
      <c r="V133" s="2399"/>
      <c r="W133" s="2650"/>
      <c r="X133" s="577"/>
      <c r="Y133" s="2649" t="e">
        <f>(Y127-Y130)/Y127</f>
        <v>#DIV/0!</v>
      </c>
      <c r="Z133" s="2399"/>
      <c r="AA133" s="2399"/>
      <c r="AB133" s="2650"/>
      <c r="AC133" s="577"/>
      <c r="AD133" s="2649" t="e">
        <f>(AD127-AD130)/AD127</f>
        <v>#DIV/0!</v>
      </c>
      <c r="AE133" s="2399"/>
      <c r="AF133" s="2399"/>
      <c r="AG133" s="265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t="e">
        <f>IF(((E133-0.1)*AW116)&gt;0,((E133-0.1)*AW116),0)</f>
        <v>#DIV/0!</v>
      </c>
      <c r="F136" s="2452"/>
      <c r="G136" s="2452"/>
      <c r="H136" s="2453"/>
      <c r="I136" s="577"/>
      <c r="J136" s="2451">
        <f>IF(((J133-0.1)*AW117)&gt;0,((J133-0.1)*AW117),0)</f>
        <v>0.65015015015015021</v>
      </c>
      <c r="K136" s="2452"/>
      <c r="L136" s="2452"/>
      <c r="M136" s="2453"/>
      <c r="N136" s="577"/>
      <c r="O136" s="2451" t="e">
        <f>IF(((O133-0.1)*AW118)&gt;0,((O133-0.1)*AW118),0)</f>
        <v>#DIV/0!</v>
      </c>
      <c r="P136" s="2452"/>
      <c r="Q136" s="2452"/>
      <c r="R136" s="2453"/>
      <c r="S136" s="577"/>
      <c r="T136" s="2451" t="e">
        <f>IF(((T133-0.1)*AW119)&gt;0,((T133-0.1)*AW119),0)</f>
        <v>#DIV/0!</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9">
        <f>ROUNDDOWN(SUMIF(E136:AG136,"&gt;0"),2)</f>
        <v>0.65</v>
      </c>
      <c r="F138" s="2399"/>
      <c r="G138" s="2399"/>
      <c r="H138" s="2650"/>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2" t="s">
        <v>1314</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1338</v>
      </c>
      <c r="AG148" s="2447"/>
      <c r="AH148" s="2447"/>
      <c r="AI148" s="2447"/>
      <c r="AJ148" s="2447"/>
      <c r="AK148" s="2447"/>
      <c r="AL148" s="2447"/>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2656</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5" t="s">
        <v>1341</v>
      </c>
      <c r="C153" s="2475"/>
      <c r="D153" s="2475"/>
      <c r="E153" s="2475"/>
      <c r="F153" s="2475"/>
      <c r="G153" s="2475"/>
      <c r="H153" s="2475"/>
      <c r="I153" s="2475"/>
      <c r="J153" s="2475"/>
      <c r="K153" s="2475"/>
      <c r="L153" s="2475"/>
      <c r="M153" s="2475"/>
      <c r="N153" s="2475"/>
      <c r="O153" s="2475"/>
      <c r="P153" s="2475"/>
      <c r="Q153" s="2475"/>
      <c r="R153" s="2475"/>
      <c r="S153" s="2475"/>
      <c r="T153" s="2475"/>
      <c r="U153" s="2475"/>
      <c r="V153" s="2475"/>
      <c r="W153" s="2475"/>
      <c r="X153" s="2475"/>
      <c r="Y153" s="2475"/>
      <c r="Z153" s="2475"/>
      <c r="AA153" s="2475"/>
      <c r="AB153" s="2475"/>
      <c r="AC153" s="2475"/>
      <c r="AD153" s="2475"/>
      <c r="AE153" s="2475"/>
      <c r="AF153" s="2475"/>
      <c r="AG153" s="2475"/>
      <c r="AH153" s="2475"/>
      <c r="AI153" s="2475"/>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6" t="s">
        <v>591</v>
      </c>
      <c r="AC155" s="247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5" t="s">
        <v>1343</v>
      </c>
      <c r="C158" s="2475"/>
      <c r="D158" s="2475"/>
      <c r="E158" s="2475"/>
      <c r="F158" s="2475"/>
      <c r="G158" s="2475"/>
      <c r="H158" s="2475"/>
      <c r="I158" s="2475"/>
      <c r="J158" s="2475"/>
      <c r="K158" s="2475"/>
      <c r="L158" s="2475"/>
      <c r="M158" s="2475"/>
      <c r="N158" s="2475"/>
      <c r="O158" s="2475"/>
      <c r="P158" s="2475"/>
      <c r="Q158" s="2475"/>
      <c r="R158" s="2475"/>
      <c r="S158" s="2475"/>
      <c r="T158" s="2475"/>
      <c r="U158" s="2475"/>
      <c r="V158" s="2475"/>
      <c r="W158" s="2475"/>
      <c r="X158" s="2475"/>
      <c r="Y158" s="2475"/>
      <c r="Z158" s="2475"/>
      <c r="AA158" s="2475"/>
      <c r="AB158" s="2475"/>
      <c r="AC158" s="2475"/>
      <c r="AD158" s="2475"/>
      <c r="AE158" s="2475"/>
      <c r="AF158" s="2475"/>
      <c r="AG158" s="2475"/>
      <c r="AH158" s="2475"/>
      <c r="AI158" s="2475"/>
      <c r="AJ158" s="2475"/>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6" t="s">
        <v>2477</v>
      </c>
      <c r="C161" s="2636"/>
      <c r="D161" s="2636"/>
      <c r="E161" s="2636"/>
      <c r="F161" s="2636"/>
      <c r="G161" s="2636"/>
      <c r="H161" s="2636"/>
      <c r="I161" s="2636"/>
      <c r="J161" s="2636"/>
      <c r="K161" s="2636"/>
      <c r="L161" s="2636"/>
      <c r="M161" s="2636"/>
      <c r="N161" s="2636"/>
      <c r="O161" s="2636"/>
      <c r="P161" s="2636"/>
      <c r="Q161" s="2636"/>
      <c r="R161" s="2636"/>
      <c r="S161" s="2636"/>
      <c r="T161" s="2636"/>
      <c r="U161" s="2636"/>
      <c r="V161" s="2636"/>
      <c r="W161" s="2636"/>
      <c r="X161" s="2636"/>
      <c r="Y161" s="2636"/>
      <c r="Z161" s="2636"/>
      <c r="AA161" s="2636"/>
      <c r="AB161" s="2636"/>
      <c r="AC161" s="2636"/>
      <c r="AD161" s="2636"/>
      <c r="AE161" s="2636"/>
      <c r="AF161" s="2636"/>
      <c r="AG161" s="2636"/>
      <c r="AH161" s="2636"/>
      <c r="AI161" s="2636"/>
      <c r="AJ161" s="2636"/>
      <c r="AK161" s="1180"/>
      <c r="AM161" s="539"/>
      <c r="AN161" s="535"/>
      <c r="AO161" s="476"/>
      <c r="AP161" s="489"/>
    </row>
    <row r="162" spans="1:42" s="536" customFormat="1" ht="12.75" customHeight="1">
      <c r="B162" s="2636"/>
      <c r="C162" s="2636"/>
      <c r="D162" s="2636"/>
      <c r="E162" s="2636"/>
      <c r="F162" s="2636"/>
      <c r="G162" s="2636"/>
      <c r="H162" s="2636"/>
      <c r="I162" s="2636"/>
      <c r="J162" s="2636"/>
      <c r="K162" s="2636"/>
      <c r="L162" s="2636"/>
      <c r="M162" s="2636"/>
      <c r="N162" s="2636"/>
      <c r="O162" s="2636"/>
      <c r="P162" s="2636"/>
      <c r="Q162" s="2636"/>
      <c r="R162" s="2636"/>
      <c r="S162" s="2636"/>
      <c r="T162" s="2636"/>
      <c r="U162" s="2636"/>
      <c r="V162" s="2636"/>
      <c r="W162" s="2636"/>
      <c r="X162" s="2636"/>
      <c r="Y162" s="2636"/>
      <c r="Z162" s="2636"/>
      <c r="AA162" s="2636"/>
      <c r="AB162" s="2636"/>
      <c r="AC162" s="2636"/>
      <c r="AD162" s="2636"/>
      <c r="AE162" s="2636"/>
      <c r="AF162" s="2636"/>
      <c r="AG162" s="2636"/>
      <c r="AH162" s="2636"/>
      <c r="AI162" s="2636"/>
      <c r="AJ162" s="2636"/>
      <c r="AK162" s="1180"/>
      <c r="AM162" s="539"/>
      <c r="AN162" s="535"/>
      <c r="AO162" s="476"/>
      <c r="AP162" s="489"/>
    </row>
    <row r="163" spans="1:42" s="536" customFormat="1" ht="12.75" customHeight="1">
      <c r="C163" s="2539" t="s">
        <v>2478</v>
      </c>
      <c r="D163" s="2539"/>
      <c r="E163" s="2539"/>
      <c r="F163" s="2539"/>
      <c r="G163" s="2539"/>
      <c r="H163" s="2539"/>
      <c r="I163" s="2539"/>
      <c r="J163" s="2539"/>
      <c r="K163" s="2539"/>
      <c r="L163" s="2539"/>
      <c r="M163" s="2539"/>
      <c r="N163" s="2539"/>
      <c r="O163" s="2539"/>
      <c r="P163" s="2539"/>
      <c r="Q163" s="2539"/>
      <c r="R163" s="2539"/>
      <c r="S163" s="2539"/>
      <c r="T163" s="2539"/>
      <c r="U163" s="2539"/>
      <c r="V163" s="2539"/>
      <c r="W163" s="2539"/>
      <c r="X163" s="2539"/>
      <c r="Y163" s="2539"/>
      <c r="Z163" s="2539"/>
      <c r="AA163" s="2539"/>
      <c r="AB163" s="2539"/>
      <c r="AC163" s="2539"/>
      <c r="AD163" s="2539"/>
      <c r="AE163" s="2539"/>
      <c r="AF163" s="2539"/>
      <c r="AG163" s="2539"/>
      <c r="AH163" s="2539"/>
      <c r="AI163" s="2539"/>
      <c r="AJ163" s="2539"/>
      <c r="AK163" s="1180"/>
      <c r="AM163" s="539"/>
      <c r="AN163" s="535"/>
      <c r="AO163" s="476"/>
      <c r="AP163" s="489"/>
    </row>
    <row r="164" spans="1:42" s="536" customFormat="1" ht="12.75" customHeight="1">
      <c r="B164" s="1180"/>
      <c r="C164" s="2474" t="s">
        <v>2476</v>
      </c>
      <c r="D164" s="2474"/>
      <c r="E164" s="2474"/>
      <c r="F164" s="2474"/>
      <c r="G164" s="2474"/>
      <c r="H164" s="2474"/>
      <c r="I164" s="2474"/>
      <c r="J164" s="2474"/>
      <c r="K164" s="2474"/>
      <c r="L164" s="2474"/>
      <c r="M164" s="2474"/>
      <c r="N164" s="2474"/>
      <c r="O164" s="2474"/>
      <c r="P164" s="2474"/>
      <c r="Q164" s="2474"/>
      <c r="R164" s="2474"/>
      <c r="S164" s="2474"/>
      <c r="T164" s="2474"/>
      <c r="U164" s="2474"/>
      <c r="V164" s="2474"/>
      <c r="W164" s="2474"/>
      <c r="X164" s="2474"/>
      <c r="Y164" s="2474"/>
      <c r="Z164" s="2474"/>
      <c r="AA164" s="1170"/>
      <c r="AB164" s="1170"/>
      <c r="AC164" s="1170"/>
      <c r="AD164" s="1170"/>
      <c r="AE164" s="1170"/>
      <c r="AF164" s="1170"/>
      <c r="AG164" s="1170"/>
      <c r="AH164" s="1170"/>
      <c r="AJ164" s="2476" t="s">
        <v>591</v>
      </c>
      <c r="AK164" s="247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1352</v>
      </c>
      <c r="AG168" s="2447"/>
      <c r="AH168" s="2447"/>
      <c r="AI168" s="2447"/>
      <c r="AJ168" s="2447"/>
      <c r="AK168" s="2447"/>
      <c r="AL168" s="2447"/>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5" t="s">
        <v>1350</v>
      </c>
      <c r="D170" s="2475"/>
      <c r="E170" s="2475"/>
      <c r="F170" s="2475"/>
      <c r="G170" s="2475"/>
      <c r="H170" s="2475"/>
      <c r="I170" s="2475"/>
      <c r="J170" s="2475"/>
      <c r="K170" s="2475"/>
      <c r="L170" s="2475"/>
      <c r="M170" s="2475"/>
      <c r="N170" s="2475"/>
      <c r="O170" s="2475"/>
      <c r="P170" s="2475"/>
      <c r="Q170" s="2475"/>
      <c r="R170" s="2475"/>
      <c r="S170" s="2475"/>
      <c r="T170" s="2475"/>
      <c r="U170" s="2475"/>
      <c r="V170" s="2475"/>
      <c r="W170" s="2475"/>
      <c r="X170" s="2475"/>
      <c r="Y170" s="2475"/>
      <c r="Z170" s="2475"/>
      <c r="AA170" s="2475"/>
      <c r="AB170" s="2475"/>
      <c r="AC170" s="2475"/>
      <c r="AD170" s="2475"/>
      <c r="AE170" s="2475"/>
      <c r="AF170" s="2475"/>
      <c r="AG170" s="2475"/>
      <c r="AH170" s="2475"/>
      <c r="AI170" s="2475"/>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6" t="s">
        <v>591</v>
      </c>
      <c r="AG172" s="2476"/>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5" t="s">
        <v>1343</v>
      </c>
      <c r="D174" s="2475"/>
      <c r="E174" s="2475"/>
      <c r="F174" s="2475"/>
      <c r="G174" s="2475"/>
      <c r="H174" s="2475"/>
      <c r="I174" s="2475"/>
      <c r="J174" s="2475"/>
      <c r="K174" s="2475"/>
      <c r="L174" s="2475"/>
      <c r="M174" s="2475"/>
      <c r="N174" s="2475"/>
      <c r="O174" s="2475"/>
      <c r="P174" s="2475"/>
      <c r="Q174" s="2475"/>
      <c r="R174" s="2475"/>
      <c r="S174" s="2475"/>
      <c r="T174" s="2475"/>
      <c r="U174" s="2475"/>
      <c r="V174" s="2475"/>
      <c r="W174" s="2475"/>
      <c r="X174" s="2475"/>
      <c r="Y174" s="2475"/>
      <c r="Z174" s="2475"/>
      <c r="AA174" s="2475"/>
      <c r="AB174" s="2475"/>
      <c r="AC174" s="2475"/>
      <c r="AD174" s="2475"/>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7" t="str">
        <f>Application!AA335</f>
        <v>WinnResidential</v>
      </c>
      <c r="D178" s="2477"/>
      <c r="E178" s="2477"/>
      <c r="F178" s="2477"/>
      <c r="G178" s="2477"/>
      <c r="H178" s="2477"/>
      <c r="I178" s="2477"/>
      <c r="J178" s="2477"/>
      <c r="K178" s="2477"/>
      <c r="L178" s="2477"/>
      <c r="M178" s="2477"/>
      <c r="N178" s="2477"/>
      <c r="O178" s="2477"/>
      <c r="P178" s="2477"/>
      <c r="Q178" s="2477"/>
      <c r="R178" s="2477"/>
      <c r="S178" s="2477"/>
      <c r="T178" s="2477"/>
      <c r="U178" s="2477"/>
      <c r="V178" s="2477"/>
      <c r="W178" s="2477"/>
      <c r="X178" s="2477"/>
      <c r="Y178" s="2477"/>
      <c r="Z178" s="2477"/>
      <c r="AA178" s="2477"/>
      <c r="AB178" s="2477"/>
      <c r="AC178" s="2477"/>
      <c r="AD178" s="2477"/>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1314</v>
      </c>
      <c r="AF186" s="2412"/>
      <c r="AG186" s="2412"/>
      <c r="AH186" s="2412"/>
      <c r="AI186" s="2412"/>
      <c r="AJ186" s="2412"/>
      <c r="AK186" s="241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3" t="s">
        <v>1362</v>
      </c>
      <c r="C188" s="2473"/>
      <c r="D188" s="2473"/>
      <c r="E188" s="2473"/>
      <c r="F188" s="2473"/>
      <c r="G188" s="2473"/>
      <c r="H188" s="2473"/>
      <c r="I188" s="2473"/>
      <c r="J188" s="2473"/>
      <c r="K188" s="2473"/>
      <c r="L188" s="2473"/>
      <c r="M188" s="2473"/>
      <c r="N188" s="2473"/>
      <c r="O188" s="2473"/>
      <c r="P188" s="2473"/>
      <c r="Q188" s="2473"/>
      <c r="R188" s="2473"/>
      <c r="S188" s="2473"/>
      <c r="T188" s="2473"/>
      <c r="U188" s="2473"/>
      <c r="V188" s="2473"/>
      <c r="W188" s="2473"/>
      <c r="X188" s="2473"/>
      <c r="Y188" s="2473"/>
      <c r="Z188" s="2473"/>
      <c r="AA188" s="2473"/>
      <c r="AB188" s="2473"/>
      <c r="AC188" s="2473"/>
      <c r="AD188" s="536"/>
      <c r="AE188" s="536"/>
      <c r="AF188" s="2447" t="s">
        <v>1363</v>
      </c>
      <c r="AG188" s="2447"/>
      <c r="AH188" s="2447"/>
      <c r="AI188" s="2447"/>
      <c r="AJ188" s="2447"/>
      <c r="AK188" s="2447"/>
      <c r="AL188" s="2447"/>
      <c r="AN188" s="597"/>
      <c r="AP188" s="550" t="s">
        <v>1043</v>
      </c>
      <c r="AQ188" s="550">
        <v>10</v>
      </c>
    </row>
    <row r="189" spans="1:73" s="550" customFormat="1" ht="12.75" customHeight="1">
      <c r="A189" s="536"/>
      <c r="B189" s="2474" t="s">
        <v>1726</v>
      </c>
      <c r="C189" s="2474"/>
      <c r="D189" s="2474"/>
      <c r="E189" s="2474"/>
      <c r="F189" s="2474"/>
      <c r="G189" s="2474"/>
      <c r="H189" s="2474"/>
      <c r="I189" s="2474"/>
      <c r="J189" s="2474"/>
      <c r="K189" s="2474"/>
      <c r="L189" s="2474"/>
      <c r="M189" s="2474"/>
      <c r="N189" s="2474"/>
      <c r="O189" s="2474"/>
      <c r="P189" s="2474"/>
      <c r="Q189" s="2474"/>
      <c r="R189" s="2474"/>
      <c r="S189" s="2474"/>
      <c r="T189" s="2448" t="s">
        <v>591</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3">
        <f>IF(AK84&gt;0,VLOOKUP($B$188,AP185:AQ191,2,FALSE),0)</f>
        <v>10</v>
      </c>
      <c r="AL191" s="2484"/>
      <c r="AM191" s="2485"/>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1372</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tr">
        <f>Application!C628</f>
        <v>Alliance Housing Fund</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f>3392621</f>
        <v>3392621</v>
      </c>
      <c r="AE199" s="2460"/>
      <c r="AF199" s="2460"/>
      <c r="AG199" s="2460"/>
      <c r="AH199" s="2460"/>
      <c r="AI199" s="2460"/>
      <c r="AJ199" s="2460"/>
      <c r="AK199" s="610"/>
    </row>
    <row r="200" spans="1:40">
      <c r="A200" s="605"/>
      <c r="B200" s="2459" t="str">
        <f>Application!C629</f>
        <v>REAP: Regional Competitiveness Grant</v>
      </c>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f>2497538</f>
        <v>2497538</v>
      </c>
      <c r="AE200" s="2460"/>
      <c r="AF200" s="2460"/>
      <c r="AG200" s="2460"/>
      <c r="AH200" s="2460"/>
      <c r="AI200" s="2460"/>
      <c r="AJ200" s="2460"/>
      <c r="AK200" s="610"/>
    </row>
    <row r="201" spans="1:40">
      <c r="A201" s="605"/>
      <c r="B201" s="2459" t="str">
        <f>Application!C630</f>
        <v>City of Merced PLHA</v>
      </c>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f>1608830</f>
        <v>1608830</v>
      </c>
      <c r="AE201" s="2460"/>
      <c r="AF201" s="2460"/>
      <c r="AG201" s="2460"/>
      <c r="AH201" s="2460"/>
      <c r="AI201" s="2460"/>
      <c r="AJ201" s="2460"/>
      <c r="AK201" s="610"/>
    </row>
    <row r="202" spans="1:40">
      <c r="A202" s="605"/>
      <c r="B202" s="2459" t="str">
        <f>Application!C631</f>
        <v>FHLB AHP</v>
      </c>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f>795000</f>
        <v>795000</v>
      </c>
      <c r="AE202" s="2460"/>
      <c r="AF202" s="2460"/>
      <c r="AG202" s="2460"/>
      <c r="AH202" s="2460"/>
      <c r="AI202" s="2460"/>
      <c r="AJ202" s="2460"/>
      <c r="AK202" s="610"/>
    </row>
    <row r="203" spans="1:40">
      <c r="A203" s="605"/>
      <c r="B203" s="2459" t="s">
        <v>2752</v>
      </c>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v>400000</v>
      </c>
      <c r="AE203" s="2460"/>
      <c r="AF203" s="2460"/>
      <c r="AG203" s="2460"/>
      <c r="AH203" s="2460"/>
      <c r="AI203" s="2460"/>
      <c r="AJ203" s="2460"/>
      <c r="AK203" s="610"/>
    </row>
    <row r="204" spans="1:40">
      <c r="A204" s="605"/>
      <c r="B204" s="2465" t="s">
        <v>2753</v>
      </c>
      <c r="C204" s="2465"/>
      <c r="D204" s="2465"/>
      <c r="E204" s="2465"/>
      <c r="F204" s="2465"/>
      <c r="G204" s="2465"/>
      <c r="H204" s="2465"/>
      <c r="I204" s="2465"/>
      <c r="J204" s="2465"/>
      <c r="K204" s="2465"/>
      <c r="L204" s="2465"/>
      <c r="M204" s="2465"/>
      <c r="N204" s="2465"/>
      <c r="O204" s="2465"/>
      <c r="P204" s="2465"/>
      <c r="Q204" s="2465"/>
      <c r="R204" s="2465"/>
      <c r="S204" s="2465"/>
      <c r="T204" s="2465"/>
      <c r="U204" s="2465"/>
      <c r="V204" s="2465"/>
      <c r="W204" s="2465"/>
      <c r="X204" s="2465"/>
      <c r="Y204" s="2465"/>
      <c r="Z204" s="2465"/>
      <c r="AA204" s="2465"/>
      <c r="AB204" s="2465"/>
      <c r="AC204" s="846"/>
      <c r="AD204" s="2460">
        <v>416034</v>
      </c>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1" t="s">
        <v>1627</v>
      </c>
      <c r="C209" s="2471"/>
      <c r="D209" s="2471"/>
      <c r="E209" s="2471"/>
      <c r="F209" s="2471"/>
      <c r="G209" s="2471"/>
      <c r="H209" s="2471"/>
      <c r="I209" s="2471"/>
      <c r="J209" s="2471"/>
      <c r="K209" s="2471"/>
      <c r="L209" s="2471"/>
      <c r="M209" s="2471"/>
      <c r="N209" s="2471"/>
      <c r="O209" s="2471"/>
      <c r="P209" s="2471"/>
      <c r="Q209" s="2471"/>
      <c r="R209" s="2471"/>
      <c r="S209" s="2471"/>
      <c r="T209" s="2471"/>
      <c r="U209" s="2471"/>
      <c r="V209" s="2471"/>
      <c r="W209" s="2471"/>
      <c r="X209" s="2471"/>
      <c r="Y209" s="2471"/>
      <c r="Z209" s="2471"/>
      <c r="AA209" s="2471"/>
      <c r="AB209" s="2471"/>
      <c r="AC209" s="536"/>
      <c r="AD209" s="2490">
        <f>AB260</f>
        <v>3237728.5240658349</v>
      </c>
      <c r="AE209" s="2490"/>
      <c r="AF209" s="2490"/>
      <c r="AG209" s="2490"/>
      <c r="AH209" s="2490"/>
      <c r="AI209" s="2490"/>
      <c r="AJ209" s="2490"/>
      <c r="AK209" s="610"/>
    </row>
    <row r="210" spans="1:37">
      <c r="A210" s="605"/>
      <c r="B210" s="2617" t="s">
        <v>1590</v>
      </c>
      <c r="C210" s="2617"/>
      <c r="D210" s="2617"/>
      <c r="E210" s="2617"/>
      <c r="F210" s="2617"/>
      <c r="G210" s="2617"/>
      <c r="H210" s="2617"/>
      <c r="I210" s="2617"/>
      <c r="J210" s="2617"/>
      <c r="K210" s="2617"/>
      <c r="L210" s="2617"/>
      <c r="M210" s="2617"/>
      <c r="N210" s="2617"/>
      <c r="O210" s="2617"/>
      <c r="P210" s="2617"/>
      <c r="Q210" s="2617"/>
      <c r="R210" s="2617"/>
      <c r="S210" s="2617"/>
      <c r="T210" s="2617"/>
      <c r="U210" s="2617"/>
      <c r="V210" s="2617"/>
      <c r="W210" s="2617"/>
      <c r="X210" s="2617"/>
      <c r="Y210" s="2617"/>
      <c r="Z210" s="2617"/>
      <c r="AA210" s="2617"/>
      <c r="AB210" s="2617"/>
      <c r="AC210" s="846"/>
      <c r="AD210" s="2491">
        <f>'Sources and Uses Budget'!B15</f>
        <v>0</v>
      </c>
      <c r="AE210" s="2491"/>
      <c r="AF210" s="2491"/>
      <c r="AG210" s="2491"/>
      <c r="AH210" s="2491"/>
      <c r="AI210" s="2491"/>
      <c r="AJ210" s="249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5">
        <f>SUM(AD199:AJ209)-AD210</f>
        <v>12347751.524065835</v>
      </c>
      <c r="AE211" s="2495"/>
      <c r="AF211" s="2495"/>
      <c r="AG211" s="2495"/>
      <c r="AH211" s="2495"/>
      <c r="AI211" s="2495"/>
      <c r="AJ211" s="249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1607</v>
      </c>
      <c r="J222" s="2463"/>
      <c r="K222" s="2463"/>
      <c r="L222" s="536"/>
      <c r="M222" s="536"/>
      <c r="N222" s="536"/>
      <c r="O222" s="536"/>
      <c r="P222" s="536"/>
      <c r="Q222" s="536"/>
      <c r="R222" s="536"/>
      <c r="S222" s="536"/>
      <c r="T222" s="2652" t="s">
        <v>1601</v>
      </c>
      <c r="U222" s="2652"/>
      <c r="V222" s="2652"/>
      <c r="W222" s="2652"/>
      <c r="X222" s="2652"/>
      <c r="Y222" s="2652"/>
      <c r="Z222" s="849"/>
      <c r="AA222" s="489"/>
      <c r="AB222" s="2458" t="s">
        <v>1602</v>
      </c>
      <c r="AC222" s="2458"/>
      <c r="AD222" s="2458"/>
      <c r="AE222" s="2458"/>
      <c r="AF222" s="2458"/>
      <c r="AG222" s="2458"/>
      <c r="AH222" s="827"/>
      <c r="AI222" s="827"/>
      <c r="AJ222" s="827"/>
      <c r="AK222" s="610"/>
    </row>
    <row r="223" spans="1:37">
      <c r="A223" s="605"/>
      <c r="B223" s="2461" t="s">
        <v>1587</v>
      </c>
      <c r="C223" s="2461"/>
      <c r="D223" s="2461"/>
      <c r="E223" s="2461"/>
      <c r="F223" s="2461"/>
      <c r="G223" s="2461"/>
      <c r="I223" s="2462" t="s">
        <v>1608</v>
      </c>
      <c r="J223" s="2462"/>
      <c r="K223" s="2462"/>
      <c r="L223" s="1008"/>
      <c r="N223" s="2469" t="s">
        <v>1603</v>
      </c>
      <c r="O223" s="2469"/>
      <c r="P223" s="2469"/>
      <c r="Q223" s="2469"/>
      <c r="R223" s="2469"/>
      <c r="T223" s="2469" t="s">
        <v>1604</v>
      </c>
      <c r="U223" s="2469"/>
      <c r="V223" s="2469"/>
      <c r="W223" s="2469"/>
      <c r="X223" s="2469"/>
      <c r="Y223" s="2469"/>
      <c r="Z223" s="850"/>
      <c r="AA223" s="489"/>
      <c r="AB223" s="2606" t="s">
        <v>1605</v>
      </c>
      <c r="AC223" s="2606"/>
      <c r="AD223" s="2606"/>
      <c r="AE223" s="2606"/>
      <c r="AF223" s="2606"/>
      <c r="AG223" s="2606"/>
      <c r="AH223" s="827"/>
      <c r="AI223" s="827"/>
      <c r="AJ223" s="827"/>
      <c r="AK223" s="610"/>
    </row>
    <row r="224" spans="1:37">
      <c r="A224" s="605"/>
      <c r="B224" s="2466" t="s">
        <v>2751</v>
      </c>
      <c r="C224" s="2466"/>
      <c r="D224" s="2466"/>
      <c r="E224" s="2466"/>
      <c r="F224" s="2466"/>
      <c r="G224" s="2466"/>
      <c r="H224" s="852"/>
      <c r="I224" s="2464">
        <v>53</v>
      </c>
      <c r="J224" s="2464"/>
      <c r="K224" s="2464"/>
      <c r="L224" s="1008"/>
      <c r="N224" s="2470">
        <v>705</v>
      </c>
      <c r="O224" s="2470"/>
      <c r="P224" s="2470"/>
      <c r="Q224" s="2470"/>
      <c r="R224" s="2470"/>
      <c r="T224" s="2618">
        <v>1252</v>
      </c>
      <c r="U224" s="2618"/>
      <c r="V224" s="2618"/>
      <c r="W224" s="2618"/>
      <c r="X224" s="2618"/>
      <c r="Y224" s="2618"/>
      <c r="Z224" s="851"/>
      <c r="AA224" s="851"/>
      <c r="AB224" s="2467">
        <f t="shared" ref="AB224:AB233" si="0">MAX(($T224-$N224)*$I224*12,0)</f>
        <v>347892</v>
      </c>
      <c r="AC224" s="2467"/>
      <c r="AD224" s="2467"/>
      <c r="AE224" s="2467"/>
      <c r="AF224" s="2467"/>
      <c r="AG224" s="2467"/>
      <c r="AH224" s="827"/>
      <c r="AI224" s="827"/>
      <c r="AJ224" s="827"/>
      <c r="AK224" s="610"/>
    </row>
    <row r="225" spans="1:37">
      <c r="A225" s="605"/>
      <c r="B225" s="2466" t="s">
        <v>1184</v>
      </c>
      <c r="C225" s="2466"/>
      <c r="D225" s="2466"/>
      <c r="E225" s="2466"/>
      <c r="F225" s="2466"/>
      <c r="G225" s="2466"/>
      <c r="I225" s="2464"/>
      <c r="J225" s="2464"/>
      <c r="K225" s="2464"/>
      <c r="L225" s="1008"/>
      <c r="N225" s="2470"/>
      <c r="O225" s="2470"/>
      <c r="P225" s="2470"/>
      <c r="Q225" s="2470"/>
      <c r="R225" s="2470"/>
      <c r="T225" s="2618"/>
      <c r="U225" s="2618"/>
      <c r="V225" s="2618"/>
      <c r="W225" s="2618"/>
      <c r="X225" s="2618"/>
      <c r="Y225" s="2618"/>
      <c r="Z225" s="851"/>
      <c r="AA225" s="851"/>
      <c r="AB225" s="2467">
        <f t="shared" si="0"/>
        <v>0</v>
      </c>
      <c r="AC225" s="2467"/>
      <c r="AD225" s="2467"/>
      <c r="AE225" s="2467"/>
      <c r="AF225" s="2467"/>
      <c r="AG225" s="2467"/>
      <c r="AH225" s="827"/>
      <c r="AI225" s="827"/>
      <c r="AJ225" s="827"/>
      <c r="AK225" s="610"/>
    </row>
    <row r="226" spans="1:37">
      <c r="A226" s="605"/>
      <c r="B226" s="2466" t="s">
        <v>1184</v>
      </c>
      <c r="C226" s="2466"/>
      <c r="D226" s="2466"/>
      <c r="E226" s="2466"/>
      <c r="F226" s="2466"/>
      <c r="G226" s="2466"/>
      <c r="I226" s="2464"/>
      <c r="J226" s="2464"/>
      <c r="K226" s="2464"/>
      <c r="L226" s="1008"/>
      <c r="N226" s="2470"/>
      <c r="O226" s="2470"/>
      <c r="P226" s="2470"/>
      <c r="Q226" s="2470"/>
      <c r="R226" s="2470"/>
      <c r="T226" s="2618"/>
      <c r="U226" s="2618"/>
      <c r="V226" s="2618"/>
      <c r="W226" s="2618"/>
      <c r="X226" s="2618"/>
      <c r="Y226" s="2618"/>
      <c r="Z226" s="851"/>
      <c r="AA226" s="851"/>
      <c r="AB226" s="2467">
        <f t="shared" si="0"/>
        <v>0</v>
      </c>
      <c r="AC226" s="2467"/>
      <c r="AD226" s="2467"/>
      <c r="AE226" s="2467"/>
      <c r="AF226" s="2467"/>
      <c r="AG226" s="2467"/>
      <c r="AH226" s="827"/>
      <c r="AI226" s="827"/>
      <c r="AJ226" s="827"/>
      <c r="AK226" s="610"/>
    </row>
    <row r="227" spans="1:37">
      <c r="A227" s="605"/>
      <c r="B227" s="2466" t="s">
        <v>1184</v>
      </c>
      <c r="C227" s="2466"/>
      <c r="D227" s="2466"/>
      <c r="E227" s="2466"/>
      <c r="F227" s="2466"/>
      <c r="G227" s="2466"/>
      <c r="I227" s="2464"/>
      <c r="J227" s="2464"/>
      <c r="K227" s="2464"/>
      <c r="L227" s="1008"/>
      <c r="N227" s="2470"/>
      <c r="O227" s="2470"/>
      <c r="P227" s="2470"/>
      <c r="Q227" s="2470"/>
      <c r="R227" s="2470"/>
      <c r="T227" s="2618"/>
      <c r="U227" s="2618"/>
      <c r="V227" s="2618"/>
      <c r="W227" s="2618"/>
      <c r="X227" s="2618"/>
      <c r="Y227" s="2618"/>
      <c r="Z227" s="851"/>
      <c r="AA227" s="851"/>
      <c r="AB227" s="2467">
        <f t="shared" si="0"/>
        <v>0</v>
      </c>
      <c r="AC227" s="2467"/>
      <c r="AD227" s="2467"/>
      <c r="AE227" s="2467"/>
      <c r="AF227" s="2467"/>
      <c r="AG227" s="2467"/>
      <c r="AH227" s="827"/>
      <c r="AI227" s="827"/>
      <c r="AJ227" s="827"/>
      <c r="AK227" s="610"/>
    </row>
    <row r="228" spans="1:37">
      <c r="A228" s="605"/>
      <c r="B228" s="2466" t="s">
        <v>1184</v>
      </c>
      <c r="C228" s="2466"/>
      <c r="D228" s="2466"/>
      <c r="E228" s="2466"/>
      <c r="F228" s="2466"/>
      <c r="G228" s="2466"/>
      <c r="I228" s="2464"/>
      <c r="J228" s="2464"/>
      <c r="K228" s="2464"/>
      <c r="L228" s="1015"/>
      <c r="N228" s="2470"/>
      <c r="O228" s="2470"/>
      <c r="P228" s="2470"/>
      <c r="Q228" s="2470"/>
      <c r="R228" s="2470"/>
      <c r="T228" s="2618"/>
      <c r="U228" s="2618"/>
      <c r="V228" s="2618"/>
      <c r="W228" s="2618"/>
      <c r="X228" s="2618"/>
      <c r="Y228" s="2618"/>
      <c r="Z228" s="851"/>
      <c r="AA228" s="851"/>
      <c r="AB228" s="2467">
        <f t="shared" si="0"/>
        <v>0</v>
      </c>
      <c r="AC228" s="2467"/>
      <c r="AD228" s="2467"/>
      <c r="AE228" s="2467"/>
      <c r="AF228" s="2467"/>
      <c r="AG228" s="2467"/>
      <c r="AH228" s="827"/>
      <c r="AI228" s="827"/>
      <c r="AJ228" s="827"/>
      <c r="AK228" s="610"/>
    </row>
    <row r="229" spans="1:37">
      <c r="A229" s="605"/>
      <c r="B229" s="2466" t="s">
        <v>1184</v>
      </c>
      <c r="C229" s="2466"/>
      <c r="D229" s="2466"/>
      <c r="E229" s="2466"/>
      <c r="F229" s="2466"/>
      <c r="G229" s="2466"/>
      <c r="I229" s="2464"/>
      <c r="J229" s="2464"/>
      <c r="K229" s="2464"/>
      <c r="L229" s="1015"/>
      <c r="N229" s="2470"/>
      <c r="O229" s="2470"/>
      <c r="P229" s="2470"/>
      <c r="Q229" s="2470"/>
      <c r="R229" s="2470"/>
      <c r="T229" s="2618"/>
      <c r="U229" s="2618"/>
      <c r="V229" s="2618"/>
      <c r="W229" s="2618"/>
      <c r="X229" s="2618"/>
      <c r="Y229" s="2618"/>
      <c r="Z229" s="851"/>
      <c r="AA229" s="851"/>
      <c r="AB229" s="2467">
        <f t="shared" si="0"/>
        <v>0</v>
      </c>
      <c r="AC229" s="2467"/>
      <c r="AD229" s="2467"/>
      <c r="AE229" s="2467"/>
      <c r="AF229" s="2467"/>
      <c r="AG229" s="2467"/>
      <c r="AH229" s="827"/>
      <c r="AI229" s="827"/>
      <c r="AJ229" s="827"/>
      <c r="AK229" s="610"/>
    </row>
    <row r="230" spans="1:37">
      <c r="A230" s="605"/>
      <c r="B230" s="2466" t="s">
        <v>1184</v>
      </c>
      <c r="C230" s="2466"/>
      <c r="D230" s="2466"/>
      <c r="E230" s="2466"/>
      <c r="F230" s="2466"/>
      <c r="G230" s="2466"/>
      <c r="I230" s="2464"/>
      <c r="J230" s="2464"/>
      <c r="K230" s="2464"/>
      <c r="L230" s="1015"/>
      <c r="N230" s="2470"/>
      <c r="O230" s="2470"/>
      <c r="P230" s="2470"/>
      <c r="Q230" s="2470"/>
      <c r="R230" s="2470"/>
      <c r="T230" s="2618"/>
      <c r="U230" s="2618"/>
      <c r="V230" s="2618"/>
      <c r="W230" s="2618"/>
      <c r="X230" s="2618"/>
      <c r="Y230" s="2618"/>
      <c r="Z230" s="851"/>
      <c r="AA230" s="851"/>
      <c r="AB230" s="2467">
        <f t="shared" si="0"/>
        <v>0</v>
      </c>
      <c r="AC230" s="2467"/>
      <c r="AD230" s="2467"/>
      <c r="AE230" s="2467"/>
      <c r="AF230" s="2467"/>
      <c r="AG230" s="2467"/>
      <c r="AH230" s="827"/>
      <c r="AI230" s="827"/>
      <c r="AJ230" s="827"/>
      <c r="AK230" s="610"/>
    </row>
    <row r="231" spans="1:37">
      <c r="A231" s="605"/>
      <c r="B231" s="2466" t="s">
        <v>1184</v>
      </c>
      <c r="C231" s="2466"/>
      <c r="D231" s="2466"/>
      <c r="E231" s="2466"/>
      <c r="F231" s="2466"/>
      <c r="G231" s="2466"/>
      <c r="I231" s="2464"/>
      <c r="J231" s="2464"/>
      <c r="K231" s="2464"/>
      <c r="L231" s="1015"/>
      <c r="N231" s="2470"/>
      <c r="O231" s="2470"/>
      <c r="P231" s="2470"/>
      <c r="Q231" s="2470"/>
      <c r="R231" s="2470"/>
      <c r="T231" s="2618"/>
      <c r="U231" s="2618"/>
      <c r="V231" s="2618"/>
      <c r="W231" s="2618"/>
      <c r="X231" s="2618"/>
      <c r="Y231" s="2618"/>
      <c r="Z231" s="851"/>
      <c r="AA231" s="851"/>
      <c r="AB231" s="2467">
        <f t="shared" si="0"/>
        <v>0</v>
      </c>
      <c r="AC231" s="2467"/>
      <c r="AD231" s="2467"/>
      <c r="AE231" s="2467"/>
      <c r="AF231" s="2467"/>
      <c r="AG231" s="2467"/>
      <c r="AH231" s="827"/>
      <c r="AI231" s="827"/>
      <c r="AJ231" s="827"/>
      <c r="AK231" s="610"/>
    </row>
    <row r="232" spans="1:37">
      <c r="A232" s="605"/>
      <c r="B232" s="2466" t="s">
        <v>1184</v>
      </c>
      <c r="C232" s="2466"/>
      <c r="D232" s="2466"/>
      <c r="E232" s="2466"/>
      <c r="F232" s="2466"/>
      <c r="G232" s="2466"/>
      <c r="I232" s="2464"/>
      <c r="J232" s="2464"/>
      <c r="K232" s="2464"/>
      <c r="L232" s="1015"/>
      <c r="N232" s="2470"/>
      <c r="O232" s="2470"/>
      <c r="P232" s="2470"/>
      <c r="Q232" s="2470"/>
      <c r="R232" s="2470"/>
      <c r="T232" s="2618"/>
      <c r="U232" s="2618"/>
      <c r="V232" s="2618"/>
      <c r="W232" s="2618"/>
      <c r="X232" s="2618"/>
      <c r="Y232" s="2618"/>
      <c r="Z232" s="851"/>
      <c r="AA232" s="851"/>
      <c r="AB232" s="2467">
        <f t="shared" si="0"/>
        <v>0</v>
      </c>
      <c r="AC232" s="2467"/>
      <c r="AD232" s="2467"/>
      <c r="AE232" s="2467"/>
      <c r="AF232" s="2467"/>
      <c r="AG232" s="2467"/>
      <c r="AH232" s="827"/>
      <c r="AI232" s="827"/>
      <c r="AJ232" s="827"/>
      <c r="AK232" s="610"/>
    </row>
    <row r="233" spans="1:37">
      <c r="A233" s="605"/>
      <c r="B233" s="2466" t="s">
        <v>1184</v>
      </c>
      <c r="C233" s="2466"/>
      <c r="D233" s="2466"/>
      <c r="E233" s="2466"/>
      <c r="F233" s="2466"/>
      <c r="G233" s="2466"/>
      <c r="I233" s="2468"/>
      <c r="J233" s="2468"/>
      <c r="K233" s="2468"/>
      <c r="L233" s="1015"/>
      <c r="N233" s="2470"/>
      <c r="O233" s="2470"/>
      <c r="P233" s="2470"/>
      <c r="Q233" s="2470"/>
      <c r="R233" s="2470"/>
      <c r="T233" s="2618"/>
      <c r="U233" s="2618"/>
      <c r="V233" s="2618"/>
      <c r="W233" s="2618"/>
      <c r="X233" s="2618"/>
      <c r="Y233" s="2618"/>
      <c r="Z233" s="851"/>
      <c r="AA233" s="851"/>
      <c r="AB233" s="2616">
        <f t="shared" si="0"/>
        <v>0</v>
      </c>
      <c r="AC233" s="2616"/>
      <c r="AD233" s="2616"/>
      <c r="AE233" s="2616"/>
      <c r="AF233" s="2616"/>
      <c r="AG233" s="26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7">
        <f>SUM(AB224:AB233)</f>
        <v>347892</v>
      </c>
      <c r="AC234" s="2467"/>
      <c r="AD234" s="2467"/>
      <c r="AE234" s="2467"/>
      <c r="AF234" s="2467"/>
      <c r="AG234" s="246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9">
        <v>0</v>
      </c>
      <c r="AC240" s="2619"/>
      <c r="AD240" s="2619"/>
      <c r="AE240" s="2619"/>
      <c r="AF240" s="2619"/>
      <c r="AG240" s="2619"/>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9">
        <v>0</v>
      </c>
      <c r="AC243" s="2619"/>
      <c r="AD243" s="2619"/>
      <c r="AE243" s="2619"/>
      <c r="AF243" s="2619"/>
      <c r="AG243" s="2619"/>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1">
        <v>0</v>
      </c>
      <c r="AC244" s="2651"/>
      <c r="AD244" s="2651"/>
      <c r="AE244" s="2651"/>
      <c r="AF244" s="2651"/>
      <c r="AG244" s="2651"/>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3">
        <f>IFERROR(AB243/AB244,0)</f>
        <v>0</v>
      </c>
      <c r="AC245" s="2633"/>
      <c r="AD245" s="2633"/>
      <c r="AE245" s="2633"/>
      <c r="AF245" s="2633"/>
      <c r="AG245" s="263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6">
        <f>MAX(AB240,AB245)</f>
        <v>0</v>
      </c>
      <c r="AC247" s="2616"/>
      <c r="AD247" s="2616"/>
      <c r="AE247" s="2616"/>
      <c r="AF247" s="2616"/>
      <c r="AG247" s="26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7">
        <f>AB234+AB247</f>
        <v>347892</v>
      </c>
      <c r="AC250" s="2467"/>
      <c r="AD250" s="2467"/>
      <c r="AE250" s="2467"/>
      <c r="AF250" s="2467"/>
      <c r="AG250" s="2467"/>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9">
        <v>0.05</v>
      </c>
      <c r="AC251" s="2499"/>
      <c r="AD251" s="2499"/>
      <c r="AE251" s="2499"/>
      <c r="AF251" s="2499"/>
      <c r="AG251" s="2499"/>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00">
        <f>AB250-(AB250*AB251)</f>
        <v>330497.40000000002</v>
      </c>
      <c r="AC252" s="2500"/>
      <c r="AD252" s="2500"/>
      <c r="AE252" s="2500"/>
      <c r="AF252" s="2500"/>
      <c r="AG252" s="2500"/>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7">
        <f>AB252/AB258</f>
        <v>287389.04347826092</v>
      </c>
      <c r="AC254" s="2467"/>
      <c r="AD254" s="2467"/>
      <c r="AE254" s="2467"/>
      <c r="AF254" s="2467"/>
      <c r="AG254" s="246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1">
        <v>0.04</v>
      </c>
      <c r="AC257" s="2501"/>
      <c r="AD257" s="2501"/>
      <c r="AE257" s="2501"/>
      <c r="AF257" s="2501"/>
      <c r="AG257" s="2501"/>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2">
        <v>1.1499999999999999</v>
      </c>
      <c r="AC258" s="2472"/>
      <c r="AD258" s="2472"/>
      <c r="AE258" s="2472"/>
      <c r="AF258" s="2472"/>
      <c r="AG258" s="247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2">
        <f>PV(AB257/12,AB256*12,-AB254/12, ,0)</f>
        <v>3237728.5240658349</v>
      </c>
      <c r="AC260" s="2493"/>
      <c r="AD260" s="2493"/>
      <c r="AE260" s="2493"/>
      <c r="AF260" s="2493"/>
      <c r="AG260" s="249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6">
        <f>IFERROR(('Sources and Uses Budget'!D105/'Sources and Uses Budget'!B105),0)</f>
        <v>0</v>
      </c>
      <c r="AC266" s="2497"/>
      <c r="AD266" s="2497"/>
      <c r="AE266" s="2497"/>
      <c r="AF266" s="2497"/>
      <c r="AG266" s="249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6">
        <f>AD211*(1-AB266)</f>
        <v>12347751.524065835</v>
      </c>
      <c r="AH268" s="2486"/>
      <c r="AI268" s="2486"/>
      <c r="AJ268" s="2486"/>
      <c r="AK268" s="2486"/>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6">
        <f>'Sources and Uses Budget'!C105</f>
        <v>38063179</v>
      </c>
      <c r="AH269" s="2486"/>
      <c r="AI269" s="2486"/>
      <c r="AJ269" s="2486"/>
      <c r="AK269" s="248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7">
        <f>ROUNDDOWN(IF(AND(C292="Yes",AK84=10),((AG268*2)/AG269),AG268/AG269),2)</f>
        <v>0.32</v>
      </c>
      <c r="AH270" s="2487"/>
      <c r="AI270" s="2487"/>
      <c r="AJ270" s="2487"/>
      <c r="AK270" s="2487"/>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8">
        <f>IFERROR(IF(AG270=0,0,IF((AG270*100)&gt;8,8,(AG270*100))),0)</f>
        <v>8</v>
      </c>
      <c r="AL273" s="2488"/>
      <c r="AM273" s="248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80" t="s">
        <v>545</v>
      </c>
      <c r="D278" s="2480"/>
      <c r="E278" s="547"/>
      <c r="F278" s="2637" t="s">
        <v>2025</v>
      </c>
      <c r="G278" s="2638"/>
      <c r="H278" s="2638"/>
      <c r="I278" s="2638"/>
      <c r="J278" s="2638"/>
      <c r="K278" s="2638"/>
      <c r="L278" s="2638"/>
      <c r="M278" s="2638"/>
      <c r="N278" s="2638"/>
      <c r="O278" s="2638"/>
      <c r="P278" s="2638"/>
      <c r="Q278" s="2638"/>
      <c r="R278" s="2638"/>
      <c r="S278" s="2638"/>
      <c r="T278" s="2638"/>
      <c r="U278" s="2638"/>
      <c r="V278" s="2638"/>
      <c r="W278" s="2638"/>
      <c r="X278" s="2638"/>
      <c r="Y278" s="2638"/>
      <c r="Z278" s="2638"/>
      <c r="AA278" s="2638"/>
      <c r="AB278" s="2638"/>
      <c r="AC278" s="2638"/>
      <c r="AD278" s="2639"/>
      <c r="AE278" s="550"/>
      <c r="AF278" s="635"/>
      <c r="AG278" s="2481" t="s">
        <v>1363</v>
      </c>
      <c r="AH278" s="2481"/>
      <c r="AI278" s="2481"/>
      <c r="AJ278" s="2481"/>
      <c r="AK278" s="550"/>
      <c r="AL278" s="550"/>
      <c r="AM278" s="550"/>
      <c r="AO278" s="550"/>
    </row>
    <row r="279" spans="1:52" ht="13.7" customHeight="1">
      <c r="A279" s="550"/>
      <c r="B279" s="596"/>
      <c r="C279" s="636"/>
      <c r="D279" s="550"/>
      <c r="E279" s="547"/>
      <c r="F279" s="2640"/>
      <c r="G279" s="2641"/>
      <c r="H279" s="2641"/>
      <c r="I279" s="2641"/>
      <c r="J279" s="2641"/>
      <c r="K279" s="2641"/>
      <c r="L279" s="2641"/>
      <c r="M279" s="2641"/>
      <c r="N279" s="2641"/>
      <c r="O279" s="2641"/>
      <c r="P279" s="2641"/>
      <c r="Q279" s="2641"/>
      <c r="R279" s="2641"/>
      <c r="S279" s="2641"/>
      <c r="T279" s="2641"/>
      <c r="U279" s="2641"/>
      <c r="V279" s="2641"/>
      <c r="W279" s="2641"/>
      <c r="X279" s="2641"/>
      <c r="Y279" s="2641"/>
      <c r="Z279" s="2641"/>
      <c r="AA279" s="2641"/>
      <c r="AB279" s="2641"/>
      <c r="AC279" s="2641"/>
      <c r="AD279" s="2642"/>
      <c r="AE279" s="550"/>
      <c r="AF279" s="635"/>
      <c r="AG279" s="635"/>
      <c r="AH279" s="635"/>
      <c r="AI279" s="635"/>
      <c r="AJ279" s="550"/>
      <c r="AK279" s="550"/>
      <c r="AL279" s="550"/>
      <c r="AM279" s="550"/>
      <c r="AO279" s="550"/>
    </row>
    <row r="280" spans="1:52">
      <c r="A280" s="550"/>
      <c r="B280" s="596"/>
      <c r="C280" s="636"/>
      <c r="D280" s="550"/>
      <c r="E280" s="547"/>
      <c r="F280" s="2640"/>
      <c r="G280" s="2641"/>
      <c r="H280" s="2641"/>
      <c r="I280" s="2641"/>
      <c r="J280" s="2641"/>
      <c r="K280" s="2641"/>
      <c r="L280" s="2641"/>
      <c r="M280" s="2641"/>
      <c r="N280" s="2641"/>
      <c r="O280" s="2641"/>
      <c r="P280" s="2641"/>
      <c r="Q280" s="2641"/>
      <c r="R280" s="2641"/>
      <c r="S280" s="2641"/>
      <c r="T280" s="2641"/>
      <c r="U280" s="2641"/>
      <c r="V280" s="2641"/>
      <c r="W280" s="2641"/>
      <c r="X280" s="2641"/>
      <c r="Y280" s="2641"/>
      <c r="Z280" s="2641"/>
      <c r="AA280" s="2641"/>
      <c r="AB280" s="2641"/>
      <c r="AC280" s="2641"/>
      <c r="AD280" s="2642"/>
      <c r="AE280" s="550"/>
      <c r="AF280" s="635"/>
      <c r="AG280" s="635"/>
      <c r="AH280" s="635"/>
      <c r="AI280" s="635"/>
      <c r="AJ280" s="550"/>
      <c r="AK280" s="550"/>
      <c r="AL280" s="550"/>
      <c r="AM280" s="550"/>
      <c r="AO280" s="550"/>
      <c r="AP280" s="637"/>
    </row>
    <row r="281" spans="1:52">
      <c r="A281" s="550"/>
      <c r="B281" s="596"/>
      <c r="C281" s="636"/>
      <c r="D281" s="550"/>
      <c r="E281" s="547"/>
      <c r="F281" s="2640"/>
      <c r="G281" s="2641"/>
      <c r="H281" s="2641"/>
      <c r="I281" s="2641"/>
      <c r="J281" s="2641"/>
      <c r="K281" s="2641"/>
      <c r="L281" s="2641"/>
      <c r="M281" s="2641"/>
      <c r="N281" s="2641"/>
      <c r="O281" s="2641"/>
      <c r="P281" s="2641"/>
      <c r="Q281" s="2641"/>
      <c r="R281" s="2641"/>
      <c r="S281" s="2641"/>
      <c r="T281" s="2641"/>
      <c r="U281" s="2641"/>
      <c r="V281" s="2641"/>
      <c r="W281" s="2641"/>
      <c r="X281" s="2641"/>
      <c r="Y281" s="2641"/>
      <c r="Z281" s="2641"/>
      <c r="AA281" s="2641"/>
      <c r="AB281" s="2641"/>
      <c r="AC281" s="2641"/>
      <c r="AD281" s="2642"/>
      <c r="AE281" s="550"/>
      <c r="AF281" s="635"/>
      <c r="AG281" s="635"/>
      <c r="AH281" s="635"/>
      <c r="AI281" s="635"/>
      <c r="AJ281" s="550"/>
      <c r="AK281" s="550"/>
      <c r="AL281" s="550"/>
      <c r="AM281" s="550"/>
      <c r="AO281" s="550"/>
      <c r="AP281" s="637"/>
    </row>
    <row r="282" spans="1:52" ht="13.7" customHeight="1">
      <c r="A282" s="550"/>
      <c r="B282" s="596"/>
      <c r="C282" s="2482"/>
      <c r="D282" s="2482"/>
      <c r="E282" s="547"/>
      <c r="F282" s="2643"/>
      <c r="G282" s="2644"/>
      <c r="H282" s="2644"/>
      <c r="I282" s="2644"/>
      <c r="J282" s="2644"/>
      <c r="K282" s="2644"/>
      <c r="L282" s="2644"/>
      <c r="M282" s="2644"/>
      <c r="N282" s="2644"/>
      <c r="O282" s="2644"/>
      <c r="P282" s="2644"/>
      <c r="Q282" s="2644"/>
      <c r="R282" s="2644"/>
      <c r="S282" s="2644"/>
      <c r="T282" s="2644"/>
      <c r="U282" s="2644"/>
      <c r="V282" s="2644"/>
      <c r="W282" s="2644"/>
      <c r="X282" s="2644"/>
      <c r="Y282" s="2644"/>
      <c r="Z282" s="2644"/>
      <c r="AA282" s="2644"/>
      <c r="AB282" s="2644"/>
      <c r="AC282" s="2644"/>
      <c r="AD282" s="2645"/>
      <c r="AE282" s="550"/>
      <c r="AF282" s="635"/>
      <c r="AG282" s="2481"/>
      <c r="AH282" s="2481"/>
      <c r="AI282" s="2481"/>
      <c r="AJ282" s="248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8">
        <f>IF($C$278="yes",10,0)</f>
        <v>10</v>
      </c>
      <c r="AL285" s="2488"/>
      <c r="AM285" s="248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6" t="s">
        <v>591</v>
      </c>
      <c r="D292" s="2480"/>
      <c r="E292" s="547"/>
      <c r="F292" s="2508" t="s">
        <v>1383</v>
      </c>
      <c r="G292" s="2509"/>
      <c r="H292" s="2509"/>
      <c r="I292" s="2509"/>
      <c r="J292" s="2509"/>
      <c r="K292" s="2509"/>
      <c r="L292" s="2509"/>
      <c r="M292" s="2509"/>
      <c r="N292" s="2509"/>
      <c r="O292" s="2509"/>
      <c r="P292" s="2509"/>
      <c r="Q292" s="2509"/>
      <c r="R292" s="2509"/>
      <c r="S292" s="2509"/>
      <c r="T292" s="2509"/>
      <c r="U292" s="2509"/>
      <c r="V292" s="2509"/>
      <c r="W292" s="2509"/>
      <c r="X292" s="2509"/>
      <c r="Y292" s="2509"/>
      <c r="Z292" s="2509"/>
      <c r="AA292" s="2509"/>
      <c r="AB292" s="2509"/>
      <c r="AC292" s="2509"/>
      <c r="AD292" s="2510"/>
      <c r="AE292" s="642"/>
      <c r="AF292" s="550"/>
      <c r="AG292" s="2511" t="s">
        <v>2018</v>
      </c>
      <c r="AH292" s="2511"/>
      <c r="AI292" s="2511"/>
      <c r="AJ292" s="2511"/>
      <c r="AK292" s="2511"/>
      <c r="AL292" s="550"/>
      <c r="AM292" s="550"/>
      <c r="AN292" s="73"/>
      <c r="AO292" s="14"/>
      <c r="AP292" s="30"/>
      <c r="AS292" s="570"/>
      <c r="AT292" s="570"/>
      <c r="AU292" s="570"/>
      <c r="AV292" s="32"/>
      <c r="AW292" s="32"/>
    </row>
    <row r="293" spans="1:49">
      <c r="A293" s="640"/>
      <c r="B293" s="596"/>
      <c r="F293" s="2502"/>
      <c r="G293" s="2503"/>
      <c r="H293" s="2503"/>
      <c r="I293" s="2503"/>
      <c r="J293" s="2503"/>
      <c r="K293" s="2503"/>
      <c r="L293" s="2503"/>
      <c r="M293" s="2503"/>
      <c r="N293" s="2503"/>
      <c r="O293" s="2503"/>
      <c r="P293" s="2503"/>
      <c r="Q293" s="2503"/>
      <c r="R293" s="2503"/>
      <c r="S293" s="2503"/>
      <c r="T293" s="2503"/>
      <c r="U293" s="2503"/>
      <c r="V293" s="2503"/>
      <c r="W293" s="2503"/>
      <c r="X293" s="2503"/>
      <c r="Y293" s="2503"/>
      <c r="Z293" s="2503"/>
      <c r="AA293" s="2503"/>
      <c r="AB293" s="2503"/>
      <c r="AC293" s="2503"/>
      <c r="AD293" s="2504"/>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2"/>
      <c r="G294" s="2503"/>
      <c r="H294" s="2503"/>
      <c r="I294" s="2503"/>
      <c r="J294" s="2503"/>
      <c r="K294" s="2503"/>
      <c r="L294" s="2503"/>
      <c r="M294" s="2503"/>
      <c r="N294" s="2503"/>
      <c r="O294" s="2503"/>
      <c r="P294" s="2503"/>
      <c r="Q294" s="2503"/>
      <c r="R294" s="2503"/>
      <c r="S294" s="2503"/>
      <c r="T294" s="2503"/>
      <c r="U294" s="2503"/>
      <c r="V294" s="2503"/>
      <c r="W294" s="2503"/>
      <c r="X294" s="2503"/>
      <c r="Y294" s="2503"/>
      <c r="Z294" s="2503"/>
      <c r="AA294" s="2503"/>
      <c r="AB294" s="2503"/>
      <c r="AC294" s="2503"/>
      <c r="AD294" s="2504"/>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2" t="s">
        <v>2026</v>
      </c>
      <c r="G295" s="2503"/>
      <c r="H295" s="2503"/>
      <c r="I295" s="2503"/>
      <c r="J295" s="2503"/>
      <c r="K295" s="2503"/>
      <c r="L295" s="2503"/>
      <c r="M295" s="2503"/>
      <c r="N295" s="2503"/>
      <c r="O295" s="2503"/>
      <c r="P295" s="2503"/>
      <c r="Q295" s="2503"/>
      <c r="R295" s="2503"/>
      <c r="S295" s="2503"/>
      <c r="T295" s="2503"/>
      <c r="U295" s="2503"/>
      <c r="V295" s="2503"/>
      <c r="W295" s="2503"/>
      <c r="X295" s="2503"/>
      <c r="Y295" s="2503"/>
      <c r="Z295" s="2503"/>
      <c r="AA295" s="2503"/>
      <c r="AB295" s="2503"/>
      <c r="AC295" s="2503"/>
      <c r="AD295" s="2504"/>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502"/>
      <c r="G296" s="2503"/>
      <c r="H296" s="2503"/>
      <c r="I296" s="2503"/>
      <c r="J296" s="2503"/>
      <c r="K296" s="2503"/>
      <c r="L296" s="2503"/>
      <c r="M296" s="2503"/>
      <c r="N296" s="2503"/>
      <c r="O296" s="2503"/>
      <c r="P296" s="2503"/>
      <c r="Q296" s="2503"/>
      <c r="R296" s="2503"/>
      <c r="S296" s="2503"/>
      <c r="T296" s="2503"/>
      <c r="U296" s="2503"/>
      <c r="V296" s="2503"/>
      <c r="W296" s="2503"/>
      <c r="X296" s="2503"/>
      <c r="Y296" s="2503"/>
      <c r="Z296" s="2503"/>
      <c r="AA296" s="2503"/>
      <c r="AB296" s="2503"/>
      <c r="AC296" s="2503"/>
      <c r="AD296" s="250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2" t="s">
        <v>1384</v>
      </c>
      <c r="G297" s="2503"/>
      <c r="H297" s="2503"/>
      <c r="I297" s="2503"/>
      <c r="J297" s="2503"/>
      <c r="K297" s="2503"/>
      <c r="L297" s="2503"/>
      <c r="M297" s="2503"/>
      <c r="N297" s="2503"/>
      <c r="O297" s="2503"/>
      <c r="P297" s="2503"/>
      <c r="Q297" s="2503"/>
      <c r="R297" s="2503"/>
      <c r="S297" s="2503"/>
      <c r="T297" s="2503"/>
      <c r="U297" s="2503"/>
      <c r="V297" s="2503"/>
      <c r="W297" s="2503"/>
      <c r="X297" s="2503"/>
      <c r="Y297" s="2503"/>
      <c r="Z297" s="2503"/>
      <c r="AA297" s="2503"/>
      <c r="AB297" s="2503"/>
      <c r="AC297" s="2503"/>
      <c r="AD297" s="250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2"/>
      <c r="G298" s="2503"/>
      <c r="H298" s="2503"/>
      <c r="I298" s="2503"/>
      <c r="J298" s="2503"/>
      <c r="K298" s="2503"/>
      <c r="L298" s="2503"/>
      <c r="M298" s="2503"/>
      <c r="N298" s="2503"/>
      <c r="O298" s="2503"/>
      <c r="P298" s="2503"/>
      <c r="Q298" s="2503"/>
      <c r="R298" s="2503"/>
      <c r="S298" s="2503"/>
      <c r="T298" s="2503"/>
      <c r="U298" s="2503"/>
      <c r="V298" s="2503"/>
      <c r="W298" s="2503"/>
      <c r="X298" s="2503"/>
      <c r="Y298" s="2503"/>
      <c r="Z298" s="2503"/>
      <c r="AA298" s="2503"/>
      <c r="AB298" s="2503"/>
      <c r="AC298" s="2503"/>
      <c r="AD298" s="250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2" t="s">
        <v>1385</v>
      </c>
      <c r="G299" s="2503"/>
      <c r="H299" s="2503"/>
      <c r="I299" s="2503"/>
      <c r="J299" s="2503"/>
      <c r="K299" s="2503"/>
      <c r="L299" s="2503"/>
      <c r="M299" s="2503"/>
      <c r="N299" s="2503"/>
      <c r="O299" s="2503"/>
      <c r="P299" s="2503"/>
      <c r="Q299" s="2503"/>
      <c r="R299" s="2503"/>
      <c r="S299" s="2503"/>
      <c r="T299" s="2503"/>
      <c r="U299" s="2503"/>
      <c r="V299" s="2503"/>
      <c r="W299" s="2503"/>
      <c r="X299" s="2503"/>
      <c r="Y299" s="2503"/>
      <c r="Z299" s="2503"/>
      <c r="AA299" s="2503"/>
      <c r="AB299" s="2503"/>
      <c r="AC299" s="2503"/>
      <c r="AD299" s="250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5"/>
      <c r="G300" s="2506"/>
      <c r="H300" s="2506"/>
      <c r="I300" s="2506"/>
      <c r="J300" s="2506"/>
      <c r="K300" s="2506"/>
      <c r="L300" s="2506"/>
      <c r="M300" s="2506"/>
      <c r="N300" s="2506"/>
      <c r="O300" s="2506"/>
      <c r="P300" s="2506"/>
      <c r="Q300" s="2506"/>
      <c r="R300" s="2506"/>
      <c r="S300" s="2506"/>
      <c r="T300" s="2506"/>
      <c r="U300" s="2506"/>
      <c r="V300" s="2506"/>
      <c r="W300" s="2506"/>
      <c r="X300" s="2506"/>
      <c r="Y300" s="2506"/>
      <c r="Z300" s="2506"/>
      <c r="AA300" s="2506"/>
      <c r="AB300" s="2506"/>
      <c r="AC300" s="2506"/>
      <c r="AD300" s="250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80" t="s">
        <v>545</v>
      </c>
      <c r="D302" s="2480"/>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9" t="s">
        <v>2020</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80" t="s">
        <v>591</v>
      </c>
      <c r="D310" s="2480"/>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502" t="s">
        <v>2027</v>
      </c>
      <c r="G311" s="2503"/>
      <c r="H311" s="2503"/>
      <c r="I311" s="2503"/>
      <c r="J311" s="2503"/>
      <c r="K311" s="2503"/>
      <c r="L311" s="2503"/>
      <c r="M311" s="2503"/>
      <c r="N311" s="2503"/>
      <c r="O311" s="2503"/>
      <c r="P311" s="2503"/>
      <c r="Q311" s="2503"/>
      <c r="R311" s="2503"/>
      <c r="S311" s="2503"/>
      <c r="T311" s="2503"/>
      <c r="U311" s="2503"/>
      <c r="V311" s="2503"/>
      <c r="W311" s="2503"/>
      <c r="X311" s="2503"/>
      <c r="Y311" s="2503"/>
      <c r="Z311" s="2503"/>
      <c r="AA311" s="2503"/>
      <c r="AB311" s="2503"/>
      <c r="AC311" s="2503"/>
      <c r="AD311" s="2504"/>
      <c r="AE311" s="551"/>
      <c r="AF311" s="551"/>
      <c r="AG311" s="539"/>
      <c r="AH311" s="551"/>
      <c r="AI311" s="551"/>
      <c r="AJ311" s="550"/>
      <c r="AK311" s="550"/>
      <c r="AL311" s="550"/>
      <c r="AM311" s="550"/>
      <c r="AN311" s="73"/>
      <c r="AO311" s="14"/>
      <c r="AP311" s="557" t="s">
        <v>1184</v>
      </c>
    </row>
    <row r="312" spans="1:44" hidden="1">
      <c r="F312" s="2502"/>
      <c r="G312" s="2503"/>
      <c r="H312" s="2503"/>
      <c r="I312" s="2503"/>
      <c r="J312" s="2503"/>
      <c r="K312" s="2503"/>
      <c r="L312" s="2503"/>
      <c r="M312" s="2503"/>
      <c r="N312" s="2503"/>
      <c r="O312" s="2503"/>
      <c r="P312" s="2503"/>
      <c r="Q312" s="2503"/>
      <c r="R312" s="2503"/>
      <c r="S312" s="2503"/>
      <c r="T312" s="2503"/>
      <c r="U312" s="2503"/>
      <c r="V312" s="2503"/>
      <c r="W312" s="2503"/>
      <c r="X312" s="2503"/>
      <c r="Y312" s="2503"/>
      <c r="Z312" s="2503"/>
      <c r="AA312" s="2503"/>
      <c r="AB312" s="2503"/>
      <c r="AC312" s="2503"/>
      <c r="AD312" s="2504"/>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2" t="s">
        <v>1184</v>
      </c>
      <c r="G316" s="2513"/>
      <c r="H316" s="2513"/>
      <c r="I316" s="2513"/>
      <c r="J316" s="2513"/>
      <c r="K316" s="2513"/>
      <c r="L316" s="2513"/>
      <c r="M316" s="2513"/>
      <c r="N316" s="2513"/>
      <c r="O316" s="2513"/>
      <c r="P316" s="2513"/>
      <c r="Q316" s="2513"/>
      <c r="R316" s="2513"/>
      <c r="S316" s="2513"/>
      <c r="T316" s="2513"/>
      <c r="U316" s="2513"/>
      <c r="V316" s="2513"/>
      <c r="W316" s="2513"/>
      <c r="X316" s="2513"/>
      <c r="Y316" s="2513"/>
      <c r="Z316" s="2513"/>
      <c r="AA316" s="2513"/>
      <c r="AB316" s="2513"/>
      <c r="AC316" s="2513"/>
      <c r="AD316" s="2514"/>
      <c r="AE316" s="642"/>
      <c r="AF316" s="642"/>
      <c r="AG316" s="642"/>
      <c r="AH316" s="642"/>
      <c r="AI316" s="642"/>
      <c r="AJ316" s="642"/>
      <c r="AK316" s="642"/>
      <c r="AL316" s="550"/>
      <c r="AM316" s="550"/>
      <c r="AN316" s="73"/>
      <c r="AO316" s="14"/>
      <c r="AP316" s="30"/>
    </row>
    <row r="317" spans="1:44" hidden="1">
      <c r="A317" s="550"/>
      <c r="B317" s="551"/>
      <c r="C317" s="730"/>
      <c r="D317" s="730"/>
      <c r="E317" s="547"/>
      <c r="F317" s="2512"/>
      <c r="G317" s="2513"/>
      <c r="H317" s="2513"/>
      <c r="I317" s="2513"/>
      <c r="J317" s="2513"/>
      <c r="K317" s="2513"/>
      <c r="L317" s="2513"/>
      <c r="M317" s="2513"/>
      <c r="N317" s="2513"/>
      <c r="O317" s="2513"/>
      <c r="P317" s="2513"/>
      <c r="Q317" s="2513"/>
      <c r="R317" s="2513"/>
      <c r="S317" s="2513"/>
      <c r="T317" s="2513"/>
      <c r="U317" s="2513"/>
      <c r="V317" s="2513"/>
      <c r="W317" s="2513"/>
      <c r="X317" s="2513"/>
      <c r="Y317" s="2513"/>
      <c r="Z317" s="2513"/>
      <c r="AA317" s="2513"/>
      <c r="AB317" s="2513"/>
      <c r="AC317" s="2513"/>
      <c r="AD317" s="2514"/>
      <c r="AE317" s="551"/>
      <c r="AF317" s="551"/>
      <c r="AG317" s="539"/>
      <c r="AH317" s="551"/>
      <c r="AI317" s="551"/>
      <c r="AJ317" s="550"/>
      <c r="AK317" s="550"/>
      <c r="AL317" s="550"/>
      <c r="AM317" s="550"/>
      <c r="AN317" s="73"/>
      <c r="AO317" s="14"/>
      <c r="AP317" s="30"/>
    </row>
    <row r="318" spans="1:44" hidden="1">
      <c r="A318" s="550"/>
      <c r="B318" s="551"/>
      <c r="C318" s="730"/>
      <c r="D318" s="730"/>
      <c r="E318" s="547"/>
      <c r="F318" s="2512"/>
      <c r="G318" s="2513"/>
      <c r="H318" s="2513"/>
      <c r="I318" s="2513"/>
      <c r="J318" s="2513"/>
      <c r="K318" s="2513"/>
      <c r="L318" s="2513"/>
      <c r="M318" s="2513"/>
      <c r="N318" s="2513"/>
      <c r="O318" s="2513"/>
      <c r="P318" s="2513"/>
      <c r="Q318" s="2513"/>
      <c r="R318" s="2513"/>
      <c r="S318" s="2513"/>
      <c r="T318" s="2513"/>
      <c r="U318" s="2513"/>
      <c r="V318" s="2513"/>
      <c r="W318" s="2513"/>
      <c r="X318" s="2513"/>
      <c r="Y318" s="2513"/>
      <c r="Z318" s="2513"/>
      <c r="AA318" s="2513"/>
      <c r="AB318" s="2513"/>
      <c r="AC318" s="2513"/>
      <c r="AD318" s="2514"/>
      <c r="AE318" s="551"/>
      <c r="AF318" s="551"/>
      <c r="AG318" s="539"/>
      <c r="AH318" s="551"/>
      <c r="AI318" s="551"/>
      <c r="AJ318" s="550"/>
      <c r="AK318" s="550"/>
      <c r="AL318" s="550"/>
      <c r="AM318" s="550"/>
      <c r="AN318" s="73"/>
      <c r="AO318" s="14"/>
      <c r="AP318" s="30"/>
    </row>
    <row r="319" spans="1:44" hidden="1">
      <c r="A319" s="550"/>
      <c r="B319" s="551"/>
      <c r="C319" s="730"/>
      <c r="D319" s="730"/>
      <c r="E319" s="547"/>
      <c r="F319" s="2512"/>
      <c r="G319" s="2513"/>
      <c r="H319" s="2513"/>
      <c r="I319" s="2513"/>
      <c r="J319" s="2513"/>
      <c r="K319" s="2513"/>
      <c r="L319" s="2513"/>
      <c r="M319" s="2513"/>
      <c r="N319" s="2513"/>
      <c r="O319" s="2513"/>
      <c r="P319" s="2513"/>
      <c r="Q319" s="2513"/>
      <c r="R319" s="2513"/>
      <c r="S319" s="2513"/>
      <c r="T319" s="2513"/>
      <c r="U319" s="2513"/>
      <c r="V319" s="2513"/>
      <c r="W319" s="2513"/>
      <c r="X319" s="2513"/>
      <c r="Y319" s="2513"/>
      <c r="Z319" s="2513"/>
      <c r="AA319" s="2513"/>
      <c r="AB319" s="2513"/>
      <c r="AC319" s="2513"/>
      <c r="AD319" s="2514"/>
      <c r="AE319" s="551"/>
      <c r="AF319" s="551"/>
      <c r="AG319" s="539"/>
      <c r="AH319" s="551"/>
      <c r="AI319" s="551"/>
      <c r="AJ319" s="550"/>
      <c r="AK319" s="550"/>
      <c r="AL319" s="550"/>
      <c r="AM319" s="550"/>
      <c r="AN319" s="73"/>
      <c r="AO319" s="14"/>
      <c r="AP319" s="30"/>
    </row>
    <row r="320" spans="1:44" hidden="1">
      <c r="A320" s="550"/>
      <c r="B320" s="551"/>
      <c r="C320" s="730"/>
      <c r="D320" s="730"/>
      <c r="E320" s="547"/>
      <c r="F320" s="2515"/>
      <c r="G320" s="2516"/>
      <c r="H320" s="2516"/>
      <c r="I320" s="2516"/>
      <c r="J320" s="2516"/>
      <c r="K320" s="2516"/>
      <c r="L320" s="2516"/>
      <c r="M320" s="2516"/>
      <c r="N320" s="2516"/>
      <c r="O320" s="2516"/>
      <c r="P320" s="2516"/>
      <c r="Q320" s="2516"/>
      <c r="R320" s="2516"/>
      <c r="S320" s="2516"/>
      <c r="T320" s="2516"/>
      <c r="U320" s="2516"/>
      <c r="V320" s="2516"/>
      <c r="W320" s="2516"/>
      <c r="X320" s="2516"/>
      <c r="Y320" s="2516"/>
      <c r="Z320" s="2516"/>
      <c r="AA320" s="2516"/>
      <c r="AB320" s="2516"/>
      <c r="AC320" s="2516"/>
      <c r="AD320" s="251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8" t="s">
        <v>1184</v>
      </c>
      <c r="J324" s="2518"/>
      <c r="K324" s="2518"/>
      <c r="L324" s="2518"/>
      <c r="M324" s="2518"/>
      <c r="N324" s="2518"/>
      <c r="O324" s="2518"/>
      <c r="P324" s="2518"/>
      <c r="Q324" s="2518"/>
      <c r="R324" s="2518"/>
      <c r="S324" s="2518"/>
      <c r="T324" s="2518"/>
      <c r="U324" s="2518"/>
      <c r="V324" s="2518"/>
      <c r="W324" s="2518"/>
      <c r="X324" s="2518"/>
      <c r="Y324" s="2518"/>
      <c r="Z324" s="2518"/>
      <c r="AA324" s="2518"/>
      <c r="AB324" s="2518"/>
      <c r="AC324" s="2518"/>
      <c r="AD324" s="2519"/>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8"/>
      <c r="J325" s="2518"/>
      <c r="K325" s="2518"/>
      <c r="L325" s="2518"/>
      <c r="M325" s="2518"/>
      <c r="N325" s="2518"/>
      <c r="O325" s="2518"/>
      <c r="P325" s="2518"/>
      <c r="Q325" s="2518"/>
      <c r="R325" s="2518"/>
      <c r="S325" s="2518"/>
      <c r="T325" s="2518"/>
      <c r="U325" s="2518"/>
      <c r="V325" s="2518"/>
      <c r="W325" s="2518"/>
      <c r="X325" s="2518"/>
      <c r="Y325" s="2518"/>
      <c r="Z325" s="2518"/>
      <c r="AA325" s="2518"/>
      <c r="AB325" s="2518"/>
      <c r="AC325" s="2518"/>
      <c r="AD325" s="2519"/>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8"/>
      <c r="J326" s="2518"/>
      <c r="K326" s="2518"/>
      <c r="L326" s="2518"/>
      <c r="M326" s="2518"/>
      <c r="N326" s="2518"/>
      <c r="O326" s="2518"/>
      <c r="P326" s="2518"/>
      <c r="Q326" s="2518"/>
      <c r="R326" s="2518"/>
      <c r="S326" s="2518"/>
      <c r="T326" s="2518"/>
      <c r="U326" s="2518"/>
      <c r="V326" s="2518"/>
      <c r="W326" s="2518"/>
      <c r="X326" s="2518"/>
      <c r="Y326" s="2518"/>
      <c r="Z326" s="2518"/>
      <c r="AA326" s="2518"/>
      <c r="AB326" s="2518"/>
      <c r="AC326" s="2518"/>
      <c r="AD326" s="2519"/>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20"/>
      <c r="J327" s="2520"/>
      <c r="K327" s="2520"/>
      <c r="L327" s="2520"/>
      <c r="M327" s="2520"/>
      <c r="N327" s="2520"/>
      <c r="O327" s="2520"/>
      <c r="P327" s="2520"/>
      <c r="Q327" s="2520"/>
      <c r="R327" s="2520"/>
      <c r="S327" s="2520"/>
      <c r="T327" s="2520"/>
      <c r="U327" s="2520"/>
      <c r="V327" s="2520"/>
      <c r="W327" s="2520"/>
      <c r="X327" s="2520"/>
      <c r="Y327" s="2520"/>
      <c r="Z327" s="2520"/>
      <c r="AA327" s="2520"/>
      <c r="AB327" s="2520"/>
      <c r="AC327" s="2520"/>
      <c r="AD327" s="2521"/>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8" t="s">
        <v>1184</v>
      </c>
      <c r="J329" s="2518"/>
      <c r="K329" s="2518"/>
      <c r="L329" s="2518"/>
      <c r="M329" s="2518"/>
      <c r="N329" s="2518"/>
      <c r="O329" s="2518"/>
      <c r="P329" s="2518"/>
      <c r="Q329" s="2518"/>
      <c r="R329" s="2518"/>
      <c r="S329" s="2518"/>
      <c r="T329" s="2518"/>
      <c r="U329" s="2518"/>
      <c r="V329" s="2518"/>
      <c r="W329" s="2518"/>
      <c r="X329" s="2518"/>
      <c r="Y329" s="2518"/>
      <c r="Z329" s="2518"/>
      <c r="AA329" s="2518"/>
      <c r="AB329" s="2518"/>
      <c r="AC329" s="2518"/>
      <c r="AD329" s="251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8"/>
      <c r="J330" s="2518"/>
      <c r="K330" s="2518"/>
      <c r="L330" s="2518"/>
      <c r="M330" s="2518"/>
      <c r="N330" s="2518"/>
      <c r="O330" s="2518"/>
      <c r="P330" s="2518"/>
      <c r="Q330" s="2518"/>
      <c r="R330" s="2518"/>
      <c r="S330" s="2518"/>
      <c r="T330" s="2518"/>
      <c r="U330" s="2518"/>
      <c r="V330" s="2518"/>
      <c r="W330" s="2518"/>
      <c r="X330" s="2518"/>
      <c r="Y330" s="2518"/>
      <c r="Z330" s="2518"/>
      <c r="AA330" s="2518"/>
      <c r="AB330" s="2518"/>
      <c r="AC330" s="2518"/>
      <c r="AD330" s="2519"/>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20"/>
      <c r="J331" s="2520"/>
      <c r="K331" s="2520"/>
      <c r="L331" s="2520"/>
      <c r="M331" s="2520"/>
      <c r="N331" s="2520"/>
      <c r="O331" s="2520"/>
      <c r="P331" s="2520"/>
      <c r="Q331" s="2520"/>
      <c r="R331" s="2520"/>
      <c r="S331" s="2520"/>
      <c r="T331" s="2520"/>
      <c r="U331" s="2520"/>
      <c r="V331" s="2520"/>
      <c r="W331" s="2520"/>
      <c r="X331" s="2520"/>
      <c r="Y331" s="2520"/>
      <c r="Z331" s="2520"/>
      <c r="AA331" s="2520"/>
      <c r="AB331" s="2520"/>
      <c r="AC331" s="2520"/>
      <c r="AD331" s="2521"/>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80" t="s">
        <v>591</v>
      </c>
      <c r="D333" s="2480"/>
      <c r="E333" s="547"/>
      <c r="F333" s="2403" t="s">
        <v>2028</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3">
        <f>IF(NOT(OR(Application!M355="Yes",Application!M356="Yes")),0,AP295)</f>
        <v>9</v>
      </c>
      <c r="AL338" s="2484"/>
      <c r="AM338" s="248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12" t="s">
        <v>1314</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2" t="s">
        <v>1454</v>
      </c>
      <c r="D343" s="2522"/>
      <c r="E343" s="2522"/>
      <c r="F343" s="2522"/>
      <c r="G343" s="2522"/>
      <c r="H343" s="2522"/>
      <c r="I343" s="2522"/>
      <c r="J343" s="2522"/>
      <c r="K343" s="2522"/>
      <c r="L343" s="2522"/>
      <c r="M343" s="2522"/>
      <c r="N343" s="2522"/>
      <c r="O343" s="2522"/>
      <c r="P343" s="2522"/>
      <c r="Q343" s="2522"/>
      <c r="R343" s="2522"/>
      <c r="S343" s="2522"/>
      <c r="T343" s="2522"/>
      <c r="U343" s="2522"/>
      <c r="V343" s="2522"/>
      <c r="W343" s="2522"/>
      <c r="X343" s="2522"/>
      <c r="Y343" s="2522"/>
      <c r="Z343" s="2522"/>
      <c r="AA343" s="2522"/>
      <c r="AB343" s="2522"/>
      <c r="AC343" s="2522"/>
      <c r="AD343" s="2522"/>
      <c r="AE343" s="2522"/>
      <c r="AF343" s="2522"/>
      <c r="AG343" s="2522"/>
      <c r="AH343" s="2522"/>
      <c r="AI343" s="2522"/>
      <c r="AJ343" s="2522"/>
      <c r="AK343" s="603"/>
      <c r="AL343" s="603"/>
      <c r="AM343" s="603"/>
      <c r="AN343" s="597"/>
    </row>
    <row r="344" spans="1:44" s="550" customFormat="1" ht="12.75" customHeight="1">
      <c r="A344" s="603"/>
      <c r="B344" s="611"/>
      <c r="C344" s="2522"/>
      <c r="D344" s="2522"/>
      <c r="E344" s="2522"/>
      <c r="F344" s="2522"/>
      <c r="G344" s="2522"/>
      <c r="H344" s="2522"/>
      <c r="I344" s="2522"/>
      <c r="J344" s="2522"/>
      <c r="K344" s="2522"/>
      <c r="L344" s="2522"/>
      <c r="M344" s="2522"/>
      <c r="N344" s="2522"/>
      <c r="O344" s="2522"/>
      <c r="P344" s="2522"/>
      <c r="Q344" s="2522"/>
      <c r="R344" s="2522"/>
      <c r="S344" s="2522"/>
      <c r="T344" s="2522"/>
      <c r="U344" s="2522"/>
      <c r="V344" s="2522"/>
      <c r="W344" s="2522"/>
      <c r="X344" s="2522"/>
      <c r="Y344" s="2522"/>
      <c r="Z344" s="2522"/>
      <c r="AA344" s="2522"/>
      <c r="AB344" s="2522"/>
      <c r="AC344" s="2522"/>
      <c r="AD344" s="2522"/>
      <c r="AE344" s="2522"/>
      <c r="AF344" s="2522"/>
      <c r="AG344" s="2522"/>
      <c r="AH344" s="2522"/>
      <c r="AI344" s="2522"/>
      <c r="AJ344" s="2522"/>
      <c r="AK344" s="603"/>
      <c r="AL344" s="603"/>
      <c r="AM344" s="603"/>
      <c r="AN344" s="597"/>
    </row>
    <row r="345" spans="1:44" s="550" customFormat="1" ht="12.75" customHeight="1">
      <c r="A345" s="603"/>
      <c r="B345" s="611"/>
      <c r="C345" s="2522"/>
      <c r="D345" s="2522"/>
      <c r="E345" s="2522"/>
      <c r="F345" s="2522"/>
      <c r="G345" s="2522"/>
      <c r="H345" s="2522"/>
      <c r="I345" s="2522"/>
      <c r="J345" s="2522"/>
      <c r="K345" s="2522"/>
      <c r="L345" s="2522"/>
      <c r="M345" s="2522"/>
      <c r="N345" s="2522"/>
      <c r="O345" s="2522"/>
      <c r="P345" s="2522"/>
      <c r="Q345" s="2522"/>
      <c r="R345" s="2522"/>
      <c r="S345" s="2522"/>
      <c r="T345" s="2522"/>
      <c r="U345" s="2522"/>
      <c r="V345" s="2522"/>
      <c r="W345" s="2522"/>
      <c r="X345" s="2522"/>
      <c r="Y345" s="2522"/>
      <c r="Z345" s="2522"/>
      <c r="AA345" s="2522"/>
      <c r="AB345" s="2522"/>
      <c r="AC345" s="2522"/>
      <c r="AD345" s="2522"/>
      <c r="AE345" s="2522"/>
      <c r="AF345" s="2522"/>
      <c r="AG345" s="2522"/>
      <c r="AH345" s="2522"/>
      <c r="AI345" s="2522"/>
      <c r="AJ345" s="2522"/>
      <c r="AK345" s="603"/>
      <c r="AL345" s="603"/>
      <c r="AM345" s="603"/>
      <c r="AN345" s="597"/>
      <c r="AQ345" s="570"/>
    </row>
    <row r="346" spans="1:44" s="550" customFormat="1" ht="12.75" customHeight="1">
      <c r="A346" s="603"/>
      <c r="B346" s="611"/>
      <c r="C346" s="2522"/>
      <c r="D346" s="2522"/>
      <c r="E346" s="2522"/>
      <c r="F346" s="2522"/>
      <c r="G346" s="2522"/>
      <c r="H346" s="2522"/>
      <c r="I346" s="2522"/>
      <c r="J346" s="2522"/>
      <c r="K346" s="2522"/>
      <c r="L346" s="2522"/>
      <c r="M346" s="2522"/>
      <c r="N346" s="2522"/>
      <c r="O346" s="2522"/>
      <c r="P346" s="2522"/>
      <c r="Q346" s="2522"/>
      <c r="R346" s="2522"/>
      <c r="S346" s="2522"/>
      <c r="T346" s="2522"/>
      <c r="U346" s="2522"/>
      <c r="V346" s="2522"/>
      <c r="W346" s="2522"/>
      <c r="X346" s="2522"/>
      <c r="Y346" s="2522"/>
      <c r="Z346" s="2522"/>
      <c r="AA346" s="2522"/>
      <c r="AB346" s="2522"/>
      <c r="AC346" s="2522"/>
      <c r="AD346" s="2522"/>
      <c r="AE346" s="2522"/>
      <c r="AF346" s="2522"/>
      <c r="AG346" s="2522"/>
      <c r="AH346" s="2522"/>
      <c r="AI346" s="2522"/>
      <c r="AJ346" s="2522"/>
      <c r="AK346" s="603"/>
      <c r="AL346" s="603"/>
      <c r="AM346" s="603"/>
      <c r="AN346" s="597"/>
      <c r="AQ346" s="570"/>
    </row>
    <row r="347" spans="1:44" s="550" customFormat="1" ht="12.6" customHeight="1">
      <c r="A347" s="603"/>
      <c r="B347" s="611"/>
      <c r="C347" s="2522"/>
      <c r="D347" s="2522"/>
      <c r="E347" s="2522"/>
      <c r="F347" s="2522"/>
      <c r="G347" s="2522"/>
      <c r="H347" s="2522"/>
      <c r="I347" s="2522"/>
      <c r="J347" s="2522"/>
      <c r="K347" s="2522"/>
      <c r="L347" s="2522"/>
      <c r="M347" s="2522"/>
      <c r="N347" s="2522"/>
      <c r="O347" s="2522"/>
      <c r="P347" s="2522"/>
      <c r="Q347" s="2522"/>
      <c r="R347" s="2522"/>
      <c r="S347" s="2522"/>
      <c r="T347" s="2522"/>
      <c r="U347" s="2522"/>
      <c r="V347" s="2522"/>
      <c r="W347" s="2522"/>
      <c r="X347" s="2522"/>
      <c r="Y347" s="2522"/>
      <c r="Z347" s="2522"/>
      <c r="AA347" s="2522"/>
      <c r="AB347" s="2522"/>
      <c r="AC347" s="2522"/>
      <c r="AD347" s="2522"/>
      <c r="AE347" s="2522"/>
      <c r="AF347" s="2522"/>
      <c r="AG347" s="2522"/>
      <c r="AH347" s="2522"/>
      <c r="AI347" s="2522"/>
      <c r="AJ347" s="2522"/>
      <c r="AK347" s="603"/>
      <c r="AL347" s="603"/>
      <c r="AM347" s="603"/>
      <c r="AN347" s="597"/>
      <c r="AQ347" s="570"/>
      <c r="AR347" s="570"/>
    </row>
    <row r="348" spans="1:44" s="550" customFormat="1" ht="45.75" customHeight="1">
      <c r="A348" s="603"/>
      <c r="B348" s="611"/>
      <c r="C348" s="2522" t="s">
        <v>2093</v>
      </c>
      <c r="D348" s="2522"/>
      <c r="E348" s="2522"/>
      <c r="F348" s="2522"/>
      <c r="G348" s="2522"/>
      <c r="H348" s="2522"/>
      <c r="I348" s="2522"/>
      <c r="J348" s="2522"/>
      <c r="K348" s="2522"/>
      <c r="L348" s="2522"/>
      <c r="M348" s="2522"/>
      <c r="N348" s="2522"/>
      <c r="O348" s="2522"/>
      <c r="P348" s="2522"/>
      <c r="Q348" s="2522"/>
      <c r="R348" s="2522"/>
      <c r="S348" s="2522"/>
      <c r="T348" s="2522"/>
      <c r="U348" s="2522"/>
      <c r="V348" s="2522"/>
      <c r="W348" s="2522"/>
      <c r="X348" s="2522"/>
      <c r="Y348" s="2522"/>
      <c r="Z348" s="2522"/>
      <c r="AA348" s="2522"/>
      <c r="AB348" s="2522"/>
      <c r="AC348" s="2522"/>
      <c r="AD348" s="2522"/>
      <c r="AE348" s="2522"/>
      <c r="AF348" s="2522"/>
      <c r="AG348" s="2522"/>
      <c r="AH348" s="2522"/>
      <c r="AI348" s="2522"/>
      <c r="AJ348" s="2522"/>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2" t="s">
        <v>2208</v>
      </c>
      <c r="D350" s="2522"/>
      <c r="E350" s="2522"/>
      <c r="F350" s="2522"/>
      <c r="G350" s="2522"/>
      <c r="H350" s="2522"/>
      <c r="I350" s="2522"/>
      <c r="J350" s="2522"/>
      <c r="K350" s="2522"/>
      <c r="L350" s="2522"/>
      <c r="M350" s="2522"/>
      <c r="N350" s="2522"/>
      <c r="O350" s="2522"/>
      <c r="P350" s="2522"/>
      <c r="Q350" s="2522"/>
      <c r="R350" s="2522"/>
      <c r="S350" s="2522"/>
      <c r="T350" s="2522"/>
      <c r="U350" s="2522"/>
      <c r="V350" s="2522"/>
      <c r="W350" s="2522"/>
      <c r="X350" s="2522"/>
      <c r="Y350" s="2522"/>
      <c r="Z350" s="2522"/>
      <c r="AA350" s="2522"/>
      <c r="AB350" s="2522"/>
      <c r="AC350" s="2522"/>
      <c r="AD350" s="2522"/>
      <c r="AE350" s="2522"/>
      <c r="AF350" s="2522"/>
      <c r="AG350" s="2522"/>
      <c r="AH350" s="2522"/>
      <c r="AI350" s="2522"/>
      <c r="AJ350" s="2522"/>
      <c r="AK350" s="603"/>
      <c r="AL350" s="603"/>
      <c r="AM350" s="603"/>
      <c r="AN350" s="597"/>
      <c r="AQ350" s="570"/>
      <c r="AR350" s="570"/>
    </row>
    <row r="351" spans="1:44" s="550" customFormat="1" ht="30" customHeight="1">
      <c r="A351" s="603"/>
      <c r="B351" s="611"/>
      <c r="C351" s="2522"/>
      <c r="D351" s="2522"/>
      <c r="E351" s="2522"/>
      <c r="F351" s="2522"/>
      <c r="G351" s="2522"/>
      <c r="H351" s="2522"/>
      <c r="I351" s="2522"/>
      <c r="J351" s="2522"/>
      <c r="K351" s="2522"/>
      <c r="L351" s="2522"/>
      <c r="M351" s="2522"/>
      <c r="N351" s="2522"/>
      <c r="O351" s="2522"/>
      <c r="P351" s="2522"/>
      <c r="Q351" s="2522"/>
      <c r="R351" s="2522"/>
      <c r="S351" s="2522"/>
      <c r="T351" s="2522"/>
      <c r="U351" s="2522"/>
      <c r="V351" s="2522"/>
      <c r="W351" s="2522"/>
      <c r="X351" s="2522"/>
      <c r="Y351" s="2522"/>
      <c r="Z351" s="2522"/>
      <c r="AA351" s="2522"/>
      <c r="AB351" s="2522"/>
      <c r="AC351" s="2522"/>
      <c r="AD351" s="2522"/>
      <c r="AE351" s="2522"/>
      <c r="AF351" s="2522"/>
      <c r="AG351" s="2522"/>
      <c r="AH351" s="2522"/>
      <c r="AI351" s="2522"/>
      <c r="AJ351" s="2522"/>
      <c r="AK351" s="603"/>
      <c r="AL351" s="603"/>
      <c r="AM351" s="603"/>
      <c r="AN351" s="597"/>
      <c r="AR351" s="570"/>
    </row>
    <row r="352" spans="1:44" s="550" customFormat="1" ht="12.75" customHeight="1">
      <c r="A352" s="603"/>
      <c r="B352" s="611"/>
      <c r="C352" s="2522"/>
      <c r="D352" s="2522"/>
      <c r="E352" s="2522"/>
      <c r="F352" s="2522"/>
      <c r="G352" s="2522"/>
      <c r="H352" s="2522"/>
      <c r="I352" s="2522"/>
      <c r="J352" s="2522"/>
      <c r="K352" s="2522"/>
      <c r="L352" s="2522"/>
      <c r="M352" s="2522"/>
      <c r="N352" s="2522"/>
      <c r="O352" s="2522"/>
      <c r="P352" s="2522"/>
      <c r="Q352" s="2522"/>
      <c r="R352" s="2522"/>
      <c r="S352" s="2522"/>
      <c r="T352" s="2522"/>
      <c r="U352" s="2522"/>
      <c r="V352" s="2522"/>
      <c r="W352" s="2522"/>
      <c r="X352" s="2522"/>
      <c r="Y352" s="2522"/>
      <c r="Z352" s="2522"/>
      <c r="AA352" s="2522"/>
      <c r="AB352" s="2522"/>
      <c r="AC352" s="2522"/>
      <c r="AD352" s="2522"/>
      <c r="AE352" s="2522"/>
      <c r="AF352" s="2522"/>
      <c r="AG352" s="2522"/>
      <c r="AH352" s="2522"/>
      <c r="AI352" s="2522"/>
      <c r="AJ352" s="2522"/>
      <c r="AK352" s="603"/>
      <c r="AL352" s="603"/>
      <c r="AM352" s="603"/>
      <c r="AN352" s="597"/>
      <c r="AR352" s="570"/>
    </row>
    <row r="353" spans="1:46" s="550" customFormat="1" ht="12.75" customHeight="1">
      <c r="A353" s="603"/>
      <c r="B353" s="611"/>
      <c r="C353" s="2522" t="s">
        <v>1455</v>
      </c>
      <c r="D353" s="2522"/>
      <c r="E353" s="2522"/>
      <c r="F353" s="2522"/>
      <c r="G353" s="2522"/>
      <c r="H353" s="2522"/>
      <c r="I353" s="2522"/>
      <c r="J353" s="2522"/>
      <c r="K353" s="2522"/>
      <c r="L353" s="2522"/>
      <c r="M353" s="2522"/>
      <c r="N353" s="2522"/>
      <c r="O353" s="2522"/>
      <c r="P353" s="2522"/>
      <c r="Q353" s="2522"/>
      <c r="R353" s="2522"/>
      <c r="S353" s="2522"/>
      <c r="T353" s="2522"/>
      <c r="U353" s="2522"/>
      <c r="V353" s="2522"/>
      <c r="W353" s="2522"/>
      <c r="X353" s="2522"/>
      <c r="Y353" s="2522"/>
      <c r="Z353" s="2522"/>
      <c r="AA353" s="2522"/>
      <c r="AB353" s="2522"/>
      <c r="AC353" s="2522"/>
      <c r="AD353" s="2522"/>
      <c r="AE353" s="2522"/>
      <c r="AF353" s="2522"/>
      <c r="AG353" s="2522"/>
      <c r="AH353" s="2522"/>
      <c r="AI353" s="2522"/>
      <c r="AJ353" s="2522"/>
      <c r="AK353" s="603"/>
      <c r="AL353" s="603"/>
      <c r="AM353" s="603"/>
      <c r="AN353" s="597"/>
      <c r="AQ353" s="570"/>
      <c r="AR353" s="570"/>
    </row>
    <row r="354" spans="1:46" s="550" customFormat="1" ht="12.75" customHeight="1">
      <c r="A354" s="603"/>
      <c r="B354" s="611"/>
      <c r="C354" s="2522"/>
      <c r="D354" s="2522"/>
      <c r="E354" s="2522"/>
      <c r="F354" s="2522"/>
      <c r="G354" s="2522"/>
      <c r="H354" s="2522"/>
      <c r="I354" s="2522"/>
      <c r="J354" s="2522"/>
      <c r="K354" s="2522"/>
      <c r="L354" s="2522"/>
      <c r="M354" s="2522"/>
      <c r="N354" s="2522"/>
      <c r="O354" s="2522"/>
      <c r="P354" s="2522"/>
      <c r="Q354" s="2522"/>
      <c r="R354" s="2522"/>
      <c r="S354" s="2522"/>
      <c r="T354" s="2522"/>
      <c r="U354" s="2522"/>
      <c r="V354" s="2522"/>
      <c r="W354" s="2522"/>
      <c r="X354" s="2522"/>
      <c r="Y354" s="2522"/>
      <c r="Z354" s="2522"/>
      <c r="AA354" s="2522"/>
      <c r="AB354" s="2522"/>
      <c r="AC354" s="2522"/>
      <c r="AD354" s="2522"/>
      <c r="AE354" s="2522"/>
      <c r="AF354" s="2522"/>
      <c r="AG354" s="2522"/>
      <c r="AH354" s="2522"/>
      <c r="AI354" s="2522"/>
      <c r="AJ354" s="2522"/>
      <c r="AK354" s="603"/>
      <c r="AL354" s="603"/>
      <c r="AM354" s="603"/>
      <c r="AN354" s="597"/>
      <c r="AQ354" s="570"/>
      <c r="AR354" s="570"/>
    </row>
    <row r="355" spans="1:46" s="550" customFormat="1" ht="13.35" customHeight="1">
      <c r="A355" s="603"/>
      <c r="B355" s="611"/>
      <c r="C355" s="2522"/>
      <c r="D355" s="2522"/>
      <c r="E355" s="2522"/>
      <c r="F355" s="2522"/>
      <c r="G355" s="2522"/>
      <c r="H355" s="2522"/>
      <c r="I355" s="2522"/>
      <c r="J355" s="2522"/>
      <c r="K355" s="2522"/>
      <c r="L355" s="2522"/>
      <c r="M355" s="2522"/>
      <c r="N355" s="2522"/>
      <c r="O355" s="2522"/>
      <c r="P355" s="2522"/>
      <c r="Q355" s="2522"/>
      <c r="R355" s="2522"/>
      <c r="S355" s="2522"/>
      <c r="T355" s="2522"/>
      <c r="U355" s="2522"/>
      <c r="V355" s="2522"/>
      <c r="W355" s="2522"/>
      <c r="X355" s="2522"/>
      <c r="Y355" s="2522"/>
      <c r="Z355" s="2522"/>
      <c r="AA355" s="2522"/>
      <c r="AB355" s="2522"/>
      <c r="AC355" s="2522"/>
      <c r="AD355" s="2522"/>
      <c r="AE355" s="2522"/>
      <c r="AF355" s="2522"/>
      <c r="AG355" s="2522"/>
      <c r="AH355" s="2522"/>
      <c r="AI355" s="2522"/>
      <c r="AJ355" s="2522"/>
      <c r="AK355" s="603"/>
      <c r="AL355" s="603"/>
      <c r="AM355" s="603"/>
      <c r="AN355" s="597"/>
      <c r="AQ355" s="570"/>
      <c r="AR355" s="570"/>
    </row>
    <row r="356" spans="1:46" s="550" customFormat="1" ht="12.75" customHeight="1">
      <c r="A356" s="603"/>
      <c r="B356" s="611"/>
      <c r="C356" s="2522"/>
      <c r="D356" s="2522"/>
      <c r="E356" s="2522"/>
      <c r="F356" s="2522"/>
      <c r="G356" s="2522"/>
      <c r="H356" s="2522"/>
      <c r="I356" s="2522"/>
      <c r="J356" s="2522"/>
      <c r="K356" s="2522"/>
      <c r="L356" s="2522"/>
      <c r="M356" s="2522"/>
      <c r="N356" s="2522"/>
      <c r="O356" s="2522"/>
      <c r="P356" s="2522"/>
      <c r="Q356" s="2522"/>
      <c r="R356" s="2522"/>
      <c r="S356" s="2522"/>
      <c r="T356" s="2522"/>
      <c r="U356" s="2522"/>
      <c r="V356" s="2522"/>
      <c r="W356" s="2522"/>
      <c r="X356" s="2522"/>
      <c r="Y356" s="2522"/>
      <c r="Z356" s="2522"/>
      <c r="AA356" s="2522"/>
      <c r="AB356" s="2522"/>
      <c r="AC356" s="2522"/>
      <c r="AD356" s="2522"/>
      <c r="AE356" s="2522"/>
      <c r="AF356" s="2522"/>
      <c r="AG356" s="2522"/>
      <c r="AH356" s="2522"/>
      <c r="AI356" s="2522"/>
      <c r="AJ356" s="2522"/>
      <c r="AK356" s="603"/>
      <c r="AL356" s="603"/>
      <c r="AM356" s="603"/>
      <c r="AN356" s="597"/>
      <c r="AO356" s="694"/>
      <c r="AP356" s="694"/>
      <c r="AQ356" s="570"/>
    </row>
    <row r="357" spans="1:46" s="550" customFormat="1" ht="11.85" customHeight="1">
      <c r="A357" s="603"/>
      <c r="B357" s="611"/>
      <c r="C357" s="2522"/>
      <c r="D357" s="2522"/>
      <c r="E357" s="2522"/>
      <c r="F357" s="2522"/>
      <c r="G357" s="2522"/>
      <c r="H357" s="2522"/>
      <c r="I357" s="2522"/>
      <c r="J357" s="2522"/>
      <c r="K357" s="2522"/>
      <c r="L357" s="2522"/>
      <c r="M357" s="2522"/>
      <c r="N357" s="2522"/>
      <c r="O357" s="2522"/>
      <c r="P357" s="2522"/>
      <c r="Q357" s="2522"/>
      <c r="R357" s="2522"/>
      <c r="S357" s="2522"/>
      <c r="T357" s="2522"/>
      <c r="U357" s="2522"/>
      <c r="V357" s="2522"/>
      <c r="W357" s="2522"/>
      <c r="X357" s="2522"/>
      <c r="Y357" s="2522"/>
      <c r="Z357" s="2522"/>
      <c r="AA357" s="2522"/>
      <c r="AB357" s="2522"/>
      <c r="AC357" s="2522"/>
      <c r="AD357" s="2522"/>
      <c r="AE357" s="2522"/>
      <c r="AF357" s="2522"/>
      <c r="AG357" s="2522"/>
      <c r="AH357" s="2522"/>
      <c r="AI357" s="2522"/>
      <c r="AJ357" s="2522"/>
      <c r="AK357" s="603"/>
      <c r="AL357" s="603"/>
      <c r="AM357" s="603"/>
      <c r="AN357" s="597"/>
      <c r="AO357" s="695" t="s">
        <v>112</v>
      </c>
      <c r="AP357" s="696">
        <f>IF(C381="Yes",5,0)</f>
        <v>5</v>
      </c>
      <c r="AS357" s="539" t="s">
        <v>1456</v>
      </c>
    </row>
    <row r="358" spans="1:46" s="550" customFormat="1" ht="12.75" customHeight="1">
      <c r="A358" s="603"/>
      <c r="B358" s="611"/>
      <c r="C358" s="2522"/>
      <c r="D358" s="2522"/>
      <c r="E358" s="2522"/>
      <c r="F358" s="2522"/>
      <c r="G358" s="2522"/>
      <c r="H358" s="2522"/>
      <c r="I358" s="2522"/>
      <c r="J358" s="2522"/>
      <c r="K358" s="2522"/>
      <c r="L358" s="2522"/>
      <c r="M358" s="2522"/>
      <c r="N358" s="2522"/>
      <c r="O358" s="2522"/>
      <c r="P358" s="2522"/>
      <c r="Q358" s="2522"/>
      <c r="R358" s="2522"/>
      <c r="S358" s="2522"/>
      <c r="T358" s="2522"/>
      <c r="U358" s="2522"/>
      <c r="V358" s="2522"/>
      <c r="W358" s="2522"/>
      <c r="X358" s="2522"/>
      <c r="Y358" s="2522"/>
      <c r="Z358" s="2522"/>
      <c r="AA358" s="2522"/>
      <c r="AB358" s="2522"/>
      <c r="AC358" s="2522"/>
      <c r="AD358" s="2522"/>
      <c r="AE358" s="2522"/>
      <c r="AF358" s="2522"/>
      <c r="AG358" s="2522"/>
      <c r="AH358" s="2522"/>
      <c r="AI358" s="2522"/>
      <c r="AJ358" s="2522"/>
      <c r="AK358" s="603"/>
      <c r="AL358" s="603"/>
      <c r="AM358" s="603"/>
      <c r="AN358" s="597"/>
      <c r="AO358" s="695" t="s">
        <v>113</v>
      </c>
      <c r="AP358" s="696">
        <f>IF(C389="Yes",5,0)</f>
        <v>0</v>
      </c>
      <c r="AS358" s="2543">
        <f>IF(Application!D211="Non-Targeted",(SUM(AQ366+AQ375)),AS362)</f>
        <v>10</v>
      </c>
      <c r="AT358" s="2543"/>
    </row>
    <row r="359" spans="1:46" s="550" customFormat="1" ht="12.75" customHeight="1">
      <c r="A359" s="603"/>
      <c r="B359" s="611"/>
      <c r="C359" s="2522"/>
      <c r="D359" s="2522"/>
      <c r="E359" s="2522"/>
      <c r="F359" s="2522"/>
      <c r="G359" s="2522"/>
      <c r="H359" s="2522"/>
      <c r="I359" s="2522"/>
      <c r="J359" s="2522"/>
      <c r="K359" s="2522"/>
      <c r="L359" s="2522"/>
      <c r="M359" s="2522"/>
      <c r="N359" s="2522"/>
      <c r="O359" s="2522"/>
      <c r="P359" s="2522"/>
      <c r="Q359" s="2522"/>
      <c r="R359" s="2522"/>
      <c r="S359" s="2522"/>
      <c r="T359" s="2522"/>
      <c r="U359" s="2522"/>
      <c r="V359" s="2522"/>
      <c r="W359" s="2522"/>
      <c r="X359" s="2522"/>
      <c r="Y359" s="2522"/>
      <c r="Z359" s="2522"/>
      <c r="AA359" s="2522"/>
      <c r="AB359" s="2522"/>
      <c r="AC359" s="2522"/>
      <c r="AD359" s="2522"/>
      <c r="AE359" s="2522"/>
      <c r="AF359" s="2522"/>
      <c r="AG359" s="2522"/>
      <c r="AH359" s="2522"/>
      <c r="AI359" s="2522"/>
      <c r="AJ359" s="2522"/>
      <c r="AK359" s="603"/>
      <c r="AL359" s="603"/>
      <c r="AM359" s="603"/>
      <c r="AN359" s="597"/>
      <c r="AO359" s="695" t="s">
        <v>119</v>
      </c>
      <c r="AP359" s="696">
        <f>IF(C397="Yes",7,0)</f>
        <v>0</v>
      </c>
      <c r="AS359" s="539" t="s">
        <v>1457</v>
      </c>
    </row>
    <row r="360" spans="1:46" s="550" customFormat="1" ht="12.75" customHeight="1">
      <c r="A360" s="603"/>
      <c r="B360" s="611"/>
      <c r="C360" s="2522"/>
      <c r="D360" s="2522"/>
      <c r="E360" s="2522"/>
      <c r="F360" s="2522"/>
      <c r="G360" s="2522"/>
      <c r="H360" s="2522"/>
      <c r="I360" s="2522"/>
      <c r="J360" s="2522"/>
      <c r="K360" s="2522"/>
      <c r="L360" s="2522"/>
      <c r="M360" s="2522"/>
      <c r="N360" s="2522"/>
      <c r="O360" s="2522"/>
      <c r="P360" s="2522"/>
      <c r="Q360" s="2522"/>
      <c r="R360" s="2522"/>
      <c r="S360" s="2522"/>
      <c r="T360" s="2522"/>
      <c r="U360" s="2522"/>
      <c r="V360" s="2522"/>
      <c r="W360" s="2522"/>
      <c r="X360" s="2522"/>
      <c r="Y360" s="2522"/>
      <c r="Z360" s="2522"/>
      <c r="AA360" s="2522"/>
      <c r="AB360" s="2522"/>
      <c r="AC360" s="2522"/>
      <c r="AD360" s="2522"/>
      <c r="AE360" s="2522"/>
      <c r="AF360" s="2522"/>
      <c r="AG360" s="2522"/>
      <c r="AH360" s="2522"/>
      <c r="AI360" s="2522"/>
      <c r="AJ360" s="2522"/>
      <c r="AK360" s="603"/>
      <c r="AL360" s="603"/>
      <c r="AM360" s="603"/>
      <c r="AN360" s="597"/>
      <c r="AO360" s="597"/>
      <c r="AP360" s="696">
        <f>IF(C399="Yes",5,0)</f>
        <v>5</v>
      </c>
      <c r="AS360" s="2543">
        <f>IF(AND(AQ366&gt;0,AQ375&gt;0),(AQ366+AQ375)/2,0)</f>
        <v>0</v>
      </c>
      <c r="AT360" s="2543"/>
    </row>
    <row r="361" spans="1:46" s="550" customFormat="1" ht="12.75" customHeight="1">
      <c r="A361" s="603"/>
      <c r="B361" s="611"/>
      <c r="C361" s="2522"/>
      <c r="D361" s="2522"/>
      <c r="E361" s="2522"/>
      <c r="F361" s="2522"/>
      <c r="G361" s="2522"/>
      <c r="H361" s="2522"/>
      <c r="I361" s="2522"/>
      <c r="J361" s="2522"/>
      <c r="K361" s="2522"/>
      <c r="L361" s="2522"/>
      <c r="M361" s="2522"/>
      <c r="N361" s="2522"/>
      <c r="O361" s="2522"/>
      <c r="P361" s="2522"/>
      <c r="Q361" s="2522"/>
      <c r="R361" s="2522"/>
      <c r="S361" s="2522"/>
      <c r="T361" s="2522"/>
      <c r="U361" s="2522"/>
      <c r="V361" s="2522"/>
      <c r="W361" s="2522"/>
      <c r="X361" s="2522"/>
      <c r="Y361" s="2522"/>
      <c r="Z361" s="2522"/>
      <c r="AA361" s="2522"/>
      <c r="AB361" s="2522"/>
      <c r="AC361" s="2522"/>
      <c r="AD361" s="2522"/>
      <c r="AE361" s="2522"/>
      <c r="AF361" s="2522"/>
      <c r="AG361" s="2522"/>
      <c r="AH361" s="2522"/>
      <c r="AI361" s="2522"/>
      <c r="AJ361" s="2522"/>
      <c r="AK361" s="603"/>
      <c r="AL361" s="603"/>
      <c r="AM361" s="603"/>
      <c r="AN361" s="597"/>
      <c r="AO361" s="695" t="s">
        <v>581</v>
      </c>
      <c r="AP361" s="696">
        <f>IF(C407="Yes",5,0)</f>
        <v>0</v>
      </c>
      <c r="AS361" s="539" t="s">
        <v>1879</v>
      </c>
    </row>
    <row r="362" spans="1:46" s="550" customFormat="1" ht="12.75" customHeight="1">
      <c r="A362" s="603"/>
      <c r="B362" s="611"/>
      <c r="C362" s="2544" t="s">
        <v>2233</v>
      </c>
      <c r="D362" s="2544"/>
      <c r="E362" s="2544"/>
      <c r="F362" s="2544"/>
      <c r="G362" s="2544"/>
      <c r="H362" s="2544"/>
      <c r="I362" s="2544"/>
      <c r="J362" s="2544"/>
      <c r="K362" s="2544"/>
      <c r="L362" s="2544"/>
      <c r="M362" s="2544"/>
      <c r="N362" s="2544"/>
      <c r="O362" s="2544"/>
      <c r="P362" s="2544"/>
      <c r="Q362" s="2544"/>
      <c r="R362" s="2544"/>
      <c r="S362" s="2544"/>
      <c r="T362" s="2544"/>
      <c r="U362" s="2544"/>
      <c r="V362" s="2544"/>
      <c r="W362" s="2544"/>
      <c r="X362" s="2544"/>
      <c r="Y362" s="2544"/>
      <c r="Z362" s="2544"/>
      <c r="AA362" s="2544"/>
      <c r="AB362" s="2544"/>
      <c r="AC362" s="2544"/>
      <c r="AD362" s="2544"/>
      <c r="AE362" s="2544"/>
      <c r="AF362" s="2544"/>
      <c r="AG362" s="2544"/>
      <c r="AH362" s="2544"/>
      <c r="AI362" s="2544"/>
      <c r="AJ362" s="2544"/>
      <c r="AK362" s="603"/>
      <c r="AL362" s="603"/>
      <c r="AM362" s="603"/>
      <c r="AN362" s="597"/>
      <c r="AO362" s="597"/>
      <c r="AP362" s="696">
        <f>IF(C409="Yes",3,0)</f>
        <v>0</v>
      </c>
      <c r="AS362" s="2543">
        <f>IF(AQ366=0,AQ375,AQ366)</f>
        <v>10</v>
      </c>
      <c r="AT362" s="2543"/>
    </row>
    <row r="363" spans="1:46" s="550" customFormat="1" ht="12.75" customHeight="1">
      <c r="A363" s="603"/>
      <c r="B363" s="611"/>
      <c r="C363" s="2544"/>
      <c r="D363" s="2544"/>
      <c r="E363" s="2544"/>
      <c r="F363" s="2544"/>
      <c r="G363" s="2544"/>
      <c r="H363" s="2544"/>
      <c r="I363" s="2544"/>
      <c r="J363" s="2544"/>
      <c r="K363" s="2544"/>
      <c r="L363" s="2544"/>
      <c r="M363" s="2544"/>
      <c r="N363" s="2544"/>
      <c r="O363" s="2544"/>
      <c r="P363" s="2544"/>
      <c r="Q363" s="2544"/>
      <c r="R363" s="2544"/>
      <c r="S363" s="2544"/>
      <c r="T363" s="2544"/>
      <c r="U363" s="2544"/>
      <c r="V363" s="2544"/>
      <c r="W363" s="2544"/>
      <c r="X363" s="2544"/>
      <c r="Y363" s="2544"/>
      <c r="Z363" s="2544"/>
      <c r="AA363" s="2544"/>
      <c r="AB363" s="2544"/>
      <c r="AC363" s="2544"/>
      <c r="AD363" s="2544"/>
      <c r="AE363" s="2544"/>
      <c r="AF363" s="2544"/>
      <c r="AG363" s="2544"/>
      <c r="AH363" s="2544"/>
      <c r="AI363" s="2544"/>
      <c r="AJ363" s="2544"/>
      <c r="AK363" s="603"/>
      <c r="AL363" s="603"/>
      <c r="AM363" s="603"/>
      <c r="AN363" s="597"/>
      <c r="AO363" s="695" t="s">
        <v>763</v>
      </c>
      <c r="AP363" s="696">
        <f>IF(C412="Yes",5,0)</f>
        <v>0</v>
      </c>
    </row>
    <row r="364" spans="1:46" s="550" customFormat="1" ht="12.75" customHeight="1">
      <c r="A364" s="603"/>
      <c r="B364" s="611"/>
      <c r="C364" s="2544"/>
      <c r="D364" s="2544"/>
      <c r="E364" s="2544"/>
      <c r="F364" s="2544"/>
      <c r="G364" s="2544"/>
      <c r="H364" s="2544"/>
      <c r="I364" s="2544"/>
      <c r="J364" s="2544"/>
      <c r="K364" s="2544"/>
      <c r="L364" s="2544"/>
      <c r="M364" s="2544"/>
      <c r="N364" s="2544"/>
      <c r="O364" s="2544"/>
      <c r="P364" s="2544"/>
      <c r="Q364" s="2544"/>
      <c r="R364" s="2544"/>
      <c r="S364" s="2544"/>
      <c r="T364" s="2544"/>
      <c r="U364" s="2544"/>
      <c r="V364" s="2544"/>
      <c r="W364" s="2544"/>
      <c r="X364" s="2544"/>
      <c r="Y364" s="2544"/>
      <c r="Z364" s="2544"/>
      <c r="AA364" s="2544"/>
      <c r="AB364" s="2544"/>
      <c r="AC364" s="2544"/>
      <c r="AD364" s="2544"/>
      <c r="AE364" s="2544"/>
      <c r="AF364" s="2544"/>
      <c r="AG364" s="2544"/>
      <c r="AH364" s="2544"/>
      <c r="AI364" s="2544"/>
      <c r="AJ364" s="2544"/>
      <c r="AK364" s="603"/>
      <c r="AL364" s="603"/>
      <c r="AM364" s="603"/>
      <c r="AN364" s="597"/>
      <c r="AO364" s="695" t="s">
        <v>584</v>
      </c>
      <c r="AP364" s="696">
        <f>IF(C421="Yes",5,0)</f>
        <v>0</v>
      </c>
    </row>
    <row r="365" spans="1:46" s="550" customFormat="1" ht="11.85" customHeight="1">
      <c r="A365" s="603"/>
      <c r="B365" s="611"/>
      <c r="C365" s="2544"/>
      <c r="D365" s="2544"/>
      <c r="E365" s="2544"/>
      <c r="F365" s="2544"/>
      <c r="G365" s="2544"/>
      <c r="H365" s="2544"/>
      <c r="I365" s="2544"/>
      <c r="J365" s="2544"/>
      <c r="K365" s="2544"/>
      <c r="L365" s="2544"/>
      <c r="M365" s="2544"/>
      <c r="N365" s="2544"/>
      <c r="O365" s="2544"/>
      <c r="P365" s="2544"/>
      <c r="Q365" s="2544"/>
      <c r="R365" s="2544"/>
      <c r="S365" s="2544"/>
      <c r="T365" s="2544"/>
      <c r="U365" s="2544"/>
      <c r="V365" s="2544"/>
      <c r="W365" s="2544"/>
      <c r="X365" s="2544"/>
      <c r="Y365" s="2544"/>
      <c r="Z365" s="2544"/>
      <c r="AA365" s="2544"/>
      <c r="AB365" s="2544"/>
      <c r="AC365" s="2544"/>
      <c r="AD365" s="2544"/>
      <c r="AE365" s="2544"/>
      <c r="AF365" s="2544"/>
      <c r="AG365" s="2544"/>
      <c r="AH365" s="2544"/>
      <c r="AI365" s="2544"/>
      <c r="AJ365" s="2544"/>
      <c r="AK365" s="603"/>
      <c r="AL365" s="603"/>
      <c r="AM365" s="603"/>
      <c r="AN365" s="597"/>
      <c r="AO365" s="697"/>
      <c r="AP365" s="698">
        <f>IF(C423="Yes",3,0)</f>
        <v>0</v>
      </c>
    </row>
    <row r="366" spans="1:46" s="550" customFormat="1" ht="12.6" customHeight="1">
      <c r="A366" s="603"/>
      <c r="B366" s="611"/>
      <c r="C366" s="2544"/>
      <c r="D366" s="2544"/>
      <c r="E366" s="2544"/>
      <c r="F366" s="2544"/>
      <c r="G366" s="2544"/>
      <c r="H366" s="2544"/>
      <c r="I366" s="2544"/>
      <c r="J366" s="2544"/>
      <c r="K366" s="2544"/>
      <c r="L366" s="2544"/>
      <c r="M366" s="2544"/>
      <c r="N366" s="2544"/>
      <c r="O366" s="2544"/>
      <c r="P366" s="2544"/>
      <c r="Q366" s="2544"/>
      <c r="R366" s="2544"/>
      <c r="S366" s="2544"/>
      <c r="T366" s="2544"/>
      <c r="U366" s="2544"/>
      <c r="V366" s="2544"/>
      <c r="W366" s="2544"/>
      <c r="X366" s="2544"/>
      <c r="Y366" s="2544"/>
      <c r="Z366" s="2544"/>
      <c r="AA366" s="2544"/>
      <c r="AB366" s="2544"/>
      <c r="AC366" s="2544"/>
      <c r="AD366" s="2544"/>
      <c r="AE366" s="2544"/>
      <c r="AF366" s="2544"/>
      <c r="AG366" s="2544"/>
      <c r="AH366" s="2544"/>
      <c r="AI366" s="2544"/>
      <c r="AJ366" s="2544"/>
      <c r="AK366" s="603"/>
      <c r="AL366" s="603"/>
      <c r="AM366" s="603"/>
      <c r="AN366" s="597"/>
      <c r="AO366" s="699" t="s">
        <v>226</v>
      </c>
      <c r="AP366" s="700">
        <f>SUM(AP357:AP365)</f>
        <v>10</v>
      </c>
      <c r="AQ366" s="2545">
        <f>IF(AP366&gt;0,AP366,0)</f>
        <v>10</v>
      </c>
      <c r="AR366" s="2545"/>
    </row>
    <row r="367" spans="1:46" s="550" customFormat="1" ht="12.75" customHeight="1">
      <c r="A367" s="603"/>
      <c r="B367" s="611"/>
      <c r="C367" s="2544"/>
      <c r="D367" s="2544"/>
      <c r="E367" s="2544"/>
      <c r="F367" s="2544"/>
      <c r="G367" s="2544"/>
      <c r="H367" s="2544"/>
      <c r="I367" s="2544"/>
      <c r="J367" s="2544"/>
      <c r="K367" s="2544"/>
      <c r="L367" s="2544"/>
      <c r="M367" s="2544"/>
      <c r="N367" s="2544"/>
      <c r="O367" s="2544"/>
      <c r="P367" s="2544"/>
      <c r="Q367" s="2544"/>
      <c r="R367" s="2544"/>
      <c r="S367" s="2544"/>
      <c r="T367" s="2544"/>
      <c r="U367" s="2544"/>
      <c r="V367" s="2544"/>
      <c r="W367" s="2544"/>
      <c r="X367" s="2544"/>
      <c r="Y367" s="2544"/>
      <c r="Z367" s="2544"/>
      <c r="AA367" s="2544"/>
      <c r="AB367" s="2544"/>
      <c r="AC367" s="2544"/>
      <c r="AD367" s="2544"/>
      <c r="AE367" s="2544"/>
      <c r="AF367" s="2544"/>
      <c r="AG367" s="2544"/>
      <c r="AH367" s="2544"/>
      <c r="AI367" s="2544"/>
      <c r="AJ367" s="254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22" t="s">
        <v>1458</v>
      </c>
      <c r="D369" s="2522"/>
      <c r="E369" s="2522"/>
      <c r="F369" s="2522"/>
      <c r="G369" s="2522"/>
      <c r="H369" s="2522"/>
      <c r="I369" s="2522"/>
      <c r="J369" s="2522"/>
      <c r="K369" s="2522"/>
      <c r="L369" s="2522"/>
      <c r="M369" s="2522"/>
      <c r="N369" s="2522"/>
      <c r="O369" s="2522"/>
      <c r="P369" s="2522"/>
      <c r="Q369" s="2522"/>
      <c r="R369" s="2522"/>
      <c r="S369" s="2522"/>
      <c r="T369" s="2522"/>
      <c r="U369" s="2522"/>
      <c r="V369" s="2522"/>
      <c r="W369" s="2522"/>
      <c r="X369" s="2522"/>
      <c r="Y369" s="2522"/>
      <c r="Z369" s="2522"/>
      <c r="AA369" s="2522"/>
      <c r="AB369" s="2522"/>
      <c r="AC369" s="2522"/>
      <c r="AD369" s="2522"/>
      <c r="AE369" s="2522"/>
      <c r="AF369" s="2522"/>
      <c r="AG369" s="2522"/>
      <c r="AH369" s="2522"/>
      <c r="AI369" s="2522"/>
      <c r="AJ369" s="2522"/>
      <c r="AK369" s="603"/>
      <c r="AL369" s="603"/>
      <c r="AM369" s="603"/>
      <c r="AN369" s="597"/>
      <c r="AO369" s="695" t="s">
        <v>456</v>
      </c>
      <c r="AP369" s="696">
        <f>IF(C442="Yes",5,0)</f>
        <v>0</v>
      </c>
    </row>
    <row r="370" spans="1:81" s="550" customFormat="1" ht="12.75" customHeight="1">
      <c r="A370" s="603"/>
      <c r="B370" s="611"/>
      <c r="C370" s="2522"/>
      <c r="D370" s="2522"/>
      <c r="E370" s="2522"/>
      <c r="F370" s="2522"/>
      <c r="G370" s="2522"/>
      <c r="H370" s="2522"/>
      <c r="I370" s="2522"/>
      <c r="J370" s="2522"/>
      <c r="K370" s="2522"/>
      <c r="L370" s="2522"/>
      <c r="M370" s="2522"/>
      <c r="N370" s="2522"/>
      <c r="O370" s="2522"/>
      <c r="P370" s="2522"/>
      <c r="Q370" s="2522"/>
      <c r="R370" s="2522"/>
      <c r="S370" s="2522"/>
      <c r="T370" s="2522"/>
      <c r="U370" s="2522"/>
      <c r="V370" s="2522"/>
      <c r="W370" s="2522"/>
      <c r="X370" s="2522"/>
      <c r="Y370" s="2522"/>
      <c r="Z370" s="2522"/>
      <c r="AA370" s="2522"/>
      <c r="AB370" s="2522"/>
      <c r="AC370" s="2522"/>
      <c r="AD370" s="2522"/>
      <c r="AE370" s="2522"/>
      <c r="AF370" s="2522"/>
      <c r="AG370" s="2522"/>
      <c r="AH370" s="2522"/>
      <c r="AI370" s="2522"/>
      <c r="AJ370" s="2522"/>
      <c r="AK370" s="603"/>
      <c r="AL370" s="603"/>
      <c r="AM370" s="603"/>
      <c r="AN370" s="597"/>
      <c r="AO370" s="695" t="s">
        <v>461</v>
      </c>
      <c r="AP370" s="696">
        <f>IF(C449="Yes",5,0)</f>
        <v>0</v>
      </c>
    </row>
    <row r="371" spans="1:81" s="550" customFormat="1" ht="68.099999999999994" customHeight="1">
      <c r="A371" s="603"/>
      <c r="B371" s="611"/>
      <c r="C371" s="2522"/>
      <c r="D371" s="2522"/>
      <c r="E371" s="2522"/>
      <c r="F371" s="2522"/>
      <c r="G371" s="2522"/>
      <c r="H371" s="2522"/>
      <c r="I371" s="2522"/>
      <c r="J371" s="2522"/>
      <c r="K371" s="2522"/>
      <c r="L371" s="2522"/>
      <c r="M371" s="2522"/>
      <c r="N371" s="2522"/>
      <c r="O371" s="2522"/>
      <c r="P371" s="2522"/>
      <c r="Q371" s="2522"/>
      <c r="R371" s="2522"/>
      <c r="S371" s="2522"/>
      <c r="T371" s="2522"/>
      <c r="U371" s="2522"/>
      <c r="V371" s="2522"/>
      <c r="W371" s="2522"/>
      <c r="X371" s="2522"/>
      <c r="Y371" s="2522"/>
      <c r="Z371" s="2522"/>
      <c r="AA371" s="2522"/>
      <c r="AB371" s="2522"/>
      <c r="AC371" s="2522"/>
      <c r="AD371" s="2522"/>
      <c r="AE371" s="2522"/>
      <c r="AF371" s="2522"/>
      <c r="AG371" s="2522"/>
      <c r="AH371" s="2522"/>
      <c r="AI371" s="2522"/>
      <c r="AJ371" s="2522"/>
      <c r="AK371" s="603"/>
      <c r="AL371" s="603"/>
      <c r="AM371" s="603"/>
      <c r="AN371" s="597"/>
      <c r="AO371" s="695" t="s">
        <v>646</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30">
        <f>Application!DU802-U374</f>
        <v>26</v>
      </c>
      <c r="V373" s="2630"/>
      <c r="W373" s="2630"/>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31">
        <f>IF(Application!D211="SRO",Application!DU755,Application!AG756)</f>
        <v>27</v>
      </c>
      <c r="V374" s="2631"/>
      <c r="W374" s="263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5">
        <f>IF(AP375&gt;0,AP375,0)</f>
        <v>0</v>
      </c>
      <c r="AR375" s="2545"/>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6" t="s">
        <v>1460</v>
      </c>
      <c r="G377" s="2526"/>
      <c r="H377" s="2526"/>
      <c r="I377" s="2526"/>
      <c r="J377" s="2526"/>
      <c r="K377" s="2526"/>
      <c r="L377" s="2526"/>
      <c r="M377" s="2526"/>
      <c r="N377" s="2526"/>
      <c r="O377" s="2526"/>
      <c r="P377" s="2526"/>
      <c r="Q377" s="2526"/>
      <c r="R377" s="2526"/>
      <c r="S377" s="2526"/>
      <c r="T377" s="2526"/>
      <c r="U377" s="2526"/>
      <c r="V377" s="2526"/>
      <c r="W377" s="2526"/>
      <c r="X377" s="2526"/>
      <c r="Y377" s="2526"/>
      <c r="Z377" s="2526"/>
      <c r="AA377" s="2526"/>
      <c r="AB377" s="2526"/>
      <c r="AC377" s="2526"/>
      <c r="AD377" s="2526"/>
      <c r="AE377" s="2526"/>
      <c r="AF377" s="252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7"/>
      <c r="G378" s="2527"/>
      <c r="H378" s="2527"/>
      <c r="I378" s="2527"/>
      <c r="J378" s="2527"/>
      <c r="K378" s="2527"/>
      <c r="L378" s="2527"/>
      <c r="M378" s="2527"/>
      <c r="N378" s="2527"/>
      <c r="O378" s="2527"/>
      <c r="P378" s="2527"/>
      <c r="Q378" s="2527"/>
      <c r="R378" s="2527"/>
      <c r="S378" s="2527"/>
      <c r="T378" s="2527"/>
      <c r="U378" s="2527"/>
      <c r="V378" s="2527"/>
      <c r="W378" s="2527"/>
      <c r="X378" s="2527"/>
      <c r="Y378" s="2527"/>
      <c r="Z378" s="2527"/>
      <c r="AA378" s="2527"/>
      <c r="AB378" s="2527"/>
      <c r="AC378" s="2527"/>
      <c r="AD378" s="2527"/>
      <c r="AE378" s="2527"/>
      <c r="AF378" s="252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7"/>
      <c r="G379" s="2527"/>
      <c r="H379" s="2527"/>
      <c r="I379" s="2527"/>
      <c r="J379" s="2527"/>
      <c r="K379" s="2527"/>
      <c r="L379" s="2527"/>
      <c r="M379" s="2527"/>
      <c r="N379" s="2527"/>
      <c r="O379" s="2527"/>
      <c r="P379" s="2527"/>
      <c r="Q379" s="2527"/>
      <c r="R379" s="2527"/>
      <c r="S379" s="2527"/>
      <c r="T379" s="2527"/>
      <c r="U379" s="2527"/>
      <c r="V379" s="2527"/>
      <c r="W379" s="2527"/>
      <c r="X379" s="2527"/>
      <c r="Y379" s="2527"/>
      <c r="Z379" s="2527"/>
      <c r="AA379" s="2527"/>
      <c r="AB379" s="2527"/>
      <c r="AC379" s="2527"/>
      <c r="AD379" s="2527"/>
      <c r="AE379" s="2527"/>
      <c r="AF379" s="252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7"/>
      <c r="G380" s="2527"/>
      <c r="H380" s="2527"/>
      <c r="I380" s="2527"/>
      <c r="J380" s="2527"/>
      <c r="K380" s="2527"/>
      <c r="L380" s="2527"/>
      <c r="M380" s="2527"/>
      <c r="N380" s="2527"/>
      <c r="O380" s="2527"/>
      <c r="P380" s="2527"/>
      <c r="Q380" s="2527"/>
      <c r="R380" s="2527"/>
      <c r="S380" s="2527"/>
      <c r="T380" s="2527"/>
      <c r="U380" s="2527"/>
      <c r="V380" s="2527"/>
      <c r="W380" s="2527"/>
      <c r="X380" s="2527"/>
      <c r="Y380" s="2527"/>
      <c r="Z380" s="2527"/>
      <c r="AA380" s="2527"/>
      <c r="AB380" s="2527"/>
      <c r="AC380" s="2527"/>
      <c r="AD380" s="2527"/>
      <c r="AE380" s="2527"/>
      <c r="AF380" s="252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3" t="s">
        <v>545</v>
      </c>
      <c r="D381" s="2480"/>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4" t="s">
        <v>1462</v>
      </c>
      <c r="AG381" s="2524"/>
      <c r="AH381" s="2524"/>
      <c r="AI381" s="2524"/>
      <c r="AJ381" s="2524"/>
      <c r="AK381" s="2524"/>
      <c r="AL381" s="252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6" t="s">
        <v>1463</v>
      </c>
      <c r="G384" s="2526"/>
      <c r="H384" s="2526"/>
      <c r="I384" s="2526"/>
      <c r="J384" s="2526"/>
      <c r="K384" s="2526"/>
      <c r="L384" s="2526"/>
      <c r="M384" s="2526"/>
      <c r="N384" s="2526"/>
      <c r="O384" s="2526"/>
      <c r="P384" s="2526"/>
      <c r="Q384" s="2526"/>
      <c r="R384" s="2526"/>
      <c r="S384" s="2526"/>
      <c r="T384" s="2526"/>
      <c r="U384" s="2526"/>
      <c r="V384" s="2526"/>
      <c r="W384" s="2526"/>
      <c r="X384" s="2526"/>
      <c r="Y384" s="2526"/>
      <c r="Z384" s="2526"/>
      <c r="AA384" s="2526"/>
      <c r="AB384" s="2526"/>
      <c r="AC384" s="2526"/>
      <c r="AD384" s="2526"/>
      <c r="AE384" s="2526"/>
      <c r="AF384" s="252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7"/>
      <c r="G385" s="2527"/>
      <c r="H385" s="2527"/>
      <c r="I385" s="2527"/>
      <c r="J385" s="2527"/>
      <c r="K385" s="2527"/>
      <c r="L385" s="2527"/>
      <c r="M385" s="2527"/>
      <c r="N385" s="2527"/>
      <c r="O385" s="2527"/>
      <c r="P385" s="2527"/>
      <c r="Q385" s="2527"/>
      <c r="R385" s="2527"/>
      <c r="S385" s="2527"/>
      <c r="T385" s="2527"/>
      <c r="U385" s="2527"/>
      <c r="V385" s="2527"/>
      <c r="W385" s="2527"/>
      <c r="X385" s="2527"/>
      <c r="Y385" s="2527"/>
      <c r="Z385" s="2527"/>
      <c r="AA385" s="2527"/>
      <c r="AB385" s="2527"/>
      <c r="AC385" s="2527"/>
      <c r="AD385" s="2527"/>
      <c r="AE385" s="2527"/>
      <c r="AF385" s="252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7"/>
      <c r="G386" s="2527"/>
      <c r="H386" s="2527"/>
      <c r="I386" s="2527"/>
      <c r="J386" s="2527"/>
      <c r="K386" s="2527"/>
      <c r="L386" s="2527"/>
      <c r="M386" s="2527"/>
      <c r="N386" s="2527"/>
      <c r="O386" s="2527"/>
      <c r="P386" s="2527"/>
      <c r="Q386" s="2527"/>
      <c r="R386" s="2527"/>
      <c r="S386" s="2527"/>
      <c r="T386" s="2527"/>
      <c r="U386" s="2527"/>
      <c r="V386" s="2527"/>
      <c r="W386" s="2527"/>
      <c r="X386" s="2527"/>
      <c r="Y386" s="2527"/>
      <c r="Z386" s="2527"/>
      <c r="AA386" s="2527"/>
      <c r="AB386" s="2527"/>
      <c r="AC386" s="2527"/>
      <c r="AD386" s="2527"/>
      <c r="AE386" s="2527"/>
      <c r="AF386" s="252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7"/>
      <c r="G387" s="2527"/>
      <c r="H387" s="2527"/>
      <c r="I387" s="2527"/>
      <c r="J387" s="2527"/>
      <c r="K387" s="2527"/>
      <c r="L387" s="2527"/>
      <c r="M387" s="2527"/>
      <c r="N387" s="2527"/>
      <c r="O387" s="2527"/>
      <c r="P387" s="2527"/>
      <c r="Q387" s="2527"/>
      <c r="R387" s="2527"/>
      <c r="S387" s="2527"/>
      <c r="T387" s="2527"/>
      <c r="U387" s="2527"/>
      <c r="V387" s="2527"/>
      <c r="W387" s="2527"/>
      <c r="X387" s="2527"/>
      <c r="Y387" s="2527"/>
      <c r="Z387" s="2527"/>
      <c r="AA387" s="2527"/>
      <c r="AB387" s="2527"/>
      <c r="AC387" s="2527"/>
      <c r="AD387" s="2527"/>
      <c r="AE387" s="2527"/>
      <c r="AF387" s="252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7"/>
      <c r="G388" s="2527"/>
      <c r="H388" s="2527"/>
      <c r="I388" s="2527"/>
      <c r="J388" s="2527"/>
      <c r="K388" s="2527"/>
      <c r="L388" s="2527"/>
      <c r="M388" s="2527"/>
      <c r="N388" s="2527"/>
      <c r="O388" s="2527"/>
      <c r="P388" s="2527"/>
      <c r="Q388" s="2527"/>
      <c r="R388" s="2527"/>
      <c r="S388" s="2527"/>
      <c r="T388" s="2527"/>
      <c r="U388" s="2527"/>
      <c r="V388" s="2527"/>
      <c r="W388" s="2527"/>
      <c r="X388" s="2527"/>
      <c r="Y388" s="2527"/>
      <c r="Z388" s="2527"/>
      <c r="AA388" s="2527"/>
      <c r="AB388" s="2527"/>
      <c r="AC388" s="2527"/>
      <c r="AD388" s="2527"/>
      <c r="AE388" s="2527"/>
      <c r="AF388" s="2527"/>
      <c r="AL388" s="732"/>
      <c r="AN388" s="597"/>
      <c r="BS388" s="30"/>
      <c r="BT388" s="30"/>
      <c r="BU388" s="14"/>
      <c r="BV388" s="14"/>
      <c r="BW388" s="14"/>
      <c r="BX388" s="14"/>
      <c r="BY388" s="14"/>
      <c r="BZ388" s="14"/>
      <c r="CA388" s="14"/>
      <c r="CB388" s="14"/>
      <c r="CC388" s="14"/>
    </row>
    <row r="389" spans="1:81" s="550" customFormat="1" ht="12.75" customHeight="1">
      <c r="A389" s="536"/>
      <c r="B389" s="14"/>
      <c r="C389" s="2523" t="s">
        <v>591</v>
      </c>
      <c r="D389" s="2480"/>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4" t="s">
        <v>1462</v>
      </c>
      <c r="AG389" s="2524"/>
      <c r="AH389" s="2524"/>
      <c r="AI389" s="2524"/>
      <c r="AJ389" s="2524"/>
      <c r="AK389" s="2524"/>
      <c r="AL389" s="252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6" t="s">
        <v>1465</v>
      </c>
      <c r="G392" s="2526"/>
      <c r="H392" s="2526"/>
      <c r="I392" s="2526"/>
      <c r="J392" s="2526"/>
      <c r="K392" s="2526"/>
      <c r="L392" s="2526"/>
      <c r="M392" s="2526"/>
      <c r="N392" s="2526"/>
      <c r="O392" s="2526"/>
      <c r="P392" s="2526"/>
      <c r="Q392" s="2526"/>
      <c r="R392" s="2526"/>
      <c r="S392" s="2526"/>
      <c r="T392" s="2526"/>
      <c r="U392" s="2526"/>
      <c r="V392" s="2526"/>
      <c r="W392" s="2526"/>
      <c r="X392" s="2526"/>
      <c r="Y392" s="2526"/>
      <c r="Z392" s="2526"/>
      <c r="AA392" s="2526"/>
      <c r="AB392" s="2526"/>
      <c r="AC392" s="2526"/>
      <c r="AD392" s="2526"/>
      <c r="AE392" s="2526"/>
      <c r="AF392" s="252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7"/>
      <c r="G393" s="2527"/>
      <c r="H393" s="2527"/>
      <c r="I393" s="2527"/>
      <c r="J393" s="2527"/>
      <c r="K393" s="2527"/>
      <c r="L393" s="2527"/>
      <c r="M393" s="2527"/>
      <c r="N393" s="2527"/>
      <c r="O393" s="2527"/>
      <c r="P393" s="2527"/>
      <c r="Q393" s="2527"/>
      <c r="R393" s="2527"/>
      <c r="S393" s="2527"/>
      <c r="T393" s="2527"/>
      <c r="U393" s="2527"/>
      <c r="V393" s="2527"/>
      <c r="W393" s="2527"/>
      <c r="X393" s="2527"/>
      <c r="Y393" s="2527"/>
      <c r="Z393" s="2527"/>
      <c r="AA393" s="2527"/>
      <c r="AB393" s="2527"/>
      <c r="AC393" s="2527"/>
      <c r="AD393" s="2527"/>
      <c r="AE393" s="2527"/>
      <c r="AF393" s="252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7"/>
      <c r="G394" s="2527"/>
      <c r="H394" s="2527"/>
      <c r="I394" s="2527"/>
      <c r="J394" s="2527"/>
      <c r="K394" s="2527"/>
      <c r="L394" s="2527"/>
      <c r="M394" s="2527"/>
      <c r="N394" s="2527"/>
      <c r="O394" s="2527"/>
      <c r="P394" s="2527"/>
      <c r="Q394" s="2527"/>
      <c r="R394" s="2527"/>
      <c r="S394" s="2527"/>
      <c r="T394" s="2527"/>
      <c r="U394" s="2527"/>
      <c r="V394" s="2527"/>
      <c r="W394" s="2527"/>
      <c r="X394" s="2527"/>
      <c r="Y394" s="2527"/>
      <c r="Z394" s="2527"/>
      <c r="AA394" s="2527"/>
      <c r="AB394" s="2527"/>
      <c r="AC394" s="2527"/>
      <c r="AD394" s="2527"/>
      <c r="AE394" s="2527"/>
      <c r="AF394" s="252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7"/>
      <c r="G395" s="2527"/>
      <c r="H395" s="2527"/>
      <c r="I395" s="2527"/>
      <c r="J395" s="2527"/>
      <c r="K395" s="2527"/>
      <c r="L395" s="2527"/>
      <c r="M395" s="2527"/>
      <c r="N395" s="2527"/>
      <c r="O395" s="2527"/>
      <c r="P395" s="2527"/>
      <c r="Q395" s="2527"/>
      <c r="R395" s="2527"/>
      <c r="S395" s="2527"/>
      <c r="T395" s="2527"/>
      <c r="U395" s="2527"/>
      <c r="V395" s="2527"/>
      <c r="W395" s="2527"/>
      <c r="X395" s="2527"/>
      <c r="Y395" s="2527"/>
      <c r="Z395" s="2527"/>
      <c r="AA395" s="2527"/>
      <c r="AB395" s="2527"/>
      <c r="AC395" s="2527"/>
      <c r="AD395" s="2527"/>
      <c r="AE395" s="2527"/>
      <c r="AF395" s="252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7"/>
      <c r="G396" s="2527"/>
      <c r="H396" s="2527"/>
      <c r="I396" s="2527"/>
      <c r="J396" s="2527"/>
      <c r="K396" s="2527"/>
      <c r="L396" s="2527"/>
      <c r="M396" s="2527"/>
      <c r="N396" s="2527"/>
      <c r="O396" s="2527"/>
      <c r="P396" s="2527"/>
      <c r="Q396" s="2527"/>
      <c r="R396" s="2527"/>
      <c r="S396" s="2527"/>
      <c r="T396" s="2527"/>
      <c r="U396" s="2527"/>
      <c r="V396" s="2527"/>
      <c r="W396" s="2527"/>
      <c r="X396" s="2527"/>
      <c r="Y396" s="2527"/>
      <c r="Z396" s="2527"/>
      <c r="AA396" s="2527"/>
      <c r="AB396" s="2527"/>
      <c r="AC396" s="2527"/>
      <c r="AD396" s="2527"/>
      <c r="AE396" s="2527"/>
      <c r="AF396" s="252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3" t="s">
        <v>591</v>
      </c>
      <c r="D397" s="2480"/>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4" t="s">
        <v>1467</v>
      </c>
      <c r="AG397" s="2524"/>
      <c r="AH397" s="2524"/>
      <c r="AI397" s="2524"/>
      <c r="AJ397" s="2524"/>
      <c r="AK397" s="2524"/>
      <c r="AL397" s="252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3" t="s">
        <v>545</v>
      </c>
      <c r="D399" s="2480"/>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4" t="s">
        <v>1462</v>
      </c>
      <c r="AG399" s="2524"/>
      <c r="AH399" s="2524"/>
      <c r="AI399" s="2524"/>
      <c r="AJ399" s="2524"/>
      <c r="AK399" s="2524"/>
      <c r="AL399" s="252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6" t="s">
        <v>1471</v>
      </c>
      <c r="G403" s="2526"/>
      <c r="H403" s="2526"/>
      <c r="I403" s="2526"/>
      <c r="J403" s="2526"/>
      <c r="K403" s="2526"/>
      <c r="L403" s="2526"/>
      <c r="M403" s="2526"/>
      <c r="N403" s="2526"/>
      <c r="O403" s="2526"/>
      <c r="P403" s="2526"/>
      <c r="Q403" s="2526"/>
      <c r="R403" s="2526"/>
      <c r="S403" s="2526"/>
      <c r="T403" s="2526"/>
      <c r="U403" s="2526"/>
      <c r="V403" s="2526"/>
      <c r="W403" s="2526"/>
      <c r="X403" s="2526"/>
      <c r="Y403" s="2526"/>
      <c r="Z403" s="2526"/>
      <c r="AA403" s="2526"/>
      <c r="AB403" s="2526"/>
      <c r="AC403" s="2526"/>
      <c r="AD403" s="2526"/>
      <c r="AE403" s="2526"/>
      <c r="AF403" s="252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7"/>
      <c r="G404" s="2527"/>
      <c r="H404" s="2527"/>
      <c r="I404" s="2527"/>
      <c r="J404" s="2527"/>
      <c r="K404" s="2527"/>
      <c r="L404" s="2527"/>
      <c r="M404" s="2527"/>
      <c r="N404" s="2527"/>
      <c r="O404" s="2527"/>
      <c r="P404" s="2527"/>
      <c r="Q404" s="2527"/>
      <c r="R404" s="2527"/>
      <c r="S404" s="2527"/>
      <c r="T404" s="2527"/>
      <c r="U404" s="2527"/>
      <c r="V404" s="2527"/>
      <c r="W404" s="2527"/>
      <c r="X404" s="2527"/>
      <c r="Y404" s="2527"/>
      <c r="Z404" s="2527"/>
      <c r="AA404" s="2527"/>
      <c r="AB404" s="2527"/>
      <c r="AC404" s="2527"/>
      <c r="AD404" s="2527"/>
      <c r="AE404" s="2527"/>
      <c r="AF404" s="252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7"/>
      <c r="G405" s="2527"/>
      <c r="H405" s="2527"/>
      <c r="I405" s="2527"/>
      <c r="J405" s="2527"/>
      <c r="K405" s="2527"/>
      <c r="L405" s="2527"/>
      <c r="M405" s="2527"/>
      <c r="N405" s="2527"/>
      <c r="O405" s="2527"/>
      <c r="P405" s="2527"/>
      <c r="Q405" s="2527"/>
      <c r="R405" s="2527"/>
      <c r="S405" s="2527"/>
      <c r="T405" s="2527"/>
      <c r="U405" s="2527"/>
      <c r="V405" s="2527"/>
      <c r="W405" s="2527"/>
      <c r="X405" s="2527"/>
      <c r="Y405" s="2527"/>
      <c r="Z405" s="2527"/>
      <c r="AA405" s="2527"/>
      <c r="AB405" s="2527"/>
      <c r="AC405" s="2527"/>
      <c r="AD405" s="2527"/>
      <c r="AE405" s="2527"/>
      <c r="AF405" s="252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7"/>
      <c r="G406" s="2527"/>
      <c r="H406" s="2527"/>
      <c r="I406" s="2527"/>
      <c r="J406" s="2527"/>
      <c r="K406" s="2527"/>
      <c r="L406" s="2527"/>
      <c r="M406" s="2527"/>
      <c r="N406" s="2527"/>
      <c r="O406" s="2527"/>
      <c r="P406" s="2527"/>
      <c r="Q406" s="2527"/>
      <c r="R406" s="2527"/>
      <c r="S406" s="2527"/>
      <c r="T406" s="2527"/>
      <c r="U406" s="2527"/>
      <c r="V406" s="2527"/>
      <c r="W406" s="2527"/>
      <c r="X406" s="2527"/>
      <c r="Y406" s="2527"/>
      <c r="Z406" s="2527"/>
      <c r="AA406" s="2527"/>
      <c r="AB406" s="2527"/>
      <c r="AC406" s="2527"/>
      <c r="AD406" s="2527"/>
      <c r="AE406" s="2527"/>
      <c r="AF406" s="252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3" t="s">
        <v>591</v>
      </c>
      <c r="D407" s="2480"/>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4" t="s">
        <v>1462</v>
      </c>
      <c r="AG407" s="2524"/>
      <c r="AH407" s="2524"/>
      <c r="AI407" s="2524"/>
      <c r="AJ407" s="2524"/>
      <c r="AK407" s="2524"/>
      <c r="AL407" s="252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3" t="s">
        <v>591</v>
      </c>
      <c r="D409" s="2480"/>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4" t="s">
        <v>1474</v>
      </c>
      <c r="AG409" s="2524"/>
      <c r="AH409" s="2524"/>
      <c r="AI409" s="2524"/>
      <c r="AJ409" s="2524"/>
      <c r="AK409" s="2524"/>
      <c r="AL409" s="252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3" t="s">
        <v>591</v>
      </c>
      <c r="D412" s="2480"/>
      <c r="E412" s="715" t="s">
        <v>1475</v>
      </c>
      <c r="F412" s="2526" t="s">
        <v>1476</v>
      </c>
      <c r="G412" s="2526"/>
      <c r="H412" s="2526"/>
      <c r="I412" s="2526"/>
      <c r="J412" s="2526"/>
      <c r="K412" s="2526"/>
      <c r="L412" s="2526"/>
      <c r="M412" s="2526"/>
      <c r="N412" s="2526"/>
      <c r="O412" s="2526"/>
      <c r="P412" s="2526"/>
      <c r="Q412" s="2526"/>
      <c r="R412" s="2526"/>
      <c r="S412" s="2526"/>
      <c r="T412" s="2526"/>
      <c r="U412" s="2526"/>
      <c r="V412" s="2526"/>
      <c r="W412" s="2526"/>
      <c r="X412" s="2526"/>
      <c r="Y412" s="2526"/>
      <c r="Z412" s="2526"/>
      <c r="AA412" s="2526"/>
      <c r="AB412" s="2526"/>
      <c r="AC412" s="2526"/>
      <c r="AD412" s="2526"/>
      <c r="AE412" s="252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7"/>
      <c r="G413" s="2527"/>
      <c r="H413" s="2527"/>
      <c r="I413" s="2527"/>
      <c r="J413" s="2527"/>
      <c r="K413" s="2527"/>
      <c r="L413" s="2527"/>
      <c r="M413" s="2527"/>
      <c r="N413" s="2527"/>
      <c r="O413" s="2527"/>
      <c r="P413" s="2527"/>
      <c r="Q413" s="2527"/>
      <c r="R413" s="2527"/>
      <c r="S413" s="2527"/>
      <c r="T413" s="2527"/>
      <c r="U413" s="2527"/>
      <c r="V413" s="2527"/>
      <c r="W413" s="2527"/>
      <c r="X413" s="2527"/>
      <c r="Y413" s="2527"/>
      <c r="Z413" s="2527"/>
      <c r="AA413" s="2527"/>
      <c r="AB413" s="2527"/>
      <c r="AC413" s="2527"/>
      <c r="AD413" s="2527"/>
      <c r="AE413" s="2527"/>
      <c r="AF413" s="2447" t="s">
        <v>1462</v>
      </c>
      <c r="AG413" s="2447"/>
      <c r="AH413" s="2447"/>
      <c r="AI413" s="2447"/>
      <c r="AJ413" s="2447"/>
      <c r="AK413" s="2447"/>
      <c r="AL413" s="2528"/>
      <c r="AM413" s="570"/>
      <c r="AN413" s="597"/>
      <c r="BS413" s="570"/>
      <c r="BT413" s="570"/>
      <c r="BY413" s="570"/>
      <c r="BZ413" s="570"/>
      <c r="CA413" s="570"/>
      <c r="CB413" s="570"/>
      <c r="CC413" s="570"/>
    </row>
    <row r="414" spans="1:81" s="550" customFormat="1" ht="12.75" customHeight="1">
      <c r="A414" s="536"/>
      <c r="B414" s="14"/>
      <c r="C414" s="731"/>
      <c r="D414" s="14"/>
      <c r="E414" s="691"/>
      <c r="F414" s="2527"/>
      <c r="G414" s="2527"/>
      <c r="H414" s="2527"/>
      <c r="I414" s="2527"/>
      <c r="J414" s="2527"/>
      <c r="K414" s="2527"/>
      <c r="L414" s="2527"/>
      <c r="M414" s="2527"/>
      <c r="N414" s="2527"/>
      <c r="O414" s="2527"/>
      <c r="P414" s="2527"/>
      <c r="Q414" s="2527"/>
      <c r="R414" s="2527"/>
      <c r="S414" s="2527"/>
      <c r="T414" s="2527"/>
      <c r="U414" s="2527"/>
      <c r="V414" s="2527"/>
      <c r="W414" s="2527"/>
      <c r="X414" s="2527"/>
      <c r="Y414" s="2527"/>
      <c r="Z414" s="2527"/>
      <c r="AA414" s="2527"/>
      <c r="AB414" s="2527"/>
      <c r="AC414" s="2527"/>
      <c r="AD414" s="2527"/>
      <c r="AE414" s="252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6"/>
      <c r="G415" s="2546"/>
      <c r="H415" s="2546"/>
      <c r="I415" s="2546"/>
      <c r="J415" s="2546"/>
      <c r="K415" s="2546"/>
      <c r="L415" s="2546"/>
      <c r="M415" s="2546"/>
      <c r="N415" s="2546"/>
      <c r="O415" s="2546"/>
      <c r="P415" s="2546"/>
      <c r="Q415" s="2546"/>
      <c r="R415" s="2546"/>
      <c r="S415" s="2546"/>
      <c r="T415" s="2546"/>
      <c r="U415" s="2546"/>
      <c r="V415" s="2546"/>
      <c r="W415" s="2546"/>
      <c r="X415" s="2546"/>
      <c r="Y415" s="2546"/>
      <c r="Z415" s="2546"/>
      <c r="AA415" s="2546"/>
      <c r="AB415" s="2546"/>
      <c r="AC415" s="2546"/>
      <c r="AD415" s="2546"/>
      <c r="AE415" s="254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6" t="s">
        <v>1478</v>
      </c>
      <c r="G417" s="2526"/>
      <c r="H417" s="2526"/>
      <c r="I417" s="2526"/>
      <c r="J417" s="2526"/>
      <c r="K417" s="2526"/>
      <c r="L417" s="2526"/>
      <c r="M417" s="2526"/>
      <c r="N417" s="2526"/>
      <c r="O417" s="2526"/>
      <c r="P417" s="2526"/>
      <c r="Q417" s="2526"/>
      <c r="R417" s="2526"/>
      <c r="S417" s="2526"/>
      <c r="T417" s="2526"/>
      <c r="U417" s="2526"/>
      <c r="V417" s="2526"/>
      <c r="W417" s="2526"/>
      <c r="X417" s="2526"/>
      <c r="Y417" s="2526"/>
      <c r="Z417" s="2526"/>
      <c r="AA417" s="2526"/>
      <c r="AB417" s="2526"/>
      <c r="AC417" s="2526"/>
      <c r="AD417" s="2526"/>
      <c r="AE417" s="2526"/>
      <c r="AF417" s="747"/>
      <c r="AG417" s="747"/>
      <c r="AH417" s="747"/>
      <c r="AI417" s="747"/>
      <c r="AJ417" s="747"/>
      <c r="AK417" s="747"/>
      <c r="AL417" s="748"/>
      <c r="AM417" s="570"/>
    </row>
    <row r="418" spans="1:55">
      <c r="A418" s="536"/>
      <c r="C418" s="731"/>
      <c r="E418" s="691"/>
      <c r="F418" s="2527"/>
      <c r="G418" s="2527"/>
      <c r="H418" s="2527"/>
      <c r="I418" s="2527"/>
      <c r="J418" s="2527"/>
      <c r="K418" s="2527"/>
      <c r="L418" s="2527"/>
      <c r="M418" s="2527"/>
      <c r="N418" s="2527"/>
      <c r="O418" s="2527"/>
      <c r="P418" s="2527"/>
      <c r="Q418" s="2527"/>
      <c r="R418" s="2527"/>
      <c r="S418" s="2527"/>
      <c r="T418" s="2527"/>
      <c r="U418" s="2527"/>
      <c r="V418" s="2527"/>
      <c r="W418" s="2527"/>
      <c r="X418" s="2527"/>
      <c r="Y418" s="2527"/>
      <c r="Z418" s="2527"/>
      <c r="AA418" s="2527"/>
      <c r="AB418" s="2527"/>
      <c r="AC418" s="2527"/>
      <c r="AD418" s="2527"/>
      <c r="AE418" s="2527"/>
      <c r="AF418" s="539"/>
      <c r="AG418" s="536"/>
      <c r="AH418" s="550"/>
      <c r="AI418" s="550"/>
      <c r="AJ418" s="550"/>
      <c r="AK418" s="550"/>
      <c r="AL418" s="732"/>
      <c r="AM418" s="570"/>
    </row>
    <row r="419" spans="1:55" s="550" customFormat="1" ht="12.75" customHeight="1">
      <c r="A419" s="536"/>
      <c r="B419" s="14"/>
      <c r="C419" s="731"/>
      <c r="D419" s="14"/>
      <c r="E419" s="691"/>
      <c r="F419" s="2527"/>
      <c r="G419" s="2527"/>
      <c r="H419" s="2527"/>
      <c r="I419" s="2527"/>
      <c r="J419" s="2527"/>
      <c r="K419" s="2527"/>
      <c r="L419" s="2527"/>
      <c r="M419" s="2527"/>
      <c r="N419" s="2527"/>
      <c r="O419" s="2527"/>
      <c r="P419" s="2527"/>
      <c r="Q419" s="2527"/>
      <c r="R419" s="2527"/>
      <c r="S419" s="2527"/>
      <c r="T419" s="2527"/>
      <c r="U419" s="2527"/>
      <c r="V419" s="2527"/>
      <c r="W419" s="2527"/>
      <c r="X419" s="2527"/>
      <c r="Y419" s="2527"/>
      <c r="Z419" s="2527"/>
      <c r="AA419" s="2527"/>
      <c r="AB419" s="2527"/>
      <c r="AC419" s="2527"/>
      <c r="AD419" s="2527"/>
      <c r="AE419" s="2527"/>
      <c r="AL419" s="732"/>
      <c r="AM419" s="570"/>
      <c r="AN419" s="597"/>
    </row>
    <row r="420" spans="1:55" s="550" customFormat="1" ht="12.75" customHeight="1">
      <c r="A420" s="536"/>
      <c r="B420" s="14"/>
      <c r="C420" s="739"/>
      <c r="F420" s="2527"/>
      <c r="G420" s="2527"/>
      <c r="H420" s="2527"/>
      <c r="I420" s="2527"/>
      <c r="J420" s="2527"/>
      <c r="K420" s="2527"/>
      <c r="L420" s="2527"/>
      <c r="M420" s="2527"/>
      <c r="N420" s="2527"/>
      <c r="O420" s="2527"/>
      <c r="P420" s="2527"/>
      <c r="Q420" s="2527"/>
      <c r="R420" s="2527"/>
      <c r="S420" s="2527"/>
      <c r="T420" s="2527"/>
      <c r="U420" s="2527"/>
      <c r="V420" s="2527"/>
      <c r="W420" s="2527"/>
      <c r="X420" s="2527"/>
      <c r="Y420" s="2527"/>
      <c r="Z420" s="2527"/>
      <c r="AA420" s="2527"/>
      <c r="AB420" s="2527"/>
      <c r="AC420" s="2527"/>
      <c r="AD420" s="2527"/>
      <c r="AE420" s="2527"/>
      <c r="AL420" s="732"/>
      <c r="AM420" s="570"/>
      <c r="AN420" s="597"/>
    </row>
    <row r="421" spans="1:55" s="550" customFormat="1" ht="12.75" customHeight="1">
      <c r="A421" s="536"/>
      <c r="B421" s="14"/>
      <c r="C421" s="2523" t="s">
        <v>591</v>
      </c>
      <c r="D421" s="2480"/>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1462</v>
      </c>
      <c r="AG421" s="2447"/>
      <c r="AH421" s="2447"/>
      <c r="AI421" s="2447"/>
      <c r="AJ421" s="2447"/>
      <c r="AK421" s="2447"/>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523" t="s">
        <v>591</v>
      </c>
      <c r="D423" s="2480"/>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1474</v>
      </c>
      <c r="AG423" s="2447"/>
      <c r="AH423" s="2447"/>
      <c r="AI423" s="2447"/>
      <c r="AJ423" s="2447"/>
      <c r="AK423" s="2447"/>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6" t="s">
        <v>1482</v>
      </c>
      <c r="G427" s="2526"/>
      <c r="H427" s="2526"/>
      <c r="I427" s="2526"/>
      <c r="J427" s="2526"/>
      <c r="K427" s="2526"/>
      <c r="L427" s="2526"/>
      <c r="M427" s="2526"/>
      <c r="N427" s="2526"/>
      <c r="O427" s="2526"/>
      <c r="P427" s="2526"/>
      <c r="Q427" s="2526"/>
      <c r="R427" s="2526"/>
      <c r="S427" s="2526"/>
      <c r="T427" s="2526"/>
      <c r="U427" s="2526"/>
      <c r="V427" s="2526"/>
      <c r="W427" s="2526"/>
      <c r="X427" s="2526"/>
      <c r="Y427" s="2526"/>
      <c r="Z427" s="2526"/>
      <c r="AA427" s="2526"/>
      <c r="AB427" s="2526"/>
      <c r="AC427" s="2526"/>
      <c r="AD427" s="2526"/>
      <c r="AE427" s="2526"/>
      <c r="AF427" s="714"/>
      <c r="AG427" s="714"/>
      <c r="AH427" s="714"/>
      <c r="AI427" s="714"/>
      <c r="AJ427" s="714"/>
      <c r="AK427" s="714"/>
      <c r="AL427" s="745"/>
      <c r="AM427" s="570"/>
      <c r="AN427" s="597"/>
    </row>
    <row r="428" spans="1:55" s="550" customFormat="1" ht="12.75" customHeight="1">
      <c r="A428" s="536"/>
      <c r="B428" s="14"/>
      <c r="C428" s="731"/>
      <c r="D428" s="14"/>
      <c r="E428" s="691"/>
      <c r="F428" s="2527"/>
      <c r="G428" s="2527"/>
      <c r="H428" s="2527"/>
      <c r="I428" s="2527"/>
      <c r="J428" s="2527"/>
      <c r="K428" s="2527"/>
      <c r="L428" s="2527"/>
      <c r="M428" s="2527"/>
      <c r="N428" s="2527"/>
      <c r="O428" s="2527"/>
      <c r="P428" s="2527"/>
      <c r="Q428" s="2527"/>
      <c r="R428" s="2527"/>
      <c r="S428" s="2527"/>
      <c r="T428" s="2527"/>
      <c r="U428" s="2527"/>
      <c r="V428" s="2527"/>
      <c r="W428" s="2527"/>
      <c r="X428" s="2527"/>
      <c r="Y428" s="2527"/>
      <c r="Z428" s="2527"/>
      <c r="AA428" s="2527"/>
      <c r="AB428" s="2527"/>
      <c r="AC428" s="2527"/>
      <c r="AD428" s="2527"/>
      <c r="AE428" s="2527"/>
      <c r="AF428" s="539"/>
      <c r="AG428" s="536"/>
      <c r="AL428" s="732"/>
      <c r="AM428" s="570"/>
      <c r="AN428" s="597"/>
    </row>
    <row r="429" spans="1:55" s="550" customFormat="1" ht="12.6" customHeight="1">
      <c r="A429" s="536"/>
      <c r="B429" s="14"/>
      <c r="C429" s="731"/>
      <c r="D429" s="14"/>
      <c r="E429" s="691"/>
      <c r="F429" s="2527"/>
      <c r="G429" s="2527"/>
      <c r="H429" s="2527"/>
      <c r="I429" s="2527"/>
      <c r="J429" s="2527"/>
      <c r="K429" s="2527"/>
      <c r="L429" s="2527"/>
      <c r="M429" s="2527"/>
      <c r="N429" s="2527"/>
      <c r="O429" s="2527"/>
      <c r="P429" s="2527"/>
      <c r="Q429" s="2527"/>
      <c r="R429" s="2527"/>
      <c r="S429" s="2527"/>
      <c r="T429" s="2527"/>
      <c r="U429" s="2527"/>
      <c r="V429" s="2527"/>
      <c r="W429" s="2527"/>
      <c r="X429" s="2527"/>
      <c r="Y429" s="2527"/>
      <c r="Z429" s="2527"/>
      <c r="AA429" s="2527"/>
      <c r="AB429" s="2527"/>
      <c r="AC429" s="2527"/>
      <c r="AD429" s="2527"/>
      <c r="AE429" s="2527"/>
      <c r="AL429" s="732"/>
      <c r="AM429" s="570"/>
      <c r="AN429" s="597"/>
    </row>
    <row r="430" spans="1:55" s="550" customFormat="1" ht="12.75" customHeight="1">
      <c r="A430" s="536"/>
      <c r="B430" s="14"/>
      <c r="C430" s="2523" t="s">
        <v>591</v>
      </c>
      <c r="D430" s="2480"/>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1462</v>
      </c>
      <c r="AG430" s="2447"/>
      <c r="AH430" s="2447"/>
      <c r="AI430" s="2447"/>
      <c r="AJ430" s="2447"/>
      <c r="AK430" s="2447"/>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526" t="s">
        <v>1485</v>
      </c>
      <c r="G433" s="2526"/>
      <c r="H433" s="2526"/>
      <c r="I433" s="2526"/>
      <c r="J433" s="2526"/>
      <c r="K433" s="2526"/>
      <c r="L433" s="2526"/>
      <c r="M433" s="2526"/>
      <c r="N433" s="2526"/>
      <c r="O433" s="2526"/>
      <c r="P433" s="2526"/>
      <c r="Q433" s="2526"/>
      <c r="R433" s="2526"/>
      <c r="S433" s="2526"/>
      <c r="T433" s="2526"/>
      <c r="U433" s="2526"/>
      <c r="V433" s="2526"/>
      <c r="W433" s="2526"/>
      <c r="X433" s="2526"/>
      <c r="Y433" s="2526"/>
      <c r="Z433" s="2526"/>
      <c r="AA433" s="2526"/>
      <c r="AB433" s="2526"/>
      <c r="AC433" s="2526"/>
      <c r="AD433" s="2526"/>
      <c r="AE433" s="2526"/>
      <c r="AF433" s="747"/>
      <c r="AG433" s="747"/>
      <c r="AH433" s="747"/>
      <c r="AI433" s="747"/>
      <c r="AJ433" s="747"/>
      <c r="AK433" s="747"/>
      <c r="AL433" s="748"/>
      <c r="AM433" s="570"/>
      <c r="AO433" s="550"/>
      <c r="AP433" s="550"/>
      <c r="BD433" s="14"/>
      <c r="BE433" s="14"/>
      <c r="BF433" s="14"/>
      <c r="BG433" s="14"/>
      <c r="BH433" s="14"/>
    </row>
    <row r="434" spans="1:60">
      <c r="A434" s="536"/>
      <c r="C434" s="731"/>
      <c r="E434" s="691"/>
      <c r="F434" s="2527"/>
      <c r="G434" s="2527"/>
      <c r="H434" s="2527"/>
      <c r="I434" s="2527"/>
      <c r="J434" s="2527"/>
      <c r="K434" s="2527"/>
      <c r="L434" s="2527"/>
      <c r="M434" s="2527"/>
      <c r="N434" s="2527"/>
      <c r="O434" s="2527"/>
      <c r="P434" s="2527"/>
      <c r="Q434" s="2527"/>
      <c r="R434" s="2527"/>
      <c r="S434" s="2527"/>
      <c r="T434" s="2527"/>
      <c r="U434" s="2527"/>
      <c r="V434" s="2527"/>
      <c r="W434" s="2527"/>
      <c r="X434" s="2527"/>
      <c r="Y434" s="2527"/>
      <c r="Z434" s="2527"/>
      <c r="AA434" s="2527"/>
      <c r="AB434" s="2527"/>
      <c r="AC434" s="2527"/>
      <c r="AD434" s="2527"/>
      <c r="AE434" s="2527"/>
      <c r="AF434" s="594"/>
      <c r="AG434" s="594"/>
      <c r="AH434" s="594"/>
      <c r="AI434" s="594"/>
      <c r="AJ434" s="594"/>
      <c r="AK434" s="594"/>
      <c r="AL434" s="750"/>
      <c r="AM434" s="570"/>
      <c r="AO434" s="550"/>
      <c r="AP434" s="550"/>
    </row>
    <row r="435" spans="1:60" s="550" customFormat="1" ht="12.75" customHeight="1">
      <c r="A435" s="536"/>
      <c r="B435" s="14"/>
      <c r="C435" s="731"/>
      <c r="D435" s="14"/>
      <c r="E435" s="691"/>
      <c r="F435" s="2527"/>
      <c r="G435" s="2527"/>
      <c r="H435" s="2527"/>
      <c r="I435" s="2527"/>
      <c r="J435" s="2527"/>
      <c r="K435" s="2527"/>
      <c r="L435" s="2527"/>
      <c r="M435" s="2527"/>
      <c r="N435" s="2527"/>
      <c r="O435" s="2527"/>
      <c r="P435" s="2527"/>
      <c r="Q435" s="2527"/>
      <c r="R435" s="2527"/>
      <c r="S435" s="2527"/>
      <c r="T435" s="2527"/>
      <c r="U435" s="2527"/>
      <c r="V435" s="2527"/>
      <c r="W435" s="2527"/>
      <c r="X435" s="2527"/>
      <c r="Y435" s="2527"/>
      <c r="Z435" s="2527"/>
      <c r="AA435" s="2527"/>
      <c r="AB435" s="2527"/>
      <c r="AC435" s="2527"/>
      <c r="AD435" s="2527"/>
      <c r="AE435" s="2527"/>
      <c r="AF435" s="594"/>
      <c r="AG435" s="594"/>
      <c r="AH435" s="594"/>
      <c r="AI435" s="594"/>
      <c r="AJ435" s="594"/>
      <c r="AK435" s="594"/>
      <c r="AL435" s="750"/>
      <c r="AM435" s="570"/>
      <c r="AN435" s="597"/>
    </row>
    <row r="436" spans="1:60" s="550" customFormat="1" ht="12.75" customHeight="1">
      <c r="A436" s="536"/>
      <c r="B436" s="14"/>
      <c r="C436" s="751"/>
      <c r="D436" s="730"/>
      <c r="E436" s="719"/>
      <c r="F436" s="2527"/>
      <c r="G436" s="2527"/>
      <c r="H436" s="2527"/>
      <c r="I436" s="2527"/>
      <c r="J436" s="2527"/>
      <c r="K436" s="2527"/>
      <c r="L436" s="2527"/>
      <c r="M436" s="2527"/>
      <c r="N436" s="2527"/>
      <c r="O436" s="2527"/>
      <c r="P436" s="2527"/>
      <c r="Q436" s="2527"/>
      <c r="R436" s="2527"/>
      <c r="S436" s="2527"/>
      <c r="T436" s="2527"/>
      <c r="U436" s="2527"/>
      <c r="V436" s="2527"/>
      <c r="W436" s="2527"/>
      <c r="X436" s="2527"/>
      <c r="Y436" s="2527"/>
      <c r="Z436" s="2527"/>
      <c r="AA436" s="2527"/>
      <c r="AB436" s="2527"/>
      <c r="AC436" s="2527"/>
      <c r="AD436" s="2527"/>
      <c r="AE436" s="252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7"/>
      <c r="G437" s="2527"/>
      <c r="H437" s="2527"/>
      <c r="I437" s="2527"/>
      <c r="J437" s="2527"/>
      <c r="K437" s="2527"/>
      <c r="L437" s="2527"/>
      <c r="M437" s="2527"/>
      <c r="N437" s="2527"/>
      <c r="O437" s="2527"/>
      <c r="P437" s="2527"/>
      <c r="Q437" s="2527"/>
      <c r="R437" s="2527"/>
      <c r="S437" s="2527"/>
      <c r="T437" s="2527"/>
      <c r="U437" s="2527"/>
      <c r="V437" s="2527"/>
      <c r="W437" s="2527"/>
      <c r="X437" s="2527"/>
      <c r="Y437" s="2527"/>
      <c r="Z437" s="2527"/>
      <c r="AA437" s="2527"/>
      <c r="AB437" s="2527"/>
      <c r="AC437" s="2527"/>
      <c r="AD437" s="2527"/>
      <c r="AE437" s="2527"/>
      <c r="AF437" s="594"/>
      <c r="AG437" s="594"/>
      <c r="AH437" s="594"/>
      <c r="AI437" s="594"/>
      <c r="AJ437" s="594"/>
      <c r="AK437" s="594"/>
      <c r="AL437" s="750"/>
      <c r="AM437" s="570"/>
      <c r="AN437" s="597"/>
    </row>
    <row r="438" spans="1:60" s="550" customFormat="1" ht="12.75" customHeight="1">
      <c r="A438" s="536"/>
      <c r="B438" s="14"/>
      <c r="C438" s="751"/>
      <c r="D438" s="730"/>
      <c r="E438" s="719"/>
      <c r="F438" s="2527"/>
      <c r="G438" s="2527"/>
      <c r="H438" s="2527"/>
      <c r="I438" s="2527"/>
      <c r="J438" s="2527"/>
      <c r="K438" s="2527"/>
      <c r="L438" s="2527"/>
      <c r="M438" s="2527"/>
      <c r="N438" s="2527"/>
      <c r="O438" s="2527"/>
      <c r="P438" s="2527"/>
      <c r="Q438" s="2527"/>
      <c r="R438" s="2527"/>
      <c r="S438" s="2527"/>
      <c r="T438" s="2527"/>
      <c r="U438" s="2527"/>
      <c r="V438" s="2527"/>
      <c r="W438" s="2527"/>
      <c r="X438" s="2527"/>
      <c r="Y438" s="2527"/>
      <c r="Z438" s="2527"/>
      <c r="AA438" s="2527"/>
      <c r="AB438" s="2527"/>
      <c r="AC438" s="2527"/>
      <c r="AD438" s="2527"/>
      <c r="AE438" s="2527"/>
      <c r="AF438" s="594"/>
      <c r="AG438" s="594"/>
      <c r="AH438" s="594"/>
      <c r="AI438" s="594"/>
      <c r="AJ438" s="594"/>
      <c r="AK438" s="594"/>
      <c r="AL438" s="750"/>
      <c r="AM438" s="570"/>
      <c r="AN438" s="597"/>
    </row>
    <row r="439" spans="1:60" s="550" customFormat="1" ht="12.75" customHeight="1">
      <c r="A439" s="536"/>
      <c r="B439" s="14"/>
      <c r="C439" s="751"/>
      <c r="D439" s="730"/>
      <c r="E439" s="719"/>
      <c r="F439" s="2527"/>
      <c r="G439" s="2527"/>
      <c r="H439" s="2527"/>
      <c r="I439" s="2527"/>
      <c r="J439" s="2527"/>
      <c r="K439" s="2527"/>
      <c r="L439" s="2527"/>
      <c r="M439" s="2527"/>
      <c r="N439" s="2527"/>
      <c r="O439" s="2527"/>
      <c r="P439" s="2527"/>
      <c r="Q439" s="2527"/>
      <c r="R439" s="2527"/>
      <c r="S439" s="2527"/>
      <c r="T439" s="2527"/>
      <c r="U439" s="2527"/>
      <c r="V439" s="2527"/>
      <c r="W439" s="2527"/>
      <c r="X439" s="2527"/>
      <c r="Y439" s="2527"/>
      <c r="Z439" s="2527"/>
      <c r="AA439" s="2527"/>
      <c r="AB439" s="2527"/>
      <c r="AC439" s="2527"/>
      <c r="AD439" s="2527"/>
      <c r="AE439" s="2527"/>
      <c r="AF439" s="594"/>
      <c r="AG439" s="594"/>
      <c r="AH439" s="594"/>
      <c r="AI439" s="594"/>
      <c r="AJ439" s="594"/>
      <c r="AK439" s="594"/>
      <c r="AL439" s="750"/>
      <c r="AM439" s="570"/>
      <c r="AN439" s="597"/>
    </row>
    <row r="440" spans="1:60" s="550" customFormat="1" ht="12.75" customHeight="1">
      <c r="A440" s="536"/>
      <c r="B440" s="14"/>
      <c r="C440" s="751"/>
      <c r="D440" s="730"/>
      <c r="E440" s="719"/>
      <c r="F440" s="2527"/>
      <c r="G440" s="2527"/>
      <c r="H440" s="2527"/>
      <c r="I440" s="2527"/>
      <c r="J440" s="2527"/>
      <c r="K440" s="2527"/>
      <c r="L440" s="2527"/>
      <c r="M440" s="2527"/>
      <c r="N440" s="2527"/>
      <c r="O440" s="2527"/>
      <c r="P440" s="2527"/>
      <c r="Q440" s="2527"/>
      <c r="R440" s="2527"/>
      <c r="S440" s="2527"/>
      <c r="T440" s="2527"/>
      <c r="U440" s="2527"/>
      <c r="V440" s="2527"/>
      <c r="W440" s="2527"/>
      <c r="X440" s="2527"/>
      <c r="Y440" s="2527"/>
      <c r="Z440" s="2527"/>
      <c r="AA440" s="2527"/>
      <c r="AB440" s="2527"/>
      <c r="AC440" s="2527"/>
      <c r="AD440" s="2527"/>
      <c r="AE440" s="2527"/>
      <c r="AF440" s="594"/>
      <c r="AG440" s="594"/>
      <c r="AH440" s="594"/>
      <c r="AI440" s="594"/>
      <c r="AJ440" s="594"/>
      <c r="AK440" s="594"/>
      <c r="AL440" s="750"/>
      <c r="AM440" s="570"/>
      <c r="AN440" s="597"/>
    </row>
    <row r="441" spans="1:60" s="550" customFormat="1" ht="17.25" customHeight="1">
      <c r="A441" s="536"/>
      <c r="B441" s="14"/>
      <c r="C441" s="751"/>
      <c r="D441" s="730"/>
      <c r="E441" s="719"/>
      <c r="F441" s="2527"/>
      <c r="G441" s="2527"/>
      <c r="H441" s="2527"/>
      <c r="I441" s="2527"/>
      <c r="J441" s="2527"/>
      <c r="K441" s="2527"/>
      <c r="L441" s="2527"/>
      <c r="M441" s="2527"/>
      <c r="N441" s="2527"/>
      <c r="O441" s="2527"/>
      <c r="P441" s="2527"/>
      <c r="Q441" s="2527"/>
      <c r="R441" s="2527"/>
      <c r="S441" s="2527"/>
      <c r="T441" s="2527"/>
      <c r="U441" s="2527"/>
      <c r="V441" s="2527"/>
      <c r="W441" s="2527"/>
      <c r="X441" s="2527"/>
      <c r="Y441" s="2527"/>
      <c r="Z441" s="2527"/>
      <c r="AA441" s="2527"/>
      <c r="AB441" s="2527"/>
      <c r="AC441" s="2527"/>
      <c r="AD441" s="2527"/>
      <c r="AE441" s="2527"/>
      <c r="AL441" s="732"/>
      <c r="AM441" s="570"/>
      <c r="AN441" s="597"/>
    </row>
    <row r="442" spans="1:60" s="550" customFormat="1" ht="12.75" customHeight="1">
      <c r="A442" s="536"/>
      <c r="B442" s="14"/>
      <c r="C442" s="2523" t="s">
        <v>591</v>
      </c>
      <c r="D442" s="2480"/>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1462</v>
      </c>
      <c r="AG442" s="2447"/>
      <c r="AH442" s="2447"/>
      <c r="AI442" s="2447"/>
      <c r="AJ442" s="2447"/>
      <c r="AK442" s="2447"/>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6" t="s">
        <v>1488</v>
      </c>
      <c r="G445" s="2526"/>
      <c r="H445" s="2526"/>
      <c r="I445" s="2526"/>
      <c r="J445" s="2526"/>
      <c r="K445" s="2526"/>
      <c r="L445" s="2526"/>
      <c r="M445" s="2526"/>
      <c r="N445" s="2526"/>
      <c r="O445" s="2526"/>
      <c r="P445" s="2526"/>
      <c r="Q445" s="2526"/>
      <c r="R445" s="2526"/>
      <c r="S445" s="2526"/>
      <c r="T445" s="2526"/>
      <c r="U445" s="2526"/>
      <c r="V445" s="2526"/>
      <c r="W445" s="2526"/>
      <c r="X445" s="2526"/>
      <c r="Y445" s="2526"/>
      <c r="Z445" s="2526"/>
      <c r="AA445" s="2526"/>
      <c r="AB445" s="2526"/>
      <c r="AC445" s="2526"/>
      <c r="AD445" s="2526"/>
      <c r="AE445" s="2526"/>
      <c r="AF445" s="714"/>
      <c r="AG445" s="714"/>
      <c r="AH445" s="714"/>
      <c r="AI445" s="714"/>
      <c r="AJ445" s="714"/>
      <c r="AK445" s="714"/>
      <c r="AL445" s="745"/>
      <c r="AM445" s="570"/>
      <c r="AN445" s="597"/>
    </row>
    <row r="446" spans="1:60" s="550" customFormat="1" ht="12.75" customHeight="1">
      <c r="A446" s="536"/>
      <c r="B446" s="14"/>
      <c r="C446" s="751"/>
      <c r="D446" s="730"/>
      <c r="E446" s="719"/>
      <c r="F446" s="2527"/>
      <c r="G446" s="2527"/>
      <c r="H446" s="2527"/>
      <c r="I446" s="2527"/>
      <c r="J446" s="2527"/>
      <c r="K446" s="2527"/>
      <c r="L446" s="2527"/>
      <c r="M446" s="2527"/>
      <c r="N446" s="2527"/>
      <c r="O446" s="2527"/>
      <c r="P446" s="2527"/>
      <c r="Q446" s="2527"/>
      <c r="R446" s="2527"/>
      <c r="S446" s="2527"/>
      <c r="T446" s="2527"/>
      <c r="U446" s="2527"/>
      <c r="V446" s="2527"/>
      <c r="W446" s="2527"/>
      <c r="X446" s="2527"/>
      <c r="Y446" s="2527"/>
      <c r="Z446" s="2527"/>
      <c r="AA446" s="2527"/>
      <c r="AB446" s="2527"/>
      <c r="AC446" s="2527"/>
      <c r="AD446" s="2527"/>
      <c r="AE446" s="2527"/>
      <c r="AF446" s="591"/>
      <c r="AG446" s="591"/>
      <c r="AH446" s="591"/>
      <c r="AI446" s="591"/>
      <c r="AJ446" s="591"/>
      <c r="AK446" s="591"/>
      <c r="AL446" s="720"/>
      <c r="AM446" s="570"/>
      <c r="AN446" s="597"/>
    </row>
    <row r="447" spans="1:60" s="550" customFormat="1" ht="12.75" customHeight="1">
      <c r="A447" s="536"/>
      <c r="B447" s="14"/>
      <c r="C447" s="751"/>
      <c r="D447" s="730"/>
      <c r="E447" s="719"/>
      <c r="F447" s="2527"/>
      <c r="G447" s="2527"/>
      <c r="H447" s="2527"/>
      <c r="I447" s="2527"/>
      <c r="J447" s="2527"/>
      <c r="K447" s="2527"/>
      <c r="L447" s="2527"/>
      <c r="M447" s="2527"/>
      <c r="N447" s="2527"/>
      <c r="O447" s="2527"/>
      <c r="P447" s="2527"/>
      <c r="Q447" s="2527"/>
      <c r="R447" s="2527"/>
      <c r="S447" s="2527"/>
      <c r="T447" s="2527"/>
      <c r="U447" s="2527"/>
      <c r="V447" s="2527"/>
      <c r="W447" s="2527"/>
      <c r="X447" s="2527"/>
      <c r="Y447" s="2527"/>
      <c r="Z447" s="2527"/>
      <c r="AA447" s="2527"/>
      <c r="AB447" s="2527"/>
      <c r="AC447" s="2527"/>
      <c r="AD447" s="2527"/>
      <c r="AE447" s="2527"/>
      <c r="AF447" s="591"/>
      <c r="AG447" s="591"/>
      <c r="AH447" s="591"/>
      <c r="AI447" s="591"/>
      <c r="AJ447" s="591"/>
      <c r="AK447" s="591"/>
      <c r="AL447" s="720"/>
      <c r="AM447" s="570"/>
      <c r="AN447" s="597"/>
    </row>
    <row r="448" spans="1:60" s="550" customFormat="1" ht="12.75" customHeight="1">
      <c r="A448" s="536"/>
      <c r="B448" s="14"/>
      <c r="C448" s="751"/>
      <c r="D448" s="730"/>
      <c r="E448" s="719"/>
      <c r="F448" s="2527"/>
      <c r="G448" s="2527"/>
      <c r="H448" s="2527"/>
      <c r="I448" s="2527"/>
      <c r="J448" s="2527"/>
      <c r="K448" s="2527"/>
      <c r="L448" s="2527"/>
      <c r="M448" s="2527"/>
      <c r="N448" s="2527"/>
      <c r="O448" s="2527"/>
      <c r="P448" s="2527"/>
      <c r="Q448" s="2527"/>
      <c r="R448" s="2527"/>
      <c r="S448" s="2527"/>
      <c r="T448" s="2527"/>
      <c r="U448" s="2527"/>
      <c r="V448" s="2527"/>
      <c r="W448" s="2527"/>
      <c r="X448" s="2527"/>
      <c r="Y448" s="2527"/>
      <c r="Z448" s="2527"/>
      <c r="AA448" s="2527"/>
      <c r="AB448" s="2527"/>
      <c r="AC448" s="2527"/>
      <c r="AD448" s="2527"/>
      <c r="AE448" s="2527"/>
      <c r="AL448" s="732"/>
      <c r="AM448" s="570"/>
      <c r="AN448" s="597"/>
    </row>
    <row r="449" spans="1:40" s="550" customFormat="1" ht="12.75" customHeight="1">
      <c r="A449" s="536"/>
      <c r="B449" s="14"/>
      <c r="C449" s="2523" t="s">
        <v>591</v>
      </c>
      <c r="D449" s="2480"/>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1462</v>
      </c>
      <c r="AG449" s="2447"/>
      <c r="AH449" s="2447"/>
      <c r="AI449" s="2447"/>
      <c r="AJ449" s="2447"/>
      <c r="AK449" s="2447"/>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9" t="s">
        <v>591</v>
      </c>
      <c r="D453" s="2530"/>
      <c r="E453" s="715" t="s">
        <v>1497</v>
      </c>
      <c r="F453" s="2526" t="s">
        <v>1498</v>
      </c>
      <c r="G453" s="2526"/>
      <c r="H453" s="2526"/>
      <c r="I453" s="2526"/>
      <c r="J453" s="2526"/>
      <c r="K453" s="2526"/>
      <c r="L453" s="2526"/>
      <c r="M453" s="2526"/>
      <c r="N453" s="2526"/>
      <c r="O453" s="2526"/>
      <c r="P453" s="2526"/>
      <c r="Q453" s="2526"/>
      <c r="R453" s="2526"/>
      <c r="S453" s="2526"/>
      <c r="T453" s="2526"/>
      <c r="U453" s="2526"/>
      <c r="V453" s="2526"/>
      <c r="W453" s="2526"/>
      <c r="X453" s="2526"/>
      <c r="Y453" s="2526"/>
      <c r="Z453" s="2526"/>
      <c r="AA453" s="2526"/>
      <c r="AB453" s="2526"/>
      <c r="AC453" s="2526"/>
      <c r="AD453" s="2526"/>
      <c r="AE453" s="2526"/>
      <c r="AF453" s="2547" t="s">
        <v>1462</v>
      </c>
      <c r="AG453" s="2547"/>
      <c r="AH453" s="2547"/>
      <c r="AI453" s="2547"/>
      <c r="AJ453" s="2547"/>
      <c r="AK453" s="2547"/>
      <c r="AL453" s="2548"/>
      <c r="AM453" s="570"/>
      <c r="AN453" s="753"/>
    </row>
    <row r="454" spans="1:40" s="550" customFormat="1" ht="12.75" customHeight="1">
      <c r="A454" s="536"/>
      <c r="B454" s="14"/>
      <c r="C454" s="751"/>
      <c r="D454" s="730"/>
      <c r="E454" s="719"/>
      <c r="F454" s="2527"/>
      <c r="G454" s="2527"/>
      <c r="H454" s="2527"/>
      <c r="I454" s="2527"/>
      <c r="J454" s="2527"/>
      <c r="K454" s="2527"/>
      <c r="L454" s="2527"/>
      <c r="M454" s="2527"/>
      <c r="N454" s="2527"/>
      <c r="O454" s="2527"/>
      <c r="P454" s="2527"/>
      <c r="Q454" s="2527"/>
      <c r="R454" s="2527"/>
      <c r="S454" s="2527"/>
      <c r="T454" s="2527"/>
      <c r="U454" s="2527"/>
      <c r="V454" s="2527"/>
      <c r="W454" s="2527"/>
      <c r="X454" s="2527"/>
      <c r="Y454" s="2527"/>
      <c r="Z454" s="2527"/>
      <c r="AA454" s="2527"/>
      <c r="AB454" s="2527"/>
      <c r="AC454" s="2527"/>
      <c r="AD454" s="2527"/>
      <c r="AE454" s="2527"/>
      <c r="AF454" s="591"/>
      <c r="AG454" s="591"/>
      <c r="AH454" s="591"/>
      <c r="AI454" s="591"/>
      <c r="AJ454" s="591"/>
      <c r="AK454" s="591"/>
      <c r="AL454" s="720"/>
      <c r="AM454" s="570"/>
      <c r="AN454" s="754"/>
    </row>
    <row r="455" spans="1:40" s="550" customFormat="1" ht="17.850000000000001" customHeight="1">
      <c r="A455" s="536"/>
      <c r="B455" s="14"/>
      <c r="C455" s="756"/>
      <c r="D455" s="723"/>
      <c r="E455" s="724"/>
      <c r="F455" s="2546"/>
      <c r="G455" s="2546"/>
      <c r="H455" s="2546"/>
      <c r="I455" s="2546"/>
      <c r="J455" s="2546"/>
      <c r="K455" s="2546"/>
      <c r="L455" s="2546"/>
      <c r="M455" s="2546"/>
      <c r="N455" s="2546"/>
      <c r="O455" s="2546"/>
      <c r="P455" s="2546"/>
      <c r="Q455" s="2546"/>
      <c r="R455" s="2546"/>
      <c r="S455" s="2546"/>
      <c r="T455" s="2546"/>
      <c r="U455" s="2546"/>
      <c r="V455" s="2546"/>
      <c r="W455" s="2546"/>
      <c r="X455" s="2546"/>
      <c r="Y455" s="2546"/>
      <c r="Z455" s="2546"/>
      <c r="AA455" s="2546"/>
      <c r="AB455" s="2546"/>
      <c r="AC455" s="2546"/>
      <c r="AD455" s="2546"/>
      <c r="AE455" s="254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3" t="s">
        <v>591</v>
      </c>
      <c r="D457" s="2480"/>
      <c r="E457" s="715" t="s">
        <v>1503</v>
      </c>
      <c r="F457" s="2526" t="s">
        <v>1504</v>
      </c>
      <c r="G457" s="2526"/>
      <c r="H457" s="2526"/>
      <c r="I457" s="2526"/>
      <c r="J457" s="2526"/>
      <c r="K457" s="2526"/>
      <c r="L457" s="2526"/>
      <c r="M457" s="2526"/>
      <c r="N457" s="2526"/>
      <c r="O457" s="2526"/>
      <c r="P457" s="2526"/>
      <c r="Q457" s="2526"/>
      <c r="R457" s="2526"/>
      <c r="S457" s="2526"/>
      <c r="T457" s="2526"/>
      <c r="U457" s="2526"/>
      <c r="V457" s="2526"/>
      <c r="W457" s="2526"/>
      <c r="X457" s="2526"/>
      <c r="Y457" s="2526"/>
      <c r="Z457" s="2526"/>
      <c r="AA457" s="2526"/>
      <c r="AB457" s="2526"/>
      <c r="AC457" s="2526"/>
      <c r="AD457" s="2526"/>
      <c r="AE457" s="2526"/>
      <c r="AF457" s="2547" t="s">
        <v>1462</v>
      </c>
      <c r="AG457" s="2547"/>
      <c r="AH457" s="2547"/>
      <c r="AI457" s="2547"/>
      <c r="AJ457" s="2547"/>
      <c r="AK457" s="2547"/>
      <c r="AL457" s="2548"/>
      <c r="AM457" s="570"/>
      <c r="AN457" s="535"/>
    </row>
    <row r="458" spans="1:40" s="550" customFormat="1" ht="12.75" customHeight="1">
      <c r="A458" s="536"/>
      <c r="B458" s="14"/>
      <c r="C458" s="731"/>
      <c r="D458" s="14"/>
      <c r="E458" s="691"/>
      <c r="F458" s="2527"/>
      <c r="G458" s="2527"/>
      <c r="H458" s="2527"/>
      <c r="I458" s="2527"/>
      <c r="J458" s="2527"/>
      <c r="K458" s="2527"/>
      <c r="L458" s="2527"/>
      <c r="M458" s="2527"/>
      <c r="N458" s="2527"/>
      <c r="O458" s="2527"/>
      <c r="P458" s="2527"/>
      <c r="Q458" s="2527"/>
      <c r="R458" s="2527"/>
      <c r="S458" s="2527"/>
      <c r="T458" s="2527"/>
      <c r="U458" s="2527"/>
      <c r="V458" s="2527"/>
      <c r="W458" s="2527"/>
      <c r="X458" s="2527"/>
      <c r="Y458" s="2527"/>
      <c r="Z458" s="2527"/>
      <c r="AA458" s="2527"/>
      <c r="AB458" s="2527"/>
      <c r="AC458" s="2527"/>
      <c r="AD458" s="2527"/>
      <c r="AE458" s="2527"/>
      <c r="AF458" s="539"/>
      <c r="AG458" s="536"/>
      <c r="AL458" s="732"/>
      <c r="AM458" s="570"/>
      <c r="AN458" s="535"/>
    </row>
    <row r="459" spans="1:40" s="550" customFormat="1" ht="12.75" customHeight="1">
      <c r="A459" s="536"/>
      <c r="B459" s="14"/>
      <c r="C459" s="731"/>
      <c r="D459" s="14"/>
      <c r="E459" s="691"/>
      <c r="F459" s="2527"/>
      <c r="G459" s="2527"/>
      <c r="H459" s="2527"/>
      <c r="I459" s="2527"/>
      <c r="J459" s="2527"/>
      <c r="K459" s="2527"/>
      <c r="L459" s="2527"/>
      <c r="M459" s="2527"/>
      <c r="N459" s="2527"/>
      <c r="O459" s="2527"/>
      <c r="P459" s="2527"/>
      <c r="Q459" s="2527"/>
      <c r="R459" s="2527"/>
      <c r="S459" s="2527"/>
      <c r="T459" s="2527"/>
      <c r="U459" s="2527"/>
      <c r="V459" s="2527"/>
      <c r="W459" s="2527"/>
      <c r="X459" s="2527"/>
      <c r="Y459" s="2527"/>
      <c r="Z459" s="2527"/>
      <c r="AA459" s="2527"/>
      <c r="AB459" s="2527"/>
      <c r="AC459" s="2527"/>
      <c r="AD459" s="2527"/>
      <c r="AE459" s="2527"/>
      <c r="AF459" s="539"/>
      <c r="AG459" s="536"/>
      <c r="AL459" s="732"/>
      <c r="AM459" s="570"/>
      <c r="AN459" s="535"/>
    </row>
    <row r="460" spans="1:40" s="550" customFormat="1" ht="12.75" customHeight="1">
      <c r="A460" s="536"/>
      <c r="B460" s="14"/>
      <c r="C460" s="756"/>
      <c r="D460" s="723"/>
      <c r="E460" s="724"/>
      <c r="F460" s="2546"/>
      <c r="G460" s="2546"/>
      <c r="H460" s="2546"/>
      <c r="I460" s="2546"/>
      <c r="J460" s="2546"/>
      <c r="K460" s="2546"/>
      <c r="L460" s="2546"/>
      <c r="M460" s="2546"/>
      <c r="N460" s="2546"/>
      <c r="O460" s="2546"/>
      <c r="P460" s="2546"/>
      <c r="Q460" s="2546"/>
      <c r="R460" s="2546"/>
      <c r="S460" s="2546"/>
      <c r="T460" s="2546"/>
      <c r="U460" s="2546"/>
      <c r="V460" s="2546"/>
      <c r="W460" s="2546"/>
      <c r="X460" s="2546"/>
      <c r="Y460" s="2546"/>
      <c r="Z460" s="2546"/>
      <c r="AA460" s="2546"/>
      <c r="AB460" s="2546"/>
      <c r="AC460" s="2546"/>
      <c r="AD460" s="2546"/>
      <c r="AE460" s="254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6" t="s">
        <v>1507</v>
      </c>
      <c r="G462" s="2526"/>
      <c r="H462" s="2526"/>
      <c r="I462" s="2526"/>
      <c r="J462" s="2526"/>
      <c r="K462" s="2526"/>
      <c r="L462" s="2526"/>
      <c r="M462" s="2526"/>
      <c r="N462" s="2526"/>
      <c r="O462" s="2526"/>
      <c r="P462" s="2526"/>
      <c r="Q462" s="2526"/>
      <c r="R462" s="2526"/>
      <c r="S462" s="2526"/>
      <c r="T462" s="2526"/>
      <c r="U462" s="2526"/>
      <c r="V462" s="2526"/>
      <c r="W462" s="2526"/>
      <c r="X462" s="2526"/>
      <c r="Y462" s="2526"/>
      <c r="Z462" s="2526"/>
      <c r="AA462" s="2526"/>
      <c r="AB462" s="2526"/>
      <c r="AC462" s="2526"/>
      <c r="AD462" s="2526"/>
      <c r="AE462" s="2526"/>
      <c r="AF462" s="2526"/>
      <c r="AG462" s="744"/>
      <c r="AH462" s="714"/>
      <c r="AI462" s="714"/>
      <c r="AJ462" s="714"/>
      <c r="AK462" s="714"/>
      <c r="AL462" s="745"/>
      <c r="AM462" s="570"/>
      <c r="AN462" s="597"/>
    </row>
    <row r="463" spans="1:40" s="550" customFormat="1" ht="12.75" customHeight="1">
      <c r="A463" s="536"/>
      <c r="B463" s="14"/>
      <c r="C463" s="731"/>
      <c r="D463" s="14"/>
      <c r="E463" s="691"/>
      <c r="F463" s="2527"/>
      <c r="G463" s="2527"/>
      <c r="H463" s="2527"/>
      <c r="I463" s="2527"/>
      <c r="J463" s="2527"/>
      <c r="K463" s="2527"/>
      <c r="L463" s="2527"/>
      <c r="M463" s="2527"/>
      <c r="N463" s="2527"/>
      <c r="O463" s="2527"/>
      <c r="P463" s="2527"/>
      <c r="Q463" s="2527"/>
      <c r="R463" s="2527"/>
      <c r="S463" s="2527"/>
      <c r="T463" s="2527"/>
      <c r="U463" s="2527"/>
      <c r="V463" s="2527"/>
      <c r="W463" s="2527"/>
      <c r="X463" s="2527"/>
      <c r="Y463" s="2527"/>
      <c r="Z463" s="2527"/>
      <c r="AA463" s="2527"/>
      <c r="AB463" s="2527"/>
      <c r="AC463" s="2527"/>
      <c r="AD463" s="2527"/>
      <c r="AE463" s="2527"/>
      <c r="AF463" s="2527"/>
      <c r="AL463" s="732"/>
      <c r="AM463" s="570"/>
      <c r="AN463" s="597"/>
    </row>
    <row r="464" spans="1:40" s="550" customFormat="1" ht="12.75" customHeight="1">
      <c r="A464" s="536"/>
      <c r="B464" s="14"/>
      <c r="C464" s="739"/>
      <c r="F464" s="2527"/>
      <c r="G464" s="2527"/>
      <c r="H464" s="2527"/>
      <c r="I464" s="2527"/>
      <c r="J464" s="2527"/>
      <c r="K464" s="2527"/>
      <c r="L464" s="2527"/>
      <c r="M464" s="2527"/>
      <c r="N464" s="2527"/>
      <c r="O464" s="2527"/>
      <c r="P464" s="2527"/>
      <c r="Q464" s="2527"/>
      <c r="R464" s="2527"/>
      <c r="S464" s="2527"/>
      <c r="T464" s="2527"/>
      <c r="U464" s="2527"/>
      <c r="V464" s="2527"/>
      <c r="W464" s="2527"/>
      <c r="X464" s="2527"/>
      <c r="Y464" s="2527"/>
      <c r="Z464" s="2527"/>
      <c r="AA464" s="2527"/>
      <c r="AB464" s="2527"/>
      <c r="AC464" s="2527"/>
      <c r="AD464" s="2527"/>
      <c r="AE464" s="2527"/>
      <c r="AF464" s="2527"/>
      <c r="AL464" s="732"/>
      <c r="AM464" s="570"/>
      <c r="AN464" s="597"/>
    </row>
    <row r="465" spans="1:58" s="550" customFormat="1" ht="12.75" customHeight="1">
      <c r="A465" s="536"/>
      <c r="B465" s="14"/>
      <c r="C465" s="739"/>
      <c r="F465" s="2527"/>
      <c r="G465" s="2527"/>
      <c r="H465" s="2527"/>
      <c r="I465" s="2527"/>
      <c r="J465" s="2527"/>
      <c r="K465" s="2527"/>
      <c r="L465" s="2527"/>
      <c r="M465" s="2527"/>
      <c r="N465" s="2527"/>
      <c r="O465" s="2527"/>
      <c r="P465" s="2527"/>
      <c r="Q465" s="2527"/>
      <c r="R465" s="2527"/>
      <c r="S465" s="2527"/>
      <c r="T465" s="2527"/>
      <c r="U465" s="2527"/>
      <c r="V465" s="2527"/>
      <c r="W465" s="2527"/>
      <c r="X465" s="2527"/>
      <c r="Y465" s="2527"/>
      <c r="Z465" s="2527"/>
      <c r="AA465" s="2527"/>
      <c r="AB465" s="2527"/>
      <c r="AC465" s="2527"/>
      <c r="AD465" s="2527"/>
      <c r="AE465" s="2527"/>
      <c r="AF465" s="2527"/>
      <c r="AL465" s="732"/>
      <c r="AM465" s="570"/>
      <c r="AN465" s="597"/>
    </row>
    <row r="466" spans="1:58" s="550" customFormat="1" ht="12.75" customHeight="1">
      <c r="A466" s="536"/>
      <c r="B466" s="14"/>
      <c r="C466" s="2523" t="s">
        <v>591</v>
      </c>
      <c r="D466" s="2480"/>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4" t="s">
        <v>1462</v>
      </c>
      <c r="AG466" s="2524"/>
      <c r="AH466" s="2524"/>
      <c r="AI466" s="2524"/>
      <c r="AJ466" s="2524"/>
      <c r="AK466" s="2524"/>
      <c r="AL466" s="252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3">
        <f>IF(Application!D214="N/A",AS358,AS360)</f>
        <v>10</v>
      </c>
      <c r="AL469" s="2484"/>
      <c r="AM469" s="248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4" t="s">
        <v>1511</v>
      </c>
      <c r="AF472" s="2524"/>
      <c r="AG472" s="2524"/>
      <c r="AH472" s="2524"/>
      <c r="AI472" s="2524"/>
      <c r="AJ472" s="2524"/>
      <c r="AK472" s="2524"/>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9" t="s">
        <v>591</v>
      </c>
      <c r="D478" s="2550"/>
      <c r="E478" s="761" t="s">
        <v>507</v>
      </c>
      <c r="F478" s="2551" t="s">
        <v>1517</v>
      </c>
      <c r="G478" s="2551"/>
      <c r="H478" s="2551"/>
      <c r="I478" s="2551"/>
      <c r="J478" s="2551"/>
      <c r="K478" s="2551"/>
      <c r="L478" s="2551"/>
      <c r="M478" s="2551"/>
      <c r="N478" s="2551"/>
      <c r="O478" s="2551"/>
      <c r="P478" s="2551"/>
      <c r="Q478" s="2551"/>
      <c r="R478" s="2551"/>
      <c r="S478" s="2551"/>
      <c r="T478" s="2551"/>
      <c r="U478" s="2551"/>
      <c r="V478" s="2551"/>
      <c r="W478" s="2551"/>
      <c r="X478" s="2551"/>
      <c r="Y478" s="2551"/>
      <c r="Z478" s="2551"/>
      <c r="AA478" s="2551"/>
      <c r="AB478" s="2551"/>
      <c r="AC478" s="2551"/>
      <c r="AD478" s="2551"/>
      <c r="AE478" s="2551"/>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52"/>
      <c r="G479" s="2552"/>
      <c r="H479" s="2552"/>
      <c r="I479" s="2552"/>
      <c r="J479" s="2552"/>
      <c r="K479" s="2552"/>
      <c r="L479" s="2552"/>
      <c r="M479" s="2552"/>
      <c r="N479" s="2552"/>
      <c r="O479" s="2552"/>
      <c r="P479" s="2552"/>
      <c r="Q479" s="2552"/>
      <c r="R479" s="2552"/>
      <c r="S479" s="2552"/>
      <c r="T479" s="2552"/>
      <c r="U479" s="2552"/>
      <c r="V479" s="2552"/>
      <c r="W479" s="2552"/>
      <c r="X479" s="2552"/>
      <c r="Y479" s="2552"/>
      <c r="Z479" s="2552"/>
      <c r="AA479" s="2552"/>
      <c r="AB479" s="2552"/>
      <c r="AC479" s="2552"/>
      <c r="AD479" s="2552"/>
      <c r="AE479" s="2552"/>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5" t="s">
        <v>591</v>
      </c>
      <c r="G480" s="2625"/>
      <c r="H480" s="2625"/>
      <c r="I480" s="2625"/>
      <c r="J480" s="2625"/>
      <c r="K480" s="2625"/>
      <c r="L480" s="2625"/>
      <c r="M480" s="2625"/>
      <c r="N480" s="2625"/>
      <c r="O480" s="2625"/>
      <c r="P480" s="2625"/>
      <c r="Q480" s="2625"/>
      <c r="R480" s="2625"/>
      <c r="S480" s="2625"/>
      <c r="T480" s="2625"/>
      <c r="U480" s="2625"/>
      <c r="V480" s="2625"/>
      <c r="W480" s="2625"/>
      <c r="X480" s="2625"/>
      <c r="Y480" s="2625"/>
      <c r="Z480" s="2625"/>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6" t="s">
        <v>545</v>
      </c>
      <c r="D482" s="2627"/>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4" t="s">
        <v>591</v>
      </c>
      <c r="W485" s="2624"/>
      <c r="X485" s="2624"/>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4" t="s">
        <v>591</v>
      </c>
      <c r="W487" s="2624"/>
      <c r="X487" s="2624"/>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4" t="s">
        <v>591</v>
      </c>
      <c r="W492" s="2624"/>
      <c r="X492" s="2624"/>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4"/>
      <c r="E495" s="2614"/>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4" t="s">
        <v>591</v>
      </c>
      <c r="W496" s="2624"/>
      <c r="X496" s="2624"/>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4" t="s">
        <v>591</v>
      </c>
      <c r="W498" s="2624"/>
      <c r="X498" s="2624"/>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9" t="s">
        <v>591</v>
      </c>
      <c r="D501" s="2550"/>
      <c r="E501" s="761" t="s">
        <v>507</v>
      </c>
      <c r="F501" s="2551" t="s">
        <v>1517</v>
      </c>
      <c r="G501" s="2551"/>
      <c r="H501" s="2551"/>
      <c r="I501" s="2551"/>
      <c r="J501" s="2551"/>
      <c r="K501" s="2551"/>
      <c r="L501" s="2551"/>
      <c r="M501" s="2551"/>
      <c r="N501" s="2551"/>
      <c r="O501" s="2551"/>
      <c r="P501" s="2551"/>
      <c r="Q501" s="2551"/>
      <c r="R501" s="2551"/>
      <c r="S501" s="2551"/>
      <c r="T501" s="2551"/>
      <c r="U501" s="2551"/>
      <c r="V501" s="2551"/>
      <c r="W501" s="2551"/>
      <c r="X501" s="2551"/>
      <c r="Y501" s="2551"/>
      <c r="Z501" s="2551"/>
      <c r="AA501" s="2551"/>
      <c r="AB501" s="2551"/>
      <c r="AC501" s="2551"/>
      <c r="AD501" s="2551"/>
      <c r="AE501" s="255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2"/>
      <c r="G502" s="2552"/>
      <c r="H502" s="2552"/>
      <c r="I502" s="2552"/>
      <c r="J502" s="2552"/>
      <c r="K502" s="2552"/>
      <c r="L502" s="2552"/>
      <c r="M502" s="2552"/>
      <c r="N502" s="2552"/>
      <c r="O502" s="2552"/>
      <c r="P502" s="2552"/>
      <c r="Q502" s="2552"/>
      <c r="R502" s="2552"/>
      <c r="S502" s="2552"/>
      <c r="T502" s="2552"/>
      <c r="U502" s="2552"/>
      <c r="V502" s="2552"/>
      <c r="W502" s="2552"/>
      <c r="X502" s="2552"/>
      <c r="Y502" s="2552"/>
      <c r="Z502" s="2552"/>
      <c r="AA502" s="2552"/>
      <c r="AB502" s="2552"/>
      <c r="AC502" s="2552"/>
      <c r="AD502" s="2552"/>
      <c r="AE502" s="255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20" t="s">
        <v>591</v>
      </c>
      <c r="G503" s="2620"/>
      <c r="H503" s="2620"/>
      <c r="I503" s="2620"/>
      <c r="J503" s="2620"/>
      <c r="K503" s="2620"/>
      <c r="L503" s="2620"/>
      <c r="M503" s="2620"/>
      <c r="N503" s="2620"/>
      <c r="O503" s="2620"/>
      <c r="P503" s="2620"/>
      <c r="Q503" s="2620"/>
      <c r="R503" s="2620"/>
      <c r="S503" s="2620"/>
      <c r="T503" s="2620"/>
      <c r="U503" s="2620"/>
      <c r="V503" s="2620"/>
      <c r="W503" s="2620"/>
      <c r="X503" s="2620"/>
      <c r="Y503" s="2620"/>
      <c r="Z503" s="2620"/>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9" t="s">
        <v>591</v>
      </c>
      <c r="D505" s="2550"/>
      <c r="E505" s="761" t="s">
        <v>757</v>
      </c>
      <c r="F505" s="2621" t="s">
        <v>1539</v>
      </c>
      <c r="G505" s="2621"/>
      <c r="H505" s="2621"/>
      <c r="I505" s="2621"/>
      <c r="J505" s="2621"/>
      <c r="K505" s="2621"/>
      <c r="L505" s="2621"/>
      <c r="M505" s="2621"/>
      <c r="N505" s="2621"/>
      <c r="O505" s="2621"/>
      <c r="P505" s="2621"/>
      <c r="Q505" s="2621"/>
      <c r="R505" s="2621"/>
      <c r="S505" s="2621"/>
      <c r="T505" s="2621"/>
      <c r="U505" s="2621"/>
      <c r="V505" s="2621"/>
      <c r="W505" s="2621"/>
      <c r="X505" s="2621"/>
      <c r="Y505" s="2621"/>
      <c r="Z505" s="2621"/>
      <c r="AA505" s="2621"/>
      <c r="AB505" s="2621"/>
      <c r="AC505" s="2621"/>
      <c r="AD505" s="2621"/>
      <c r="AE505" s="262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2"/>
      <c r="G506" s="2622"/>
      <c r="H506" s="2622"/>
      <c r="I506" s="2622"/>
      <c r="J506" s="2622"/>
      <c r="K506" s="2622"/>
      <c r="L506" s="2622"/>
      <c r="M506" s="2622"/>
      <c r="N506" s="2622"/>
      <c r="O506" s="2622"/>
      <c r="P506" s="2622"/>
      <c r="Q506" s="2622"/>
      <c r="R506" s="2622"/>
      <c r="S506" s="2622"/>
      <c r="T506" s="2622"/>
      <c r="U506" s="2622"/>
      <c r="V506" s="2622"/>
      <c r="W506" s="2622"/>
      <c r="X506" s="2622"/>
      <c r="Y506" s="2622"/>
      <c r="Z506" s="2622"/>
      <c r="AA506" s="2622"/>
      <c r="AB506" s="2622"/>
      <c r="AC506" s="2622"/>
      <c r="AD506" s="2622"/>
      <c r="AE506" s="262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3" t="s">
        <v>591</v>
      </c>
      <c r="G508" s="2623"/>
      <c r="H508" s="262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9" t="s">
        <v>591</v>
      </c>
      <c r="D510" s="2550"/>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3"/>
      <c r="D512" s="2614"/>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5" t="s">
        <v>591</v>
      </c>
      <c r="H513" s="2615"/>
      <c r="I513" s="2615"/>
      <c r="J513" s="2615"/>
      <c r="K513" s="2615"/>
      <c r="L513" s="2615"/>
      <c r="M513" s="2615"/>
      <c r="N513" s="2615"/>
      <c r="O513" s="2615"/>
      <c r="P513" s="2615"/>
      <c r="Q513" s="2615"/>
      <c r="R513" s="2615"/>
      <c r="S513" s="2615"/>
      <c r="T513" s="2615"/>
      <c r="U513" s="2615"/>
      <c r="V513" s="2615"/>
      <c r="W513" s="2615"/>
      <c r="X513" s="2615"/>
      <c r="Y513" s="2615"/>
      <c r="Z513" s="2615"/>
      <c r="AA513" s="2615"/>
      <c r="AB513" s="2615"/>
      <c r="AC513" s="2615"/>
      <c r="AD513" s="2615"/>
      <c r="AE513" s="2615"/>
      <c r="AF513" s="261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3" t="s">
        <v>591</v>
      </c>
      <c r="D515" s="2554"/>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3" t="s">
        <v>591</v>
      </c>
      <c r="D519" s="2554"/>
      <c r="F519" s="795" t="s">
        <v>1547</v>
      </c>
      <c r="G519" s="2527" t="s">
        <v>1548</v>
      </c>
      <c r="H519" s="2527"/>
      <c r="I519" s="2527"/>
      <c r="J519" s="2527"/>
      <c r="K519" s="2527"/>
      <c r="L519" s="2527"/>
      <c r="M519" s="2527"/>
      <c r="N519" s="2527"/>
      <c r="O519" s="2527"/>
      <c r="P519" s="2527"/>
      <c r="Q519" s="2527"/>
      <c r="R519" s="2527"/>
      <c r="S519" s="2527"/>
      <c r="T519" s="2527"/>
      <c r="U519" s="2527"/>
      <c r="V519" s="2527"/>
      <c r="W519" s="2527"/>
      <c r="X519" s="2527"/>
      <c r="Y519" s="2527"/>
      <c r="Z519" s="2527"/>
      <c r="AA519" s="2527"/>
      <c r="AB519" s="2527"/>
      <c r="AC519" s="2527"/>
      <c r="AD519" s="2527"/>
      <c r="AE519" s="2527"/>
      <c r="AF519" s="2527"/>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6"/>
      <c r="H520" s="2546"/>
      <c r="I520" s="2546"/>
      <c r="J520" s="2546"/>
      <c r="K520" s="2546"/>
      <c r="L520" s="2546"/>
      <c r="M520" s="2546"/>
      <c r="N520" s="2546"/>
      <c r="O520" s="2546"/>
      <c r="P520" s="2546"/>
      <c r="Q520" s="2546"/>
      <c r="R520" s="2546"/>
      <c r="S520" s="2546"/>
      <c r="T520" s="2546"/>
      <c r="U520" s="2546"/>
      <c r="V520" s="2546"/>
      <c r="W520" s="2546"/>
      <c r="X520" s="2546"/>
      <c r="Y520" s="2546"/>
      <c r="Z520" s="2546"/>
      <c r="AA520" s="2546"/>
      <c r="AB520" s="2546"/>
      <c r="AC520" s="2546"/>
      <c r="AD520" s="2546"/>
      <c r="AE520" s="2546"/>
      <c r="AF520" s="254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5" t="s">
        <v>591</v>
      </c>
      <c r="D523" s="2556"/>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7" t="s">
        <v>591</v>
      </c>
      <c r="G524" s="2557"/>
      <c r="H524" s="2557"/>
      <c r="I524" s="2557"/>
      <c r="J524" s="2557"/>
      <c r="K524" s="2557"/>
      <c r="L524" s="2557"/>
      <c r="M524" s="2557"/>
      <c r="N524" s="2557"/>
      <c r="O524" s="2557"/>
      <c r="P524" s="2557"/>
      <c r="Q524" s="2557"/>
      <c r="R524" s="2557"/>
      <c r="S524" s="2557"/>
      <c r="T524" s="2557"/>
      <c r="U524" s="2557"/>
      <c r="V524" s="2557"/>
      <c r="W524" s="2557"/>
      <c r="X524" s="2557"/>
      <c r="Y524" s="2557"/>
      <c r="Z524" s="2557"/>
      <c r="AA524" s="2557"/>
      <c r="AB524" s="2557"/>
      <c r="AC524" s="2557"/>
      <c r="AD524" s="2557"/>
      <c r="AE524" s="2557"/>
      <c r="AF524" s="255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8"/>
      <c r="G525" s="2558"/>
      <c r="H525" s="2558"/>
      <c r="I525" s="2558"/>
      <c r="J525" s="2558"/>
      <c r="K525" s="2558"/>
      <c r="L525" s="2558"/>
      <c r="M525" s="2558"/>
      <c r="N525" s="2558"/>
      <c r="O525" s="2558"/>
      <c r="P525" s="2558"/>
      <c r="Q525" s="2558"/>
      <c r="R525" s="2558"/>
      <c r="S525" s="2558"/>
      <c r="T525" s="2558"/>
      <c r="U525" s="2558"/>
      <c r="V525" s="2558"/>
      <c r="W525" s="2558"/>
      <c r="X525" s="2558"/>
      <c r="Y525" s="2558"/>
      <c r="Z525" s="2558"/>
      <c r="AA525" s="2558"/>
      <c r="AB525" s="2558"/>
      <c r="AC525" s="2558"/>
      <c r="AD525" s="2558"/>
      <c r="AE525" s="2558"/>
      <c r="AF525" s="255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3">
        <f>SUM(AG479:AG524)</f>
        <v>0</v>
      </c>
      <c r="AL535" s="2484"/>
      <c r="AM535" s="248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1560</v>
      </c>
      <c r="AF538" s="2412"/>
      <c r="AG538" s="2412"/>
      <c r="AH538" s="2412"/>
      <c r="AI538" s="2412"/>
      <c r="AJ538" s="2412"/>
      <c r="AK538" s="241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80" t="s">
        <v>545</v>
      </c>
      <c r="D541" s="2480"/>
      <c r="E541" s="551"/>
      <c r="F541" s="2607" t="s">
        <v>1561</v>
      </c>
      <c r="G541" s="2608"/>
      <c r="H541" s="2608"/>
      <c r="I541" s="2608"/>
      <c r="J541" s="2608"/>
      <c r="K541" s="2608"/>
      <c r="L541" s="2608"/>
      <c r="M541" s="2608"/>
      <c r="N541" s="2608"/>
      <c r="O541" s="2608"/>
      <c r="P541" s="2608"/>
      <c r="Q541" s="2608"/>
      <c r="R541" s="2608"/>
      <c r="S541" s="2608"/>
      <c r="T541" s="2608"/>
      <c r="U541" s="2608"/>
      <c r="V541" s="2608"/>
      <c r="W541" s="2608"/>
      <c r="X541" s="2608"/>
      <c r="Y541" s="2608"/>
      <c r="Z541" s="2608"/>
      <c r="AA541" s="2608"/>
      <c r="AB541" s="2608"/>
      <c r="AC541" s="2608"/>
      <c r="AD541" s="2608"/>
      <c r="AE541" s="2608"/>
      <c r="AF541" s="2608"/>
      <c r="AG541" s="2608"/>
      <c r="AH541" s="2608"/>
      <c r="AI541" s="2608"/>
      <c r="AJ541" s="2608"/>
      <c r="AK541" s="2608"/>
      <c r="AL541" s="2609"/>
      <c r="AM541" s="595"/>
      <c r="AN541" s="597"/>
    </row>
    <row r="542" spans="1:81" s="550" customFormat="1" ht="12.75" customHeight="1">
      <c r="A542" s="539"/>
      <c r="B542" s="539"/>
      <c r="C542" s="551"/>
      <c r="D542" s="551"/>
      <c r="E542" s="551"/>
      <c r="F542" s="2610"/>
      <c r="G542" s="2611"/>
      <c r="H542" s="2611"/>
      <c r="I542" s="2611"/>
      <c r="J542" s="2611"/>
      <c r="K542" s="2611"/>
      <c r="L542" s="2611"/>
      <c r="M542" s="2611"/>
      <c r="N542" s="2611"/>
      <c r="O542" s="2611"/>
      <c r="P542" s="2611"/>
      <c r="Q542" s="2611"/>
      <c r="R542" s="2611"/>
      <c r="S542" s="2611"/>
      <c r="T542" s="2611"/>
      <c r="U542" s="2611"/>
      <c r="V542" s="2611"/>
      <c r="W542" s="2611"/>
      <c r="X542" s="2611"/>
      <c r="Y542" s="2611"/>
      <c r="Z542" s="2611"/>
      <c r="AA542" s="2611"/>
      <c r="AB542" s="2611"/>
      <c r="AC542" s="2611"/>
      <c r="AD542" s="2611"/>
      <c r="AE542" s="2611"/>
      <c r="AF542" s="2611"/>
      <c r="AG542" s="2611"/>
      <c r="AH542" s="2611"/>
      <c r="AI542" s="2611"/>
      <c r="AJ542" s="2611"/>
      <c r="AK542" s="2611"/>
      <c r="AL542" s="261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80" t="s">
        <v>591</v>
      </c>
      <c r="D544" s="2480"/>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2" t="s">
        <v>1563</v>
      </c>
      <c r="G545" s="2503"/>
      <c r="H545" s="2503"/>
      <c r="I545" s="2503"/>
      <c r="J545" s="2503"/>
      <c r="K545" s="2503"/>
      <c r="L545" s="2503"/>
      <c r="M545" s="2503"/>
      <c r="N545" s="2503"/>
      <c r="O545" s="2503"/>
      <c r="P545" s="2503"/>
      <c r="Q545" s="2503"/>
      <c r="R545" s="2503"/>
      <c r="S545" s="2503"/>
      <c r="T545" s="2503"/>
      <c r="U545" s="2503"/>
      <c r="V545" s="2503"/>
      <c r="W545" s="2503"/>
      <c r="X545" s="2503"/>
      <c r="Y545" s="2503"/>
      <c r="Z545" s="2503"/>
      <c r="AA545" s="2503"/>
      <c r="AB545" s="2503"/>
      <c r="AC545" s="2503"/>
      <c r="AD545" s="2503"/>
      <c r="AE545" s="2503"/>
      <c r="AF545" s="2503"/>
      <c r="AG545" s="2503"/>
      <c r="AH545" s="2503"/>
      <c r="AI545" s="2503"/>
      <c r="AJ545" s="2503"/>
      <c r="AK545" s="2503"/>
      <c r="AL545" s="2504"/>
      <c r="AM545" s="595"/>
      <c r="AN545" s="597"/>
      <c r="AS545" s="870"/>
      <c r="AT545" s="870"/>
      <c r="AU545" s="870"/>
      <c r="AV545" s="870"/>
      <c r="AW545" s="870"/>
    </row>
    <row r="546" spans="1:49" s="550" customFormat="1" ht="12.75" customHeight="1">
      <c r="B546" s="806"/>
      <c r="C546" s="806"/>
      <c r="D546" s="806"/>
      <c r="E546" s="806"/>
      <c r="F546" s="2502"/>
      <c r="G546" s="2503"/>
      <c r="H546" s="2503"/>
      <c r="I546" s="2503"/>
      <c r="J546" s="2503"/>
      <c r="K546" s="2503"/>
      <c r="L546" s="2503"/>
      <c r="M546" s="2503"/>
      <c r="N546" s="2503"/>
      <c r="O546" s="2503"/>
      <c r="P546" s="2503"/>
      <c r="Q546" s="2503"/>
      <c r="R546" s="2503"/>
      <c r="S546" s="2503"/>
      <c r="T546" s="2503"/>
      <c r="U546" s="2503"/>
      <c r="V546" s="2503"/>
      <c r="W546" s="2503"/>
      <c r="X546" s="2503"/>
      <c r="Y546" s="2503"/>
      <c r="Z546" s="2503"/>
      <c r="AA546" s="2503"/>
      <c r="AB546" s="2503"/>
      <c r="AC546" s="2503"/>
      <c r="AD546" s="2503"/>
      <c r="AE546" s="2503"/>
      <c r="AF546" s="2503"/>
      <c r="AG546" s="2503"/>
      <c r="AH546" s="2503"/>
      <c r="AI546" s="2503"/>
      <c r="AJ546" s="2503"/>
      <c r="AK546" s="2503"/>
      <c r="AL546" s="2504"/>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2" t="s">
        <v>1564</v>
      </c>
      <c r="G548" s="2503"/>
      <c r="H548" s="2503"/>
      <c r="I548" s="2503"/>
      <c r="J548" s="2503"/>
      <c r="K548" s="2503"/>
      <c r="L548" s="2503"/>
      <c r="M548" s="2503"/>
      <c r="N548" s="2503"/>
      <c r="O548" s="2503"/>
      <c r="P548" s="2503"/>
      <c r="Q548" s="2503"/>
      <c r="R548" s="2503"/>
      <c r="S548" s="2503"/>
      <c r="T548" s="2503"/>
      <c r="U548" s="2503"/>
      <c r="V548" s="2503"/>
      <c r="W548" s="2503"/>
      <c r="X548" s="2503"/>
      <c r="Y548" s="2503"/>
      <c r="Z548" s="2503"/>
      <c r="AA548" s="2503"/>
      <c r="AB548" s="2503"/>
      <c r="AC548" s="2503"/>
      <c r="AD548" s="2503"/>
      <c r="AE548" s="2503"/>
      <c r="AF548" s="2503"/>
      <c r="AG548" s="2503"/>
      <c r="AH548" s="2503"/>
      <c r="AI548" s="2503"/>
      <c r="AJ548" s="2503"/>
      <c r="AK548" s="2503"/>
      <c r="AL548" s="813"/>
      <c r="AM548" s="595"/>
      <c r="AN548" s="597"/>
    </row>
    <row r="549" spans="1:49" s="550" customFormat="1" ht="12.75" customHeight="1">
      <c r="B549" s="806"/>
      <c r="C549" s="806"/>
      <c r="D549" s="806"/>
      <c r="E549" s="806"/>
      <c r="F549" s="2505"/>
      <c r="G549" s="2506"/>
      <c r="H549" s="2506"/>
      <c r="I549" s="2506"/>
      <c r="J549" s="2506"/>
      <c r="K549" s="2506"/>
      <c r="L549" s="2506"/>
      <c r="M549" s="2506"/>
      <c r="N549" s="2506"/>
      <c r="O549" s="2506"/>
      <c r="P549" s="2506"/>
      <c r="Q549" s="2506"/>
      <c r="R549" s="2506"/>
      <c r="S549" s="2506"/>
      <c r="T549" s="2506"/>
      <c r="U549" s="2506"/>
      <c r="V549" s="2506"/>
      <c r="W549" s="2506"/>
      <c r="X549" s="2506"/>
      <c r="Y549" s="2506"/>
      <c r="Z549" s="2506"/>
      <c r="AA549" s="2506"/>
      <c r="AB549" s="2506"/>
      <c r="AC549" s="2506"/>
      <c r="AD549" s="2506"/>
      <c r="AE549" s="2506"/>
      <c r="AF549" s="2506"/>
      <c r="AG549" s="2506"/>
      <c r="AH549" s="2506"/>
      <c r="AI549" s="2506"/>
      <c r="AJ549" s="2506"/>
      <c r="AK549" s="250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9">
        <f>Application!AJ992</f>
        <v>19352876</v>
      </c>
      <c r="AQ550" s="2629"/>
      <c r="AR550" s="2629"/>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6">
        <f>'Sources and Uses Budget'!S107+'Sources and Uses Budget'!T107</f>
        <v>35805553</v>
      </c>
      <c r="AG551" s="2486"/>
      <c r="AH551" s="2486"/>
      <c r="AI551" s="2486"/>
      <c r="AJ551" s="2486"/>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4">
        <f>IFERROR(AP559,0)</f>
        <v>41844388.799999997</v>
      </c>
      <c r="AG552" s="2634"/>
      <c r="AH552" s="2634"/>
      <c r="AI552" s="2634"/>
      <c r="AJ552" s="2634"/>
      <c r="AK552" s="595"/>
      <c r="AL552" s="595"/>
      <c r="AM552" s="595"/>
      <c r="AN552" s="597"/>
      <c r="AP552" s="2629">
        <f>Application!AJ1045</f>
        <v>0</v>
      </c>
      <c r="AQ552" s="2629"/>
      <c r="AR552" s="2629"/>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5">
        <f>IFERROR(ROUNDDOWN(IF(C544="YES",((1-(AF551/AF552))*2),(1-(AF551/AF552))),2),0)</f>
        <v>0.14000000000000001</v>
      </c>
      <c r="AG553" s="2635"/>
      <c r="AH553" s="2635"/>
      <c r="AI553" s="2635"/>
      <c r="AJ553" s="2635"/>
      <c r="AK553" s="595"/>
      <c r="AL553" s="595"/>
      <c r="AM553" s="595"/>
      <c r="AN553" s="597"/>
      <c r="AP553" s="2632">
        <f>Application!AJ1049</f>
        <v>38705752</v>
      </c>
      <c r="AQ553" s="2632"/>
      <c r="AR553" s="2632"/>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8">
        <f>IF(((AP552+AP553)/AP550)&gt;0.8,0.8,((AP552+AP553)/AP550))</f>
        <v>0.8</v>
      </c>
      <c r="AQ554" s="2628"/>
      <c r="AR554" s="2628"/>
      <c r="AS554" s="550" t="s">
        <v>2172</v>
      </c>
    </row>
    <row r="555" spans="1:49" s="550" customFormat="1" ht="12.75" customHeight="1">
      <c r="A555" s="624"/>
      <c r="B555" s="2565" t="s">
        <v>2032</v>
      </c>
      <c r="C555" s="2566"/>
      <c r="D555" s="2566"/>
      <c r="E555" s="2566"/>
      <c r="F555" s="2566"/>
      <c r="G555" s="2566"/>
      <c r="H555" s="2566"/>
      <c r="I555" s="2566"/>
      <c r="J555" s="2566"/>
      <c r="K555" s="2566"/>
      <c r="L555" s="2566"/>
      <c r="M555" s="2566"/>
      <c r="N555" s="2566"/>
      <c r="O555" s="2566"/>
      <c r="P555" s="2566"/>
      <c r="Q555" s="2566"/>
      <c r="R555" s="2566"/>
      <c r="S555" s="2566"/>
      <c r="T555" s="2566"/>
      <c r="U555" s="2566"/>
      <c r="V555" s="2566"/>
      <c r="W555" s="2566"/>
      <c r="X555" s="2566"/>
      <c r="Y555" s="2566"/>
      <c r="Z555" s="2566"/>
      <c r="AA555" s="2566"/>
      <c r="AB555" s="2566"/>
      <c r="AC555" s="2566"/>
      <c r="AD555" s="2566"/>
      <c r="AE555" s="2566"/>
      <c r="AF555" s="2566"/>
      <c r="AG555" s="2566"/>
      <c r="AH555" s="2566"/>
      <c r="AI555" s="2566"/>
      <c r="AJ555" s="2567"/>
      <c r="AK555" s="595"/>
      <c r="AL555" s="595"/>
      <c r="AM555" s="595"/>
      <c r="AN555" s="597"/>
    </row>
    <row r="556" spans="1:49" s="550" customFormat="1" ht="12.75" customHeight="1">
      <c r="A556" s="624"/>
      <c r="B556" s="2568"/>
      <c r="C556" s="2569"/>
      <c r="D556" s="2569"/>
      <c r="E556" s="2569"/>
      <c r="F556" s="2569"/>
      <c r="G556" s="2569"/>
      <c r="H556" s="2569"/>
      <c r="I556" s="2569"/>
      <c r="J556" s="2569"/>
      <c r="K556" s="2569"/>
      <c r="L556" s="2569"/>
      <c r="M556" s="2569"/>
      <c r="N556" s="2569"/>
      <c r="O556" s="2569"/>
      <c r="P556" s="2569"/>
      <c r="Q556" s="2569"/>
      <c r="R556" s="2569"/>
      <c r="S556" s="2569"/>
      <c r="T556" s="2569"/>
      <c r="U556" s="2569"/>
      <c r="V556" s="2569"/>
      <c r="W556" s="2569"/>
      <c r="X556" s="2569"/>
      <c r="Y556" s="2569"/>
      <c r="Z556" s="2569"/>
      <c r="AA556" s="2569"/>
      <c r="AB556" s="2569"/>
      <c r="AC556" s="2569"/>
      <c r="AD556" s="2569"/>
      <c r="AE556" s="2569"/>
      <c r="AF556" s="2569"/>
      <c r="AG556" s="2569"/>
      <c r="AH556" s="2569"/>
      <c r="AI556" s="2569"/>
      <c r="AJ556" s="2570"/>
      <c r="AK556" s="595"/>
      <c r="AL556" s="595"/>
      <c r="AM556" s="595"/>
      <c r="AN556" s="597"/>
      <c r="AP556" s="2629">
        <f>AP557-AP552-AP553</f>
        <v>26362088</v>
      </c>
      <c r="AQ556" s="2538"/>
      <c r="AR556" s="2538"/>
      <c r="AS556" s="550" t="s">
        <v>2174</v>
      </c>
    </row>
    <row r="557" spans="1:49" s="550" customFormat="1" ht="12.75" customHeight="1">
      <c r="A557" s="624"/>
      <c r="B557" s="2571"/>
      <c r="C557" s="2572"/>
      <c r="D557" s="2572"/>
      <c r="E557" s="2572"/>
      <c r="F557" s="2572"/>
      <c r="G557" s="2572"/>
      <c r="H557" s="2572"/>
      <c r="I557" s="2572"/>
      <c r="J557" s="2572"/>
      <c r="K557" s="2572"/>
      <c r="L557" s="2572"/>
      <c r="M557" s="2572"/>
      <c r="N557" s="2572"/>
      <c r="O557" s="2572"/>
      <c r="P557" s="2572"/>
      <c r="Q557" s="2572"/>
      <c r="R557" s="2572"/>
      <c r="S557" s="2572"/>
      <c r="T557" s="2572"/>
      <c r="U557" s="2572"/>
      <c r="V557" s="2572"/>
      <c r="W557" s="2572"/>
      <c r="X557" s="2572"/>
      <c r="Y557" s="2572"/>
      <c r="Z557" s="2572"/>
      <c r="AA557" s="2572"/>
      <c r="AB557" s="2572"/>
      <c r="AC557" s="2572"/>
      <c r="AD557" s="2572"/>
      <c r="AE557" s="2572"/>
      <c r="AF557" s="2572"/>
      <c r="AG557" s="2572"/>
      <c r="AH557" s="2572"/>
      <c r="AI557" s="2572"/>
      <c r="AJ557" s="2573"/>
      <c r="AK557" s="595"/>
      <c r="AL557" s="595"/>
      <c r="AM557" s="595"/>
      <c r="AN557" s="597"/>
      <c r="AP557" s="2629">
        <f>Application!AJ1053</f>
        <v>65067840</v>
      </c>
      <c r="AQ557" s="2629"/>
      <c r="AR557" s="2629"/>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4">
        <f>IFERROR(IF(AND(C541="N/A",C544="N/A"),0,IF(AF553=0,0,IF((AF553*100)&gt;12,12,(AF553*100)))),0)</f>
        <v>12</v>
      </c>
      <c r="AL559" s="2574"/>
      <c r="AM559" s="2575"/>
      <c r="AN559" s="597"/>
      <c r="AP559" s="2646">
        <f>AP556+(AP550*AP554)</f>
        <v>41844388.799999997</v>
      </c>
      <c r="AQ559" s="2647"/>
      <c r="AR559" s="264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1314</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3" t="s">
        <v>2023</v>
      </c>
      <c r="C564" s="2503"/>
      <c r="D564" s="2503"/>
      <c r="E564" s="2503"/>
      <c r="F564" s="2503"/>
      <c r="G564" s="2503"/>
      <c r="H564" s="2503"/>
      <c r="I564" s="2503"/>
      <c r="J564" s="2503"/>
      <c r="K564" s="2503"/>
      <c r="L564" s="2503"/>
      <c r="M564" s="2503"/>
      <c r="N564" s="2503"/>
      <c r="O564" s="2503"/>
      <c r="P564" s="2503"/>
      <c r="Q564" s="2503"/>
      <c r="R564" s="2503"/>
      <c r="S564" s="2503"/>
      <c r="T564" s="2503"/>
      <c r="U564" s="2503"/>
      <c r="V564" s="2503"/>
      <c r="W564" s="2503"/>
      <c r="X564" s="2503"/>
      <c r="Y564" s="2503"/>
      <c r="Z564" s="2503"/>
      <c r="AA564" s="2503"/>
      <c r="AB564" s="2503"/>
      <c r="AC564" s="2503"/>
      <c r="AD564" s="2503"/>
      <c r="AE564" s="2503"/>
      <c r="AF564" s="2503"/>
      <c r="AG564" s="2503"/>
      <c r="AH564" s="2503"/>
      <c r="AI564" s="2503"/>
      <c r="AJ564" s="2503"/>
      <c r="AK564" s="642"/>
      <c r="AL564" s="573"/>
      <c r="AM564" s="603"/>
      <c r="AN564" s="597"/>
    </row>
    <row r="565" spans="1:42" s="550" customFormat="1" ht="12.75" customHeight="1">
      <c r="A565" s="603"/>
      <c r="B565" s="2503"/>
      <c r="C565" s="2503"/>
      <c r="D565" s="2503"/>
      <c r="E565" s="2503"/>
      <c r="F565" s="2503"/>
      <c r="G565" s="2503"/>
      <c r="H565" s="2503"/>
      <c r="I565" s="2503"/>
      <c r="J565" s="2503"/>
      <c r="K565" s="2503"/>
      <c r="L565" s="2503"/>
      <c r="M565" s="2503"/>
      <c r="N565" s="2503"/>
      <c r="O565" s="2503"/>
      <c r="P565" s="2503"/>
      <c r="Q565" s="2503"/>
      <c r="R565" s="2503"/>
      <c r="S565" s="2503"/>
      <c r="T565" s="2503"/>
      <c r="U565" s="2503"/>
      <c r="V565" s="2503"/>
      <c r="W565" s="2503"/>
      <c r="X565" s="2503"/>
      <c r="Y565" s="2503"/>
      <c r="Z565" s="2503"/>
      <c r="AA565" s="2503"/>
      <c r="AB565" s="2503"/>
      <c r="AC565" s="2503"/>
      <c r="AD565" s="2503"/>
      <c r="AE565" s="2503"/>
      <c r="AF565" s="2503"/>
      <c r="AG565" s="2503"/>
      <c r="AH565" s="2503"/>
      <c r="AI565" s="2503"/>
      <c r="AJ565" s="2503"/>
      <c r="AK565" s="642"/>
      <c r="AL565" s="573"/>
      <c r="AM565" s="603"/>
      <c r="AN565" s="597"/>
    </row>
    <row r="566" spans="1:42" s="550" customFormat="1" ht="12.75" customHeight="1">
      <c r="A566" s="603"/>
      <c r="B566" s="2503"/>
      <c r="C566" s="2503"/>
      <c r="D566" s="2503"/>
      <c r="E566" s="2503"/>
      <c r="F566" s="2503"/>
      <c r="G566" s="2503"/>
      <c r="H566" s="2503"/>
      <c r="I566" s="2503"/>
      <c r="J566" s="2503"/>
      <c r="K566" s="2503"/>
      <c r="L566" s="2503"/>
      <c r="M566" s="2503"/>
      <c r="N566" s="2503"/>
      <c r="O566" s="2503"/>
      <c r="P566" s="2503"/>
      <c r="Q566" s="2503"/>
      <c r="R566" s="2503"/>
      <c r="S566" s="2503"/>
      <c r="T566" s="2503"/>
      <c r="U566" s="2503"/>
      <c r="V566" s="2503"/>
      <c r="W566" s="2503"/>
      <c r="X566" s="2503"/>
      <c r="Y566" s="2503"/>
      <c r="Z566" s="2503"/>
      <c r="AA566" s="2503"/>
      <c r="AB566" s="2503"/>
      <c r="AC566" s="2503"/>
      <c r="AD566" s="2503"/>
      <c r="AE566" s="2503"/>
      <c r="AF566" s="2503"/>
      <c r="AG566" s="2503"/>
      <c r="AH566" s="2503"/>
      <c r="AI566" s="2503"/>
      <c r="AJ566" s="2503"/>
      <c r="AK566" s="642"/>
      <c r="AL566" s="573"/>
      <c r="AM566" s="603"/>
      <c r="AN566" s="597"/>
    </row>
    <row r="567" spans="1:42" s="550" customFormat="1" ht="12.75" customHeight="1">
      <c r="A567" s="603"/>
      <c r="B567" s="2503"/>
      <c r="C567" s="2503"/>
      <c r="D567" s="2503"/>
      <c r="E567" s="2503"/>
      <c r="F567" s="2503"/>
      <c r="G567" s="2503"/>
      <c r="H567" s="2503"/>
      <c r="I567" s="2503"/>
      <c r="J567" s="2503"/>
      <c r="K567" s="2503"/>
      <c r="L567" s="2503"/>
      <c r="M567" s="2503"/>
      <c r="N567" s="2503"/>
      <c r="O567" s="2503"/>
      <c r="P567" s="2503"/>
      <c r="Q567" s="2503"/>
      <c r="R567" s="2503"/>
      <c r="S567" s="2503"/>
      <c r="T567" s="2503"/>
      <c r="U567" s="2503"/>
      <c r="V567" s="2503"/>
      <c r="W567" s="2503"/>
      <c r="X567" s="2503"/>
      <c r="Y567" s="2503"/>
      <c r="Z567" s="2503"/>
      <c r="AA567" s="2503"/>
      <c r="AB567" s="2503"/>
      <c r="AC567" s="2503"/>
      <c r="AD567" s="2503"/>
      <c r="AE567" s="2503"/>
      <c r="AF567" s="2503"/>
      <c r="AG567" s="2503"/>
      <c r="AH567" s="2503"/>
      <c r="AI567" s="2503"/>
      <c r="AJ567" s="2503"/>
      <c r="AK567" s="642"/>
      <c r="AL567" s="573"/>
      <c r="AM567" s="603"/>
      <c r="AN567" s="597"/>
    </row>
    <row r="568" spans="1:42" s="550" customFormat="1" ht="12.75" customHeight="1">
      <c r="A568" s="603"/>
      <c r="B568" s="2503"/>
      <c r="C568" s="2503"/>
      <c r="D568" s="2503"/>
      <c r="E568" s="2503"/>
      <c r="F568" s="2503"/>
      <c r="G568" s="2503"/>
      <c r="H568" s="2503"/>
      <c r="I568" s="2503"/>
      <c r="J568" s="2503"/>
      <c r="K568" s="2503"/>
      <c r="L568" s="2503"/>
      <c r="M568" s="2503"/>
      <c r="N568" s="2503"/>
      <c r="O568" s="2503"/>
      <c r="P568" s="2503"/>
      <c r="Q568" s="2503"/>
      <c r="R568" s="2503"/>
      <c r="S568" s="2503"/>
      <c r="T568" s="2503"/>
      <c r="U568" s="2503"/>
      <c r="V568" s="2503"/>
      <c r="W568" s="2503"/>
      <c r="X568" s="2503"/>
      <c r="Y568" s="2503"/>
      <c r="Z568" s="2503"/>
      <c r="AA568" s="2503"/>
      <c r="AB568" s="2503"/>
      <c r="AC568" s="2503"/>
      <c r="AD568" s="2503"/>
      <c r="AE568" s="2503"/>
      <c r="AF568" s="2503"/>
      <c r="AG568" s="2503"/>
      <c r="AH568" s="2503"/>
      <c r="AI568" s="2503"/>
      <c r="AJ568" s="2503"/>
      <c r="AK568" s="642"/>
      <c r="AL568" s="573"/>
      <c r="AM568" s="603"/>
      <c r="AN568" s="597"/>
    </row>
    <row r="569" spans="1:42" s="550" customFormat="1" ht="12.75" customHeight="1">
      <c r="A569" s="603"/>
      <c r="B569" s="2503"/>
      <c r="C569" s="2503"/>
      <c r="D569" s="2503"/>
      <c r="E569" s="2503"/>
      <c r="F569" s="2503"/>
      <c r="G569" s="2503"/>
      <c r="H569" s="2503"/>
      <c r="I569" s="2503"/>
      <c r="J569" s="2503"/>
      <c r="K569" s="2503"/>
      <c r="L569" s="2503"/>
      <c r="M569" s="2503"/>
      <c r="N569" s="2503"/>
      <c r="O569" s="2503"/>
      <c r="P569" s="2503"/>
      <c r="Q569" s="2503"/>
      <c r="R569" s="2503"/>
      <c r="S569" s="2503"/>
      <c r="T569" s="2503"/>
      <c r="U569" s="2503"/>
      <c r="V569" s="2503"/>
      <c r="W569" s="2503"/>
      <c r="X569" s="2503"/>
      <c r="Y569" s="2503"/>
      <c r="Z569" s="2503"/>
      <c r="AA569" s="2503"/>
      <c r="AB569" s="2503"/>
      <c r="AC569" s="2503"/>
      <c r="AD569" s="2503"/>
      <c r="AE569" s="2503"/>
      <c r="AF569" s="2503"/>
      <c r="AG569" s="2503"/>
      <c r="AH569" s="2503"/>
      <c r="AI569" s="2503"/>
      <c r="AJ569" s="2503"/>
      <c r="AK569" s="642"/>
      <c r="AL569" s="573"/>
      <c r="AM569" s="603"/>
      <c r="AN569" s="597"/>
    </row>
    <row r="570" spans="1:42" s="550" customFormat="1" ht="12.75" customHeight="1">
      <c r="A570" s="603"/>
      <c r="B570" s="2503"/>
      <c r="C570" s="2503"/>
      <c r="D570" s="2503"/>
      <c r="E570" s="2503"/>
      <c r="F570" s="2503"/>
      <c r="G570" s="2503"/>
      <c r="H570" s="2503"/>
      <c r="I570" s="2503"/>
      <c r="J570" s="2503"/>
      <c r="K570" s="2503"/>
      <c r="L570" s="2503"/>
      <c r="M570" s="2503"/>
      <c r="N570" s="2503"/>
      <c r="O570" s="2503"/>
      <c r="P570" s="2503"/>
      <c r="Q570" s="2503"/>
      <c r="R570" s="2503"/>
      <c r="S570" s="2503"/>
      <c r="T570" s="2503"/>
      <c r="U570" s="2503"/>
      <c r="V570" s="2503"/>
      <c r="W570" s="2503"/>
      <c r="X570" s="2503"/>
      <c r="Y570" s="2503"/>
      <c r="Z570" s="2503"/>
      <c r="AA570" s="2503"/>
      <c r="AB570" s="2503"/>
      <c r="AC570" s="2503"/>
      <c r="AD570" s="2503"/>
      <c r="AE570" s="2503"/>
      <c r="AF570" s="2503"/>
      <c r="AG570" s="2503"/>
      <c r="AH570" s="2503"/>
      <c r="AI570" s="2503"/>
      <c r="AJ570" s="2503"/>
      <c r="AK570" s="642"/>
      <c r="AL570" s="573"/>
      <c r="AM570" s="603"/>
      <c r="AN570" s="597"/>
    </row>
    <row r="571" spans="1:42" ht="12.75" customHeight="1">
      <c r="A571" s="603"/>
      <c r="B571" s="2503"/>
      <c r="C571" s="2503"/>
      <c r="D571" s="2503"/>
      <c r="E571" s="2503"/>
      <c r="F571" s="2503"/>
      <c r="G571" s="2503"/>
      <c r="H571" s="2503"/>
      <c r="I571" s="2503"/>
      <c r="J571" s="2503"/>
      <c r="K571" s="2503"/>
      <c r="L571" s="2503"/>
      <c r="M571" s="2503"/>
      <c r="N571" s="2503"/>
      <c r="O571" s="2503"/>
      <c r="P571" s="2503"/>
      <c r="Q571" s="2503"/>
      <c r="R571" s="2503"/>
      <c r="S571" s="2503"/>
      <c r="T571" s="2503"/>
      <c r="U571" s="2503"/>
      <c r="V571" s="2503"/>
      <c r="W571" s="2503"/>
      <c r="X571" s="2503"/>
      <c r="Y571" s="2503"/>
      <c r="Z571" s="2503"/>
      <c r="AA571" s="2503"/>
      <c r="AB571" s="2503"/>
      <c r="AC571" s="2503"/>
      <c r="AD571" s="2503"/>
      <c r="AE571" s="2503"/>
      <c r="AF571" s="2503"/>
      <c r="AG571" s="2503"/>
      <c r="AH571" s="2503"/>
      <c r="AI571" s="2503"/>
      <c r="AJ571" s="2503"/>
      <c r="AK571" s="642"/>
      <c r="AL571" s="573"/>
      <c r="AM571" s="603"/>
    </row>
    <row r="572" spans="1:42" s="550" customFormat="1" ht="12.75" customHeight="1">
      <c r="B572" s="2503"/>
      <c r="C572" s="2503"/>
      <c r="D572" s="2503"/>
      <c r="E572" s="2503"/>
      <c r="F572" s="2503"/>
      <c r="G572" s="2503"/>
      <c r="H572" s="2503"/>
      <c r="I572" s="2503"/>
      <c r="J572" s="2503"/>
      <c r="K572" s="2503"/>
      <c r="L572" s="2503"/>
      <c r="M572" s="2503"/>
      <c r="N572" s="2503"/>
      <c r="O572" s="2503"/>
      <c r="P572" s="2503"/>
      <c r="Q572" s="2503"/>
      <c r="R572" s="2503"/>
      <c r="S572" s="2503"/>
      <c r="T572" s="2503"/>
      <c r="U572" s="2503"/>
      <c r="V572" s="2503"/>
      <c r="W572" s="2503"/>
      <c r="X572" s="2503"/>
      <c r="Y572" s="2503"/>
      <c r="Z572" s="2503"/>
      <c r="AA572" s="2503"/>
      <c r="AB572" s="2503"/>
      <c r="AC572" s="2503"/>
      <c r="AD572" s="2503"/>
      <c r="AE572" s="2503"/>
      <c r="AF572" s="2503"/>
      <c r="AG572" s="2503"/>
      <c r="AH572" s="2503"/>
      <c r="AI572" s="2503"/>
      <c r="AJ572" s="250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1338</v>
      </c>
      <c r="AG578" s="2447"/>
      <c r="AH578" s="2447"/>
      <c r="AI578" s="2447"/>
      <c r="AJ578" s="2447"/>
      <c r="AK578" s="2447"/>
      <c r="AL578" s="2447"/>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1396</v>
      </c>
      <c r="AG585" s="2447"/>
      <c r="AH585" s="2447"/>
      <c r="AI585" s="2447"/>
      <c r="AJ585" s="2447"/>
      <c r="AK585" s="2447"/>
      <c r="AL585" s="2447"/>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1378</v>
      </c>
      <c r="AG591" s="2447"/>
      <c r="AH591" s="2447"/>
      <c r="AI591" s="2447"/>
      <c r="AJ591" s="2447"/>
      <c r="AK591" s="2447"/>
      <c r="AL591" s="2447"/>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1399</v>
      </c>
      <c r="AG597" s="2447"/>
      <c r="AH597" s="2447"/>
      <c r="AI597" s="2447"/>
      <c r="AJ597" s="2447"/>
      <c r="AK597" s="2447"/>
      <c r="AL597" s="2447"/>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4" t="s">
        <v>1184</v>
      </c>
      <c r="P601" s="2534"/>
      <c r="Q601" s="2534"/>
      <c r="R601" s="2534"/>
      <c r="S601" s="2534"/>
      <c r="T601" s="2534"/>
      <c r="U601" s="2534"/>
      <c r="V601" s="2534"/>
      <c r="W601" s="2534"/>
      <c r="X601" s="2534"/>
      <c r="Y601" s="2534"/>
      <c r="Z601" s="2534"/>
      <c r="AA601" s="2534"/>
      <c r="AB601" s="253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1352</v>
      </c>
      <c r="AG603" s="2447"/>
      <c r="AH603" s="2447"/>
      <c r="AI603" s="2447"/>
      <c r="AJ603" s="2447"/>
      <c r="AK603" s="2447"/>
      <c r="AL603" s="2447"/>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32" t="s">
        <v>687</v>
      </c>
      <c r="I606" s="2532"/>
      <c r="J606" s="936"/>
      <c r="K606" s="936"/>
      <c r="L606" s="936"/>
      <c r="N606" s="22"/>
      <c r="O606" s="22"/>
      <c r="P606" s="22"/>
      <c r="Q606" s="1151" t="s">
        <v>2177</v>
      </c>
      <c r="R606" s="2535"/>
      <c r="S606" s="2535"/>
      <c r="T606" s="2535"/>
      <c r="U606" s="2535"/>
      <c r="V606" s="2535"/>
      <c r="W606" s="2535"/>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6" t="str">
        <f>IF(AND(H606="(i)",NOT(AP582)),AO599,IF(AND(H606="(iv)",OR(R606=AO595,R606=AO594),NOT(AP583)),AO600,""))</f>
        <v/>
      </c>
      <c r="Z607" s="2536"/>
      <c r="AA607" s="2536"/>
      <c r="AB607" s="2536"/>
      <c r="AC607" s="2536"/>
      <c r="AD607" s="2536"/>
      <c r="AE607" s="2536"/>
      <c r="AF607" s="2536"/>
      <c r="AG607" s="2536"/>
      <c r="AH607" s="2536"/>
      <c r="AI607" s="2536"/>
      <c r="AJ607" s="2536"/>
      <c r="AK607" s="2536"/>
      <c r="AL607" s="2536"/>
      <c r="AM607" s="2537"/>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6"/>
      <c r="Z608" s="2536"/>
      <c r="AA608" s="2536"/>
      <c r="AB608" s="2536"/>
      <c r="AC608" s="2536"/>
      <c r="AD608" s="2536"/>
      <c r="AE608" s="2536"/>
      <c r="AF608" s="2536"/>
      <c r="AG608" s="2536"/>
      <c r="AH608" s="2536"/>
      <c r="AI608" s="2536"/>
      <c r="AJ608" s="2536"/>
      <c r="AK608" s="2536"/>
      <c r="AL608" s="2536"/>
      <c r="AM608" s="2537"/>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3" t="s">
        <v>591</v>
      </c>
      <c r="J614" s="2533"/>
      <c r="K614" s="2533"/>
      <c r="L614" s="2533"/>
      <c r="M614" s="2533"/>
      <c r="N614" s="2533"/>
      <c r="O614" s="2533"/>
      <c r="P614" s="2533"/>
      <c r="Q614" s="2533"/>
      <c r="R614" s="2533"/>
      <c r="S614" s="2533"/>
      <c r="T614" s="2533"/>
      <c r="U614" s="2533"/>
      <c r="V614" s="2533"/>
      <c r="W614" s="2533"/>
      <c r="X614" s="2533"/>
      <c r="Y614" s="2533"/>
      <c r="Z614" s="2533"/>
      <c r="AA614" s="2533"/>
      <c r="AB614" s="2533"/>
      <c r="AC614" s="2533"/>
      <c r="AD614" s="2533"/>
      <c r="AE614" s="2533"/>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6" t="s">
        <v>591</v>
      </c>
      <c r="C616" s="2476"/>
      <c r="D616" s="642"/>
      <c r="E616" s="2503" t="s">
        <v>1403</v>
      </c>
      <c r="F616" s="2503"/>
      <c r="G616" s="2503"/>
      <c r="H616" s="2503"/>
      <c r="I616" s="2503"/>
      <c r="J616" s="2503"/>
      <c r="K616" s="2503"/>
      <c r="L616" s="2503"/>
      <c r="M616" s="2503"/>
      <c r="N616" s="2503"/>
      <c r="O616" s="2503"/>
      <c r="P616" s="2503"/>
      <c r="Q616" s="2503"/>
      <c r="R616" s="2503"/>
      <c r="S616" s="2503"/>
      <c r="T616" s="2503"/>
      <c r="U616" s="2503"/>
      <c r="V616" s="2503"/>
      <c r="W616" s="2503"/>
      <c r="X616" s="2503"/>
      <c r="Y616" s="2503"/>
      <c r="Z616" s="2503"/>
      <c r="AA616" s="2503"/>
      <c r="AB616" s="2503"/>
      <c r="AC616" s="2503"/>
      <c r="AD616" s="2503"/>
      <c r="AE616" s="2503"/>
      <c r="AF616" s="2503"/>
      <c r="AG616" s="2503"/>
      <c r="AH616" s="642"/>
      <c r="AI616" s="642"/>
      <c r="AJ616" s="642"/>
      <c r="AK616" s="642"/>
      <c r="AL616" s="642"/>
      <c r="AN616" s="597"/>
    </row>
    <row r="617" spans="1:42" s="550" customFormat="1" ht="12.75" customHeight="1">
      <c r="B617" s="536"/>
      <c r="C617" s="933"/>
      <c r="D617" s="642"/>
      <c r="E617" s="2503"/>
      <c r="F617" s="2503"/>
      <c r="G617" s="2503"/>
      <c r="H617" s="2503"/>
      <c r="I617" s="2503"/>
      <c r="J617" s="2503"/>
      <c r="K617" s="2503"/>
      <c r="L617" s="2503"/>
      <c r="M617" s="2503"/>
      <c r="N617" s="2503"/>
      <c r="O617" s="2503"/>
      <c r="P617" s="2503"/>
      <c r="Q617" s="2503"/>
      <c r="R617" s="2503"/>
      <c r="S617" s="2503"/>
      <c r="T617" s="2503"/>
      <c r="U617" s="2503"/>
      <c r="V617" s="2503"/>
      <c r="W617" s="2503"/>
      <c r="X617" s="2503"/>
      <c r="Y617" s="2503"/>
      <c r="Z617" s="2503"/>
      <c r="AA617" s="2503"/>
      <c r="AB617" s="2503"/>
      <c r="AC617" s="2503"/>
      <c r="AD617" s="2503"/>
      <c r="AE617" s="2503"/>
      <c r="AF617" s="2503"/>
      <c r="AG617" s="2503"/>
      <c r="AH617" s="642"/>
      <c r="AI617" s="642"/>
      <c r="AJ617" s="642"/>
      <c r="AK617" s="642"/>
      <c r="AL617" s="642"/>
      <c r="AN617" s="597"/>
    </row>
    <row r="618" spans="1:42" s="550" customFormat="1" ht="12.75" customHeight="1">
      <c r="B618" s="536"/>
      <c r="C618" s="933"/>
      <c r="D618" s="642"/>
      <c r="E618" s="2503"/>
      <c r="F618" s="2503"/>
      <c r="G618" s="2503"/>
      <c r="H618" s="2503"/>
      <c r="I618" s="2503"/>
      <c r="J618" s="2503"/>
      <c r="K618" s="2503"/>
      <c r="L618" s="2503"/>
      <c r="M618" s="2503"/>
      <c r="N618" s="2503"/>
      <c r="O618" s="2503"/>
      <c r="P618" s="2503"/>
      <c r="Q618" s="2503"/>
      <c r="R618" s="2503"/>
      <c r="S618" s="2503"/>
      <c r="T618" s="2503"/>
      <c r="U618" s="2503"/>
      <c r="V618" s="2503"/>
      <c r="W618" s="2503"/>
      <c r="X618" s="2503"/>
      <c r="Y618" s="2503"/>
      <c r="Z618" s="2503"/>
      <c r="AA618" s="2503"/>
      <c r="AB618" s="2503"/>
      <c r="AC618" s="2503"/>
      <c r="AD618" s="2503"/>
      <c r="AE618" s="2503"/>
      <c r="AF618" s="2503"/>
      <c r="AG618" s="2503"/>
      <c r="AH618" s="642"/>
      <c r="AI618" s="642"/>
      <c r="AJ618" s="642"/>
      <c r="AK618" s="642"/>
      <c r="AL618" s="642"/>
      <c r="AN618" s="597"/>
    </row>
    <row r="619" spans="1:42" s="550" customFormat="1" ht="12.75" customHeight="1">
      <c r="B619" s="536"/>
      <c r="C619" s="933"/>
      <c r="D619" s="642"/>
      <c r="E619" s="2503"/>
      <c r="F619" s="2503"/>
      <c r="G619" s="2503"/>
      <c r="H619" s="2503"/>
      <c r="I619" s="2503"/>
      <c r="J619" s="2503"/>
      <c r="K619" s="2503"/>
      <c r="L619" s="2503"/>
      <c r="M619" s="2503"/>
      <c r="N619" s="2503"/>
      <c r="O619" s="2503"/>
      <c r="P619" s="2503"/>
      <c r="Q619" s="2503"/>
      <c r="R619" s="2503"/>
      <c r="S619" s="2503"/>
      <c r="T619" s="2503"/>
      <c r="U619" s="2503"/>
      <c r="V619" s="2503"/>
      <c r="W619" s="2503"/>
      <c r="X619" s="2503"/>
      <c r="Y619" s="2503"/>
      <c r="Z619" s="2503"/>
      <c r="AA619" s="2503"/>
      <c r="AB619" s="2503"/>
      <c r="AC619" s="2503"/>
      <c r="AD619" s="2503"/>
      <c r="AE619" s="2503"/>
      <c r="AF619" s="2503"/>
      <c r="AG619" s="250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3">
        <f>VLOOKUP($H$606,$AO$586:$AP$591,2,FALSE)+IF(R606=AO594,0,VLOOKUP($I$614,$AO$613:$AP$615,2,FALSE))</f>
        <v>7</v>
      </c>
      <c r="AK621" s="248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1" t="s">
        <v>1694</v>
      </c>
      <c r="F625" s="2531"/>
      <c r="G625" s="2531"/>
      <c r="H625" s="2531"/>
      <c r="I625" s="2531"/>
      <c r="J625" s="2531"/>
      <c r="K625" s="2531"/>
      <c r="L625" s="2531"/>
      <c r="M625" s="2531"/>
      <c r="N625" s="2531"/>
      <c r="O625" s="2531"/>
      <c r="P625" s="2531"/>
      <c r="Q625" s="2531"/>
      <c r="R625" s="2531"/>
      <c r="S625" s="2531"/>
      <c r="T625" s="2531"/>
      <c r="U625" s="2531"/>
      <c r="V625" s="2531"/>
      <c r="W625" s="2531"/>
      <c r="X625" s="2531"/>
      <c r="Y625" s="2531"/>
      <c r="Z625" s="2531"/>
      <c r="AA625" s="2531"/>
      <c r="AB625" s="2531"/>
      <c r="AC625" s="2531"/>
      <c r="AD625" s="2531"/>
      <c r="AE625" s="539"/>
      <c r="AF625" s="2447" t="s">
        <v>1352</v>
      </c>
      <c r="AG625" s="2447"/>
      <c r="AH625" s="2447"/>
      <c r="AI625" s="2447"/>
      <c r="AJ625" s="2447"/>
      <c r="AK625" s="2447"/>
      <c r="AL625" s="2447"/>
      <c r="AM625" s="550"/>
      <c r="AN625" s="678"/>
    </row>
    <row r="626" spans="1:42" s="550" customFormat="1" ht="12.75" customHeight="1">
      <c r="A626" s="679"/>
      <c r="B626" s="536"/>
      <c r="C626" s="933"/>
      <c r="D626" s="663"/>
      <c r="E626" s="2531"/>
      <c r="F626" s="2531"/>
      <c r="G626" s="2531"/>
      <c r="H626" s="2531"/>
      <c r="I626" s="2531"/>
      <c r="J626" s="2531"/>
      <c r="K626" s="2531"/>
      <c r="L626" s="2531"/>
      <c r="M626" s="2531"/>
      <c r="N626" s="2531"/>
      <c r="O626" s="2531"/>
      <c r="P626" s="2531"/>
      <c r="Q626" s="2531"/>
      <c r="R626" s="2531"/>
      <c r="S626" s="2531"/>
      <c r="T626" s="2531"/>
      <c r="U626" s="2531"/>
      <c r="V626" s="2531"/>
      <c r="W626" s="2531"/>
      <c r="X626" s="2531"/>
      <c r="Y626" s="2531"/>
      <c r="Z626" s="2531"/>
      <c r="AA626" s="2531"/>
      <c r="AB626" s="2531"/>
      <c r="AC626" s="2531"/>
      <c r="AD626" s="2531"/>
      <c r="AE626" s="536"/>
      <c r="AF626" s="536"/>
      <c r="AG626" s="536"/>
      <c r="AH626" s="536"/>
      <c r="AI626" s="536"/>
      <c r="AJ626" s="536"/>
      <c r="AK626" s="536"/>
      <c r="AL626" s="536"/>
      <c r="AN626" s="597"/>
    </row>
    <row r="627" spans="1:42" s="550" customFormat="1" ht="12.75" customHeight="1">
      <c r="B627" s="536"/>
      <c r="C627" s="931"/>
      <c r="D627" s="663"/>
      <c r="E627" s="2531"/>
      <c r="F627" s="2531"/>
      <c r="G627" s="2531"/>
      <c r="H627" s="2531"/>
      <c r="I627" s="2531"/>
      <c r="J627" s="2531"/>
      <c r="K627" s="2531"/>
      <c r="L627" s="2531"/>
      <c r="M627" s="2531"/>
      <c r="N627" s="2531"/>
      <c r="O627" s="2531"/>
      <c r="P627" s="2531"/>
      <c r="Q627" s="2531"/>
      <c r="R627" s="2531"/>
      <c r="S627" s="2531"/>
      <c r="T627" s="2531"/>
      <c r="U627" s="2531"/>
      <c r="V627" s="2531"/>
      <c r="W627" s="2531"/>
      <c r="X627" s="2531"/>
      <c r="Y627" s="2531"/>
      <c r="Z627" s="2531"/>
      <c r="AA627" s="2531"/>
      <c r="AB627" s="2531"/>
      <c r="AC627" s="2531"/>
      <c r="AD627" s="2531"/>
      <c r="AE627" s="536"/>
      <c r="AF627" s="536"/>
      <c r="AG627" s="536"/>
      <c r="AH627" s="536"/>
      <c r="AI627" s="536"/>
      <c r="AJ627" s="536"/>
      <c r="AK627" s="536"/>
      <c r="AL627" s="536"/>
      <c r="AN627" s="597"/>
    </row>
    <row r="628" spans="1:42" s="550" customFormat="1" ht="12.75" customHeight="1">
      <c r="B628" s="536"/>
      <c r="C628" s="931"/>
      <c r="D628" s="663"/>
      <c r="E628" s="2531"/>
      <c r="F628" s="2531"/>
      <c r="G628" s="2531"/>
      <c r="H628" s="2531"/>
      <c r="I628" s="2531"/>
      <c r="J628" s="2531"/>
      <c r="K628" s="2531"/>
      <c r="L628" s="2531"/>
      <c r="M628" s="2531"/>
      <c r="N628" s="2531"/>
      <c r="O628" s="2531"/>
      <c r="P628" s="2531"/>
      <c r="Q628" s="2531"/>
      <c r="R628" s="2531"/>
      <c r="S628" s="2531"/>
      <c r="T628" s="2531"/>
      <c r="U628" s="2531"/>
      <c r="V628" s="2531"/>
      <c r="W628" s="2531"/>
      <c r="X628" s="2531"/>
      <c r="Y628" s="2531"/>
      <c r="Z628" s="2531"/>
      <c r="AA628" s="2531"/>
      <c r="AB628" s="2531"/>
      <c r="AC628" s="2531"/>
      <c r="AD628" s="2531"/>
      <c r="AE628" s="536"/>
      <c r="AF628" s="536"/>
      <c r="AG628" s="536"/>
      <c r="AH628" s="536"/>
      <c r="AI628" s="536"/>
      <c r="AJ628" s="536"/>
      <c r="AK628" s="536"/>
      <c r="AL628" s="536"/>
      <c r="AN628" s="597"/>
    </row>
    <row r="629" spans="1:42" s="550" customFormat="1" ht="12.75" customHeight="1">
      <c r="B629" s="536"/>
      <c r="C629" s="931"/>
      <c r="D629" s="663"/>
      <c r="E629" s="2531"/>
      <c r="F629" s="2531"/>
      <c r="G629" s="2531"/>
      <c r="H629" s="2531"/>
      <c r="I629" s="2531"/>
      <c r="J629" s="2531"/>
      <c r="K629" s="2531"/>
      <c r="L629" s="2531"/>
      <c r="M629" s="2531"/>
      <c r="N629" s="2531"/>
      <c r="O629" s="2531"/>
      <c r="P629" s="2531"/>
      <c r="Q629" s="2531"/>
      <c r="R629" s="2531"/>
      <c r="S629" s="2531"/>
      <c r="T629" s="2531"/>
      <c r="U629" s="2531"/>
      <c r="V629" s="2531"/>
      <c r="W629" s="2531"/>
      <c r="X629" s="2531"/>
      <c r="Y629" s="2531"/>
      <c r="Z629" s="2531"/>
      <c r="AA629" s="2531"/>
      <c r="AB629" s="2531"/>
      <c r="AC629" s="2531"/>
      <c r="AD629" s="2531"/>
      <c r="AE629" s="536"/>
      <c r="AF629" s="536"/>
      <c r="AG629" s="536"/>
      <c r="AH629" s="536"/>
      <c r="AI629" s="536"/>
      <c r="AJ629" s="536"/>
      <c r="AK629" s="536"/>
      <c r="AL629" s="536"/>
      <c r="AN629" s="597"/>
    </row>
    <row r="630" spans="1:42" s="550" customFormat="1" ht="12.75" customHeight="1">
      <c r="B630" s="536"/>
      <c r="C630" s="931"/>
      <c r="D630" s="663"/>
      <c r="E630" s="2531"/>
      <c r="F630" s="2531"/>
      <c r="G630" s="2531"/>
      <c r="H630" s="2531"/>
      <c r="I630" s="2531"/>
      <c r="J630" s="2531"/>
      <c r="K630" s="2531"/>
      <c r="L630" s="2531"/>
      <c r="M630" s="2531"/>
      <c r="N630" s="2531"/>
      <c r="O630" s="2531"/>
      <c r="P630" s="2531"/>
      <c r="Q630" s="2531"/>
      <c r="R630" s="2531"/>
      <c r="S630" s="2531"/>
      <c r="T630" s="2531"/>
      <c r="U630" s="2531"/>
      <c r="V630" s="2531"/>
      <c r="W630" s="2531"/>
      <c r="X630" s="2531"/>
      <c r="Y630" s="2531"/>
      <c r="Z630" s="2531"/>
      <c r="AA630" s="2531"/>
      <c r="AB630" s="2531"/>
      <c r="AC630" s="2531"/>
      <c r="AD630" s="2531"/>
      <c r="AE630" s="536"/>
      <c r="AF630" s="536"/>
      <c r="AG630" s="536"/>
      <c r="AH630" s="536"/>
      <c r="AI630" s="536"/>
      <c r="AJ630" s="536"/>
      <c r="AK630" s="536"/>
      <c r="AL630" s="536"/>
      <c r="AN630" s="597"/>
    </row>
    <row r="631" spans="1:42" s="550" customFormat="1" ht="12.75" customHeight="1">
      <c r="A631" s="637"/>
      <c r="B631" s="616"/>
      <c r="C631" s="940"/>
      <c r="D631" s="663"/>
      <c r="E631" s="2531"/>
      <c r="F631" s="2531"/>
      <c r="G631" s="2531"/>
      <c r="H631" s="2531"/>
      <c r="I631" s="2531"/>
      <c r="J631" s="2531"/>
      <c r="K631" s="2531"/>
      <c r="L631" s="2531"/>
      <c r="M631" s="2531"/>
      <c r="N631" s="2531"/>
      <c r="O631" s="2531"/>
      <c r="P631" s="2531"/>
      <c r="Q631" s="2531"/>
      <c r="R631" s="2531"/>
      <c r="S631" s="2531"/>
      <c r="T631" s="2531"/>
      <c r="U631" s="2531"/>
      <c r="V631" s="2531"/>
      <c r="W631" s="2531"/>
      <c r="X631" s="2531"/>
      <c r="Y631" s="2531"/>
      <c r="Z631" s="2531"/>
      <c r="AA631" s="2531"/>
      <c r="AB631" s="2531"/>
      <c r="AC631" s="2531"/>
      <c r="AD631" s="2531"/>
      <c r="AE631" s="616"/>
      <c r="AF631" s="616"/>
      <c r="AG631" s="616"/>
      <c r="AH631" s="616"/>
      <c r="AI631" s="616"/>
      <c r="AJ631" s="616"/>
      <c r="AK631" s="536"/>
      <c r="AL631" s="536"/>
      <c r="AN631" s="597"/>
    </row>
    <row r="632" spans="1:42" s="550" customFormat="1" ht="12.75" customHeight="1">
      <c r="B632" s="616"/>
      <c r="C632" s="940"/>
      <c r="D632" s="663"/>
      <c r="E632" s="2531"/>
      <c r="F632" s="2531"/>
      <c r="G632" s="2531"/>
      <c r="H632" s="2531"/>
      <c r="I632" s="2531"/>
      <c r="J632" s="2531"/>
      <c r="K632" s="2531"/>
      <c r="L632" s="2531"/>
      <c r="M632" s="2531"/>
      <c r="N632" s="2531"/>
      <c r="O632" s="2531"/>
      <c r="P632" s="2531"/>
      <c r="Q632" s="2531"/>
      <c r="R632" s="2531"/>
      <c r="S632" s="2531"/>
      <c r="T632" s="2531"/>
      <c r="U632" s="2531"/>
      <c r="V632" s="2531"/>
      <c r="W632" s="2531"/>
      <c r="X632" s="2531"/>
      <c r="Y632" s="2531"/>
      <c r="Z632" s="2531"/>
      <c r="AA632" s="2531"/>
      <c r="AB632" s="2531"/>
      <c r="AC632" s="2531"/>
      <c r="AD632" s="253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6" t="s">
        <v>591</v>
      </c>
      <c r="Y634" s="2476"/>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1408</v>
      </c>
      <c r="AG636" s="2447"/>
      <c r="AH636" s="2447"/>
      <c r="AI636" s="2447"/>
      <c r="AJ636" s="2447"/>
      <c r="AK636" s="2447"/>
      <c r="AL636" s="2447"/>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32" t="s">
        <v>509</v>
      </c>
      <c r="I638" s="253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3">
        <f>VLOOKUP($H$638,$AO$605:$AP$607,2,FALSE)</f>
        <v>2</v>
      </c>
      <c r="AK640" s="2485"/>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3" t="s">
        <v>2098</v>
      </c>
      <c r="F644" s="2503"/>
      <c r="G644" s="2503"/>
      <c r="H644" s="2503"/>
      <c r="I644" s="2503"/>
      <c r="J644" s="2503"/>
      <c r="K644" s="2503"/>
      <c r="L644" s="2503"/>
      <c r="M644" s="2503"/>
      <c r="N644" s="2503"/>
      <c r="O644" s="2503"/>
      <c r="P644" s="2503"/>
      <c r="Q644" s="2503"/>
      <c r="R644" s="2503"/>
      <c r="S644" s="2503"/>
      <c r="T644" s="2503"/>
      <c r="U644" s="2503"/>
      <c r="V644" s="2503"/>
      <c r="W644" s="2503"/>
      <c r="X644" s="2503"/>
      <c r="Y644" s="2503"/>
      <c r="Z644" s="2503"/>
      <c r="AA644" s="2503"/>
      <c r="AB644" s="2503"/>
      <c r="AC644" s="2503"/>
      <c r="AD644" s="2503"/>
      <c r="AE644" s="536"/>
      <c r="AF644" s="2447" t="s">
        <v>1352</v>
      </c>
      <c r="AG644" s="2447"/>
      <c r="AH644" s="2447"/>
      <c r="AI644" s="2447"/>
      <c r="AJ644" s="2447"/>
      <c r="AK644" s="2447"/>
      <c r="AL644" s="2447"/>
      <c r="AN644" s="597"/>
    </row>
    <row r="645" spans="1:42" s="550" customFormat="1" ht="12.75" customHeight="1">
      <c r="B645" s="536"/>
      <c r="C645" s="536"/>
      <c r="D645" s="663"/>
      <c r="E645" s="2503"/>
      <c r="F645" s="2503"/>
      <c r="G645" s="2503"/>
      <c r="H645" s="2503"/>
      <c r="I645" s="2503"/>
      <c r="J645" s="2503"/>
      <c r="K645" s="2503"/>
      <c r="L645" s="2503"/>
      <c r="M645" s="2503"/>
      <c r="N645" s="2503"/>
      <c r="O645" s="2503"/>
      <c r="P645" s="2503"/>
      <c r="Q645" s="2503"/>
      <c r="R645" s="2503"/>
      <c r="S645" s="2503"/>
      <c r="T645" s="2503"/>
      <c r="U645" s="2503"/>
      <c r="V645" s="2503"/>
      <c r="W645" s="2503"/>
      <c r="X645" s="2503"/>
      <c r="Y645" s="2503"/>
      <c r="Z645" s="2503"/>
      <c r="AA645" s="2503"/>
      <c r="AB645" s="2503"/>
      <c r="AC645" s="2503"/>
      <c r="AD645" s="250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1408</v>
      </c>
      <c r="AG647" s="2447"/>
      <c r="AH647" s="2447"/>
      <c r="AI647" s="2447"/>
      <c r="AJ647" s="2447"/>
      <c r="AK647" s="2447"/>
      <c r="AL647" s="2447"/>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32" t="s">
        <v>509</v>
      </c>
      <c r="I650" s="253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3">
        <f>VLOOKUP(H650,AT605:AU607,2,FALSE)</f>
        <v>2</v>
      </c>
      <c r="AK652" s="248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3" t="s">
        <v>1418</v>
      </c>
      <c r="F657" s="2503"/>
      <c r="G657" s="2503"/>
      <c r="H657" s="2503"/>
      <c r="I657" s="2503"/>
      <c r="J657" s="2503"/>
      <c r="K657" s="2503"/>
      <c r="L657" s="2503"/>
      <c r="M657" s="2503"/>
      <c r="N657" s="2503"/>
      <c r="O657" s="2503"/>
      <c r="P657" s="2503"/>
      <c r="Q657" s="2503"/>
      <c r="R657" s="2503"/>
      <c r="S657" s="2503"/>
      <c r="T657" s="2503"/>
      <c r="U657" s="2503"/>
      <c r="V657" s="2503"/>
      <c r="W657" s="2503"/>
      <c r="X657" s="2503"/>
      <c r="Y657" s="2503"/>
      <c r="Z657" s="2503"/>
      <c r="AA657" s="2503"/>
      <c r="AB657" s="2503"/>
      <c r="AC657" s="2503"/>
      <c r="AD657" s="536"/>
      <c r="AE657" s="536"/>
      <c r="AF657" s="2447" t="s">
        <v>1378</v>
      </c>
      <c r="AG657" s="2447"/>
      <c r="AH657" s="2447"/>
      <c r="AI657" s="2447"/>
      <c r="AJ657" s="2447"/>
      <c r="AK657" s="2447"/>
      <c r="AL657" s="2447"/>
      <c r="AN657" s="597"/>
    </row>
    <row r="658" spans="1:42" s="550" customFormat="1" ht="12.75" customHeight="1">
      <c r="B658" s="536"/>
      <c r="C658" s="539"/>
      <c r="D658" s="536"/>
      <c r="E658" s="2503"/>
      <c r="F658" s="2503"/>
      <c r="G658" s="2503"/>
      <c r="H658" s="2503"/>
      <c r="I658" s="2503"/>
      <c r="J658" s="2503"/>
      <c r="K658" s="2503"/>
      <c r="L658" s="2503"/>
      <c r="M658" s="2503"/>
      <c r="N658" s="2503"/>
      <c r="O658" s="2503"/>
      <c r="P658" s="2503"/>
      <c r="Q658" s="2503"/>
      <c r="R658" s="2503"/>
      <c r="S658" s="2503"/>
      <c r="T658" s="2503"/>
      <c r="U658" s="2503"/>
      <c r="V658" s="2503"/>
      <c r="W658" s="2503"/>
      <c r="X658" s="2503"/>
      <c r="Y658" s="2503"/>
      <c r="Z658" s="2503"/>
      <c r="AA658" s="2503"/>
      <c r="AB658" s="2503"/>
      <c r="AC658" s="2503"/>
      <c r="AD658" s="536"/>
      <c r="AE658" s="536"/>
      <c r="AF658" s="536"/>
      <c r="AG658" s="536"/>
      <c r="AH658" s="536"/>
      <c r="AI658" s="536"/>
      <c r="AJ658" s="536"/>
      <c r="AK658" s="536"/>
      <c r="AL658" s="536"/>
      <c r="AN658" s="597"/>
    </row>
    <row r="659" spans="1:42" s="550" customFormat="1" ht="12.75" customHeight="1">
      <c r="B659" s="536"/>
      <c r="C659" s="539"/>
      <c r="D659" s="663"/>
      <c r="E659" s="2503"/>
      <c r="F659" s="2503"/>
      <c r="G659" s="2503"/>
      <c r="H659" s="2503"/>
      <c r="I659" s="2503"/>
      <c r="J659" s="2503"/>
      <c r="K659" s="2503"/>
      <c r="L659" s="2503"/>
      <c r="M659" s="2503"/>
      <c r="N659" s="2503"/>
      <c r="O659" s="2503"/>
      <c r="P659" s="2503"/>
      <c r="Q659" s="2503"/>
      <c r="R659" s="2503"/>
      <c r="S659" s="2503"/>
      <c r="T659" s="2503"/>
      <c r="U659" s="2503"/>
      <c r="V659" s="2503"/>
      <c r="W659" s="2503"/>
      <c r="X659" s="2503"/>
      <c r="Y659" s="2503"/>
      <c r="Z659" s="2503"/>
      <c r="AA659" s="2503"/>
      <c r="AB659" s="2503"/>
      <c r="AC659" s="250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3" t="s">
        <v>1419</v>
      </c>
      <c r="F661" s="2503"/>
      <c r="G661" s="2503"/>
      <c r="H661" s="2503"/>
      <c r="I661" s="2503"/>
      <c r="J661" s="2503"/>
      <c r="K661" s="2503"/>
      <c r="L661" s="2503"/>
      <c r="M661" s="2503"/>
      <c r="N661" s="2503"/>
      <c r="O661" s="2503"/>
      <c r="P661" s="2503"/>
      <c r="Q661" s="2503"/>
      <c r="R661" s="2503"/>
      <c r="S661" s="2503"/>
      <c r="T661" s="2503"/>
      <c r="U661" s="2503"/>
      <c r="V661" s="2503"/>
      <c r="W661" s="2503"/>
      <c r="X661" s="2503"/>
      <c r="Y661" s="2503"/>
      <c r="Z661" s="2503"/>
      <c r="AA661" s="2503"/>
      <c r="AB661" s="2503"/>
      <c r="AC661" s="2503"/>
      <c r="AD661" s="536"/>
      <c r="AE661" s="536"/>
      <c r="AF661" s="2447" t="s">
        <v>1399</v>
      </c>
      <c r="AG661" s="2447"/>
      <c r="AH661" s="2447"/>
      <c r="AI661" s="2447"/>
      <c r="AJ661" s="2447"/>
      <c r="AK661" s="2447"/>
      <c r="AL661" s="2447"/>
      <c r="AN661" s="597"/>
    </row>
    <row r="662" spans="1:42" s="550" customFormat="1" ht="12.75" customHeight="1">
      <c r="B662" s="536"/>
      <c r="C662" s="539"/>
      <c r="D662" s="536"/>
      <c r="E662" s="2503"/>
      <c r="F662" s="2503"/>
      <c r="G662" s="2503"/>
      <c r="H662" s="2503"/>
      <c r="I662" s="2503"/>
      <c r="J662" s="2503"/>
      <c r="K662" s="2503"/>
      <c r="L662" s="2503"/>
      <c r="M662" s="2503"/>
      <c r="N662" s="2503"/>
      <c r="O662" s="2503"/>
      <c r="P662" s="2503"/>
      <c r="Q662" s="2503"/>
      <c r="R662" s="2503"/>
      <c r="S662" s="2503"/>
      <c r="T662" s="2503"/>
      <c r="U662" s="2503"/>
      <c r="V662" s="2503"/>
      <c r="W662" s="2503"/>
      <c r="X662" s="2503"/>
      <c r="Y662" s="2503"/>
      <c r="Z662" s="2503"/>
      <c r="AA662" s="2503"/>
      <c r="AB662" s="2503"/>
      <c r="AC662" s="2503"/>
      <c r="AD662" s="536"/>
      <c r="AE662" s="536"/>
      <c r="AF662" s="536"/>
      <c r="AG662" s="536"/>
      <c r="AH662" s="536"/>
      <c r="AI662" s="536"/>
      <c r="AJ662" s="536"/>
      <c r="AK662" s="536"/>
      <c r="AL662" s="536"/>
      <c r="AN662" s="597"/>
    </row>
    <row r="663" spans="1:42" s="550" customFormat="1" ht="15" customHeight="1">
      <c r="B663" s="536"/>
      <c r="C663" s="539"/>
      <c r="D663" s="663"/>
      <c r="E663" s="2503"/>
      <c r="F663" s="2503"/>
      <c r="G663" s="2503"/>
      <c r="H663" s="2503"/>
      <c r="I663" s="2503"/>
      <c r="J663" s="2503"/>
      <c r="K663" s="2503"/>
      <c r="L663" s="2503"/>
      <c r="M663" s="2503"/>
      <c r="N663" s="2503"/>
      <c r="O663" s="2503"/>
      <c r="P663" s="2503"/>
      <c r="Q663" s="2503"/>
      <c r="R663" s="2503"/>
      <c r="S663" s="2503"/>
      <c r="T663" s="2503"/>
      <c r="U663" s="2503"/>
      <c r="V663" s="2503"/>
      <c r="W663" s="2503"/>
      <c r="X663" s="2503"/>
      <c r="Y663" s="2503"/>
      <c r="Z663" s="2503"/>
      <c r="AA663" s="2503"/>
      <c r="AB663" s="2503"/>
      <c r="AC663" s="250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3" t="s">
        <v>1420</v>
      </c>
      <c r="F665" s="2503"/>
      <c r="G665" s="2503"/>
      <c r="H665" s="2503"/>
      <c r="I665" s="2503"/>
      <c r="J665" s="2503"/>
      <c r="K665" s="2503"/>
      <c r="L665" s="2503"/>
      <c r="M665" s="2503"/>
      <c r="N665" s="2503"/>
      <c r="O665" s="2503"/>
      <c r="P665" s="2503"/>
      <c r="Q665" s="2503"/>
      <c r="R665" s="2503"/>
      <c r="S665" s="2503"/>
      <c r="T665" s="2503"/>
      <c r="U665" s="2503"/>
      <c r="V665" s="2503"/>
      <c r="W665" s="2503"/>
      <c r="X665" s="2503"/>
      <c r="Y665" s="2503"/>
      <c r="Z665" s="2503"/>
      <c r="AA665" s="2503"/>
      <c r="AB665" s="2503"/>
      <c r="AC665" s="2503"/>
      <c r="AD665" s="536"/>
      <c r="AE665" s="536"/>
      <c r="AF665" s="2447" t="s">
        <v>1352</v>
      </c>
      <c r="AG665" s="2447"/>
      <c r="AH665" s="2447"/>
      <c r="AI665" s="2447"/>
      <c r="AJ665" s="2447"/>
      <c r="AK665" s="2447"/>
      <c r="AL665" s="2447"/>
      <c r="AN665" s="597"/>
    </row>
    <row r="666" spans="1:42" s="550" customFormat="1" ht="12.75" customHeight="1">
      <c r="B666" s="536"/>
      <c r="C666" s="931"/>
      <c r="D666" s="536"/>
      <c r="E666" s="2503"/>
      <c r="F666" s="2503"/>
      <c r="G666" s="2503"/>
      <c r="H666" s="2503"/>
      <c r="I666" s="2503"/>
      <c r="J666" s="2503"/>
      <c r="K666" s="2503"/>
      <c r="L666" s="2503"/>
      <c r="M666" s="2503"/>
      <c r="N666" s="2503"/>
      <c r="O666" s="2503"/>
      <c r="P666" s="2503"/>
      <c r="Q666" s="2503"/>
      <c r="R666" s="2503"/>
      <c r="S666" s="2503"/>
      <c r="T666" s="2503"/>
      <c r="U666" s="2503"/>
      <c r="V666" s="2503"/>
      <c r="W666" s="2503"/>
      <c r="X666" s="2503"/>
      <c r="Y666" s="2503"/>
      <c r="Z666" s="2503"/>
      <c r="AA666" s="2503"/>
      <c r="AB666" s="2503"/>
      <c r="AC666" s="2503"/>
      <c r="AD666" s="536"/>
      <c r="AE666" s="2447"/>
      <c r="AF666" s="2447"/>
      <c r="AG666" s="2447"/>
      <c r="AH666" s="2447"/>
      <c r="AI666" s="2447"/>
      <c r="AJ666" s="2447"/>
      <c r="AK666" s="2447"/>
      <c r="AL666" s="594"/>
      <c r="AN666" s="597"/>
      <c r="AO666" s="550" t="s">
        <v>591</v>
      </c>
      <c r="AP666" s="673">
        <v>0</v>
      </c>
    </row>
    <row r="667" spans="1:42" s="550" customFormat="1" ht="12.75" customHeight="1">
      <c r="A667" s="679"/>
      <c r="B667" s="536"/>
      <c r="C667" s="536"/>
      <c r="D667" s="663"/>
      <c r="E667" s="2503"/>
      <c r="F667" s="2503"/>
      <c r="G667" s="2503"/>
      <c r="H667" s="2503"/>
      <c r="I667" s="2503"/>
      <c r="J667" s="2503"/>
      <c r="K667" s="2503"/>
      <c r="L667" s="2503"/>
      <c r="M667" s="2503"/>
      <c r="N667" s="2503"/>
      <c r="O667" s="2503"/>
      <c r="P667" s="2503"/>
      <c r="Q667" s="2503"/>
      <c r="R667" s="2503"/>
      <c r="S667" s="2503"/>
      <c r="T667" s="2503"/>
      <c r="U667" s="2503"/>
      <c r="V667" s="2503"/>
      <c r="W667" s="2503"/>
      <c r="X667" s="2503"/>
      <c r="Y667" s="2503"/>
      <c r="Z667" s="2503"/>
      <c r="AA667" s="2503"/>
      <c r="AB667" s="2503"/>
      <c r="AC667" s="2503"/>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503" t="s">
        <v>1421</v>
      </c>
      <c r="F669" s="2503"/>
      <c r="G669" s="2503"/>
      <c r="H669" s="2503"/>
      <c r="I669" s="2503"/>
      <c r="J669" s="2503"/>
      <c r="K669" s="2503"/>
      <c r="L669" s="2503"/>
      <c r="M669" s="2503"/>
      <c r="N669" s="2503"/>
      <c r="O669" s="2503"/>
      <c r="P669" s="2503"/>
      <c r="Q669" s="2503"/>
      <c r="R669" s="2503"/>
      <c r="S669" s="2503"/>
      <c r="T669" s="2503"/>
      <c r="U669" s="2503"/>
      <c r="V669" s="2503"/>
      <c r="W669" s="2503"/>
      <c r="X669" s="2503"/>
      <c r="Y669" s="2503"/>
      <c r="Z669" s="2503"/>
      <c r="AA669" s="2503"/>
      <c r="AB669" s="2503"/>
      <c r="AC669" s="2503"/>
      <c r="AD669" s="536"/>
      <c r="AE669" s="536"/>
      <c r="AF669" s="2447" t="s">
        <v>1399</v>
      </c>
      <c r="AG669" s="2447"/>
      <c r="AH669" s="2447"/>
      <c r="AI669" s="2447"/>
      <c r="AJ669" s="2447"/>
      <c r="AK669" s="2447"/>
      <c r="AL669" s="2447"/>
      <c r="AN669" s="597"/>
    </row>
    <row r="670" spans="1:42" s="550" customFormat="1" ht="12.75" customHeight="1">
      <c r="A670" s="670"/>
      <c r="B670" s="536"/>
      <c r="C670" s="947"/>
      <c r="D670" s="663"/>
      <c r="E670" s="2503"/>
      <c r="F670" s="2503"/>
      <c r="G670" s="2503"/>
      <c r="H670" s="2503"/>
      <c r="I670" s="2503"/>
      <c r="J670" s="2503"/>
      <c r="K670" s="2503"/>
      <c r="L670" s="2503"/>
      <c r="M670" s="2503"/>
      <c r="N670" s="2503"/>
      <c r="O670" s="2503"/>
      <c r="P670" s="2503"/>
      <c r="Q670" s="2503"/>
      <c r="R670" s="2503"/>
      <c r="S670" s="2503"/>
      <c r="T670" s="2503"/>
      <c r="U670" s="2503"/>
      <c r="V670" s="2503"/>
      <c r="W670" s="2503"/>
      <c r="X670" s="2503"/>
      <c r="Y670" s="2503"/>
      <c r="Z670" s="2503"/>
      <c r="AA670" s="2503"/>
      <c r="AB670" s="2503"/>
      <c r="AC670" s="250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3"/>
      <c r="F671" s="2503"/>
      <c r="G671" s="2503"/>
      <c r="H671" s="2503"/>
      <c r="I671" s="2503"/>
      <c r="J671" s="2503"/>
      <c r="K671" s="2503"/>
      <c r="L671" s="2503"/>
      <c r="M671" s="2503"/>
      <c r="N671" s="2503"/>
      <c r="O671" s="2503"/>
      <c r="P671" s="2503"/>
      <c r="Q671" s="2503"/>
      <c r="R671" s="2503"/>
      <c r="S671" s="2503"/>
      <c r="T671" s="2503"/>
      <c r="U671" s="2503"/>
      <c r="V671" s="2503"/>
      <c r="W671" s="2503"/>
      <c r="X671" s="2503"/>
      <c r="Y671" s="2503"/>
      <c r="Z671" s="2503"/>
      <c r="AA671" s="2503"/>
      <c r="AB671" s="2503"/>
      <c r="AC671" s="250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3" t="s">
        <v>1422</v>
      </c>
      <c r="F673" s="2503"/>
      <c r="G673" s="2503"/>
      <c r="H673" s="2503"/>
      <c r="I673" s="2503"/>
      <c r="J673" s="2503"/>
      <c r="K673" s="2503"/>
      <c r="L673" s="2503"/>
      <c r="M673" s="2503"/>
      <c r="N673" s="2503"/>
      <c r="O673" s="2503"/>
      <c r="P673" s="2503"/>
      <c r="Q673" s="2503"/>
      <c r="R673" s="2503"/>
      <c r="S673" s="2503"/>
      <c r="T673" s="2503"/>
      <c r="U673" s="2503"/>
      <c r="V673" s="2503"/>
      <c r="W673" s="2503"/>
      <c r="X673" s="2503"/>
      <c r="Y673" s="2503"/>
      <c r="Z673" s="2503"/>
      <c r="AA673" s="2503"/>
      <c r="AB673" s="2503"/>
      <c r="AC673" s="2503"/>
      <c r="AD673" s="536"/>
      <c r="AE673" s="536"/>
      <c r="AF673" s="2447" t="s">
        <v>1352</v>
      </c>
      <c r="AG673" s="2447"/>
      <c r="AH673" s="2447"/>
      <c r="AI673" s="2447"/>
      <c r="AJ673" s="2447"/>
      <c r="AK673" s="2447"/>
      <c r="AL673" s="2447"/>
      <c r="AM673" s="596"/>
      <c r="AN673" s="597"/>
    </row>
    <row r="674" spans="1:42" s="550" customFormat="1" ht="12.75" customHeight="1">
      <c r="B674" s="536"/>
      <c r="C674" s="931"/>
      <c r="D674" s="663"/>
      <c r="E674" s="2503"/>
      <c r="F674" s="2503"/>
      <c r="G674" s="2503"/>
      <c r="H674" s="2503"/>
      <c r="I674" s="2503"/>
      <c r="J674" s="2503"/>
      <c r="K674" s="2503"/>
      <c r="L674" s="2503"/>
      <c r="M674" s="2503"/>
      <c r="N674" s="2503"/>
      <c r="O674" s="2503"/>
      <c r="P674" s="2503"/>
      <c r="Q674" s="2503"/>
      <c r="R674" s="2503"/>
      <c r="S674" s="2503"/>
      <c r="T674" s="2503"/>
      <c r="U674" s="2503"/>
      <c r="V674" s="2503"/>
      <c r="W674" s="2503"/>
      <c r="X674" s="2503"/>
      <c r="Y674" s="2503"/>
      <c r="Z674" s="2503"/>
      <c r="AA674" s="2503"/>
      <c r="AB674" s="2503"/>
      <c r="AC674" s="2503"/>
      <c r="AD674" s="536"/>
      <c r="AE674" s="536"/>
      <c r="AF674" s="536"/>
      <c r="AG674" s="536"/>
      <c r="AH674" s="536"/>
      <c r="AI674" s="536"/>
      <c r="AJ674" s="536"/>
      <c r="AK674" s="536"/>
      <c r="AL674" s="536"/>
      <c r="AM674" s="596"/>
      <c r="AN674" s="597"/>
    </row>
    <row r="675" spans="1:42" s="550" customFormat="1" ht="12.75" customHeight="1">
      <c r="B675" s="536"/>
      <c r="C675" s="931"/>
      <c r="D675" s="663"/>
      <c r="E675" s="2503"/>
      <c r="F675" s="2503"/>
      <c r="G675" s="2503"/>
      <c r="H675" s="2503"/>
      <c r="I675" s="2503"/>
      <c r="J675" s="2503"/>
      <c r="K675" s="2503"/>
      <c r="L675" s="2503"/>
      <c r="M675" s="2503"/>
      <c r="N675" s="2503"/>
      <c r="O675" s="2503"/>
      <c r="P675" s="2503"/>
      <c r="Q675" s="2503"/>
      <c r="R675" s="2503"/>
      <c r="S675" s="2503"/>
      <c r="T675" s="2503"/>
      <c r="U675" s="2503"/>
      <c r="V675" s="2503"/>
      <c r="W675" s="2503"/>
      <c r="X675" s="2503"/>
      <c r="Y675" s="2503"/>
      <c r="Z675" s="2503"/>
      <c r="AA675" s="2503"/>
      <c r="AB675" s="2503"/>
      <c r="AC675" s="250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3" t="s">
        <v>1423</v>
      </c>
      <c r="F677" s="2503"/>
      <c r="G677" s="2503"/>
      <c r="H677" s="2503"/>
      <c r="I677" s="2503"/>
      <c r="J677" s="2503"/>
      <c r="K677" s="2503"/>
      <c r="L677" s="2503"/>
      <c r="M677" s="2503"/>
      <c r="N677" s="2503"/>
      <c r="O677" s="2503"/>
      <c r="P677" s="2503"/>
      <c r="Q677" s="2503"/>
      <c r="R677" s="2503"/>
      <c r="S677" s="2503"/>
      <c r="T677" s="2503"/>
      <c r="U677" s="2503"/>
      <c r="V677" s="2503"/>
      <c r="W677" s="2503"/>
      <c r="X677" s="2503"/>
      <c r="Y677" s="2503"/>
      <c r="Z677" s="2503"/>
      <c r="AA677" s="2503"/>
      <c r="AB677" s="2503"/>
      <c r="AC677" s="2503"/>
      <c r="AD677" s="536"/>
      <c r="AE677" s="536"/>
      <c r="AF677" s="2447" t="s">
        <v>1408</v>
      </c>
      <c r="AG677" s="2447"/>
      <c r="AH677" s="2447"/>
      <c r="AI677" s="2447"/>
      <c r="AJ677" s="2447"/>
      <c r="AK677" s="2447"/>
      <c r="AL677" s="2447"/>
      <c r="AM677" s="596"/>
      <c r="AN677" s="597"/>
    </row>
    <row r="678" spans="1:42" s="550" customFormat="1" ht="12.75" customHeight="1">
      <c r="A678" s="679"/>
      <c r="B678" s="536"/>
      <c r="C678" s="931"/>
      <c r="D678" s="663"/>
      <c r="E678" s="2503"/>
      <c r="F678" s="2503"/>
      <c r="G678" s="2503"/>
      <c r="H678" s="2503"/>
      <c r="I678" s="2503"/>
      <c r="J678" s="2503"/>
      <c r="K678" s="2503"/>
      <c r="L678" s="2503"/>
      <c r="M678" s="2503"/>
      <c r="N678" s="2503"/>
      <c r="O678" s="2503"/>
      <c r="P678" s="2503"/>
      <c r="Q678" s="2503"/>
      <c r="R678" s="2503"/>
      <c r="S678" s="2503"/>
      <c r="T678" s="2503"/>
      <c r="U678" s="2503"/>
      <c r="V678" s="2503"/>
      <c r="W678" s="2503"/>
      <c r="X678" s="2503"/>
      <c r="Y678" s="2503"/>
      <c r="Z678" s="2503"/>
      <c r="AA678" s="2503"/>
      <c r="AB678" s="2503"/>
      <c r="AC678" s="250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3"/>
      <c r="F679" s="2503"/>
      <c r="G679" s="2503"/>
      <c r="H679" s="2503"/>
      <c r="I679" s="2503"/>
      <c r="J679" s="2503"/>
      <c r="K679" s="2503"/>
      <c r="L679" s="2503"/>
      <c r="M679" s="2503"/>
      <c r="N679" s="2503"/>
      <c r="O679" s="2503"/>
      <c r="P679" s="2503"/>
      <c r="Q679" s="2503"/>
      <c r="R679" s="2503"/>
      <c r="S679" s="2503"/>
      <c r="T679" s="2503"/>
      <c r="U679" s="2503"/>
      <c r="V679" s="2503"/>
      <c r="W679" s="2503"/>
      <c r="X679" s="2503"/>
      <c r="Y679" s="2503"/>
      <c r="Z679" s="2503"/>
      <c r="AA679" s="2503"/>
      <c r="AB679" s="2503"/>
      <c r="AC679" s="250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503" t="s">
        <v>1424</v>
      </c>
      <c r="F681" s="2503"/>
      <c r="G681" s="2503"/>
      <c r="H681" s="2503"/>
      <c r="I681" s="2503"/>
      <c r="J681" s="2503"/>
      <c r="K681" s="2503"/>
      <c r="L681" s="2503"/>
      <c r="M681" s="2503"/>
      <c r="N681" s="2503"/>
      <c r="O681" s="2503"/>
      <c r="P681" s="2503"/>
      <c r="Q681" s="2503"/>
      <c r="R681" s="2503"/>
      <c r="S681" s="2503"/>
      <c r="T681" s="2503"/>
      <c r="U681" s="2503"/>
      <c r="V681" s="2503"/>
      <c r="W681" s="2503"/>
      <c r="X681" s="2503"/>
      <c r="Y681" s="2503"/>
      <c r="Z681" s="2503"/>
      <c r="AA681" s="2503"/>
      <c r="AB681" s="2503"/>
      <c r="AC681" s="2503"/>
      <c r="AD681" s="536"/>
      <c r="AE681" s="536"/>
      <c r="AF681" s="2447" t="s">
        <v>1425</v>
      </c>
      <c r="AG681" s="2447"/>
      <c r="AH681" s="2447"/>
      <c r="AI681" s="2447"/>
      <c r="AJ681" s="2447"/>
      <c r="AK681" s="2447"/>
      <c r="AL681" s="2447"/>
      <c r="AM681" s="596"/>
      <c r="AN681" s="597"/>
      <c r="AO681" s="611" t="s">
        <v>687</v>
      </c>
      <c r="AP681" s="550">
        <v>3</v>
      </c>
    </row>
    <row r="682" spans="1:42" s="550" customFormat="1" ht="12.75" customHeight="1">
      <c r="A682" s="679"/>
      <c r="B682" s="536"/>
      <c r="C682" s="931"/>
      <c r="D682" s="663"/>
      <c r="E682" s="2503"/>
      <c r="F682" s="2503"/>
      <c r="G682" s="2503"/>
      <c r="H682" s="2503"/>
      <c r="I682" s="2503"/>
      <c r="J682" s="2503"/>
      <c r="K682" s="2503"/>
      <c r="L682" s="2503"/>
      <c r="M682" s="2503"/>
      <c r="N682" s="2503"/>
      <c r="O682" s="2503"/>
      <c r="P682" s="2503"/>
      <c r="Q682" s="2503"/>
      <c r="R682" s="2503"/>
      <c r="S682" s="2503"/>
      <c r="T682" s="2503"/>
      <c r="U682" s="2503"/>
      <c r="V682" s="2503"/>
      <c r="W682" s="2503"/>
      <c r="X682" s="2503"/>
      <c r="Y682" s="2503"/>
      <c r="Z682" s="2503"/>
      <c r="AA682" s="2503"/>
      <c r="AB682" s="2503"/>
      <c r="AC682" s="2503"/>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3"/>
      <c r="F683" s="2503"/>
      <c r="G683" s="2503"/>
      <c r="H683" s="2503"/>
      <c r="I683" s="2503"/>
      <c r="J683" s="2503"/>
      <c r="K683" s="2503"/>
      <c r="L683" s="2503"/>
      <c r="M683" s="2503"/>
      <c r="N683" s="2503"/>
      <c r="O683" s="2503"/>
      <c r="P683" s="2503"/>
      <c r="Q683" s="2503"/>
      <c r="R683" s="2503"/>
      <c r="S683" s="2503"/>
      <c r="T683" s="2503"/>
      <c r="U683" s="2503"/>
      <c r="V683" s="2503"/>
      <c r="W683" s="2503"/>
      <c r="X683" s="2503"/>
      <c r="Y683" s="2503"/>
      <c r="Z683" s="2503"/>
      <c r="AA683" s="2503"/>
      <c r="AB683" s="2503"/>
      <c r="AC683" s="250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32" t="s">
        <v>591</v>
      </c>
      <c r="I685" s="253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3">
        <f>VLOOKUP($H$685,$AO$633:$AP$640,2,FALSE)</f>
        <v>0</v>
      </c>
      <c r="AK687" s="248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27</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53</v>
      </c>
    </row>
    <row r="691" spans="1:51" s="550" customFormat="1" ht="12.75" customHeight="1">
      <c r="A691" s="679"/>
      <c r="B691" s="536"/>
      <c r="C691" s="948"/>
      <c r="D691" s="663" t="s">
        <v>687</v>
      </c>
      <c r="E691" s="2539" t="s">
        <v>2190</v>
      </c>
      <c r="F691" s="2539"/>
      <c r="G691" s="2539"/>
      <c r="H691" s="2539"/>
      <c r="I691" s="2539"/>
      <c r="J691" s="2539"/>
      <c r="K691" s="2539"/>
      <c r="L691" s="2539"/>
      <c r="M691" s="2539"/>
      <c r="N691" s="2539"/>
      <c r="O691" s="2539"/>
      <c r="P691" s="2539"/>
      <c r="Q691" s="2539"/>
      <c r="R691" s="2539"/>
      <c r="S691" s="2539"/>
      <c r="T691" s="2539"/>
      <c r="U691" s="2539"/>
      <c r="V691" s="2539"/>
      <c r="W691" s="2539"/>
      <c r="X691" s="2539"/>
      <c r="Y691" s="2539"/>
      <c r="Z691" s="2539"/>
      <c r="AA691" s="2539"/>
      <c r="AB691" s="2539"/>
      <c r="AC691" s="536"/>
      <c r="AD691" s="536"/>
      <c r="AE691" s="536"/>
      <c r="AF691" s="2447" t="s">
        <v>1352</v>
      </c>
      <c r="AG691" s="2447"/>
      <c r="AH691" s="2447"/>
      <c r="AI691" s="2447"/>
      <c r="AJ691" s="2447"/>
      <c r="AK691" s="2447"/>
      <c r="AL691" s="2447"/>
      <c r="AN691" s="597"/>
      <c r="AW691" s="22" t="s">
        <v>2185</v>
      </c>
      <c r="AX691" s="550">
        <f>Application!DE753</f>
        <v>0</v>
      </c>
    </row>
    <row r="692" spans="1:51" s="550" customFormat="1" ht="12.75" customHeight="1">
      <c r="A692" s="679"/>
      <c r="B692" s="536"/>
      <c r="C692" s="948"/>
      <c r="D692" s="663"/>
      <c r="E692" s="2539"/>
      <c r="F692" s="2539"/>
      <c r="G692" s="2539"/>
      <c r="H692" s="2539"/>
      <c r="I692" s="2539"/>
      <c r="J692" s="2539"/>
      <c r="K692" s="2539"/>
      <c r="L692" s="2539"/>
      <c r="M692" s="2539"/>
      <c r="N692" s="2539"/>
      <c r="O692" s="2539"/>
      <c r="P692" s="2539"/>
      <c r="Q692" s="2539"/>
      <c r="R692" s="2539"/>
      <c r="S692" s="2539"/>
      <c r="T692" s="2539"/>
      <c r="U692" s="2539"/>
      <c r="V692" s="2539"/>
      <c r="W692" s="2539"/>
      <c r="X692" s="2539"/>
      <c r="Y692" s="2539"/>
      <c r="Z692" s="2539"/>
      <c r="AA692" s="2539"/>
      <c r="AB692" s="2539"/>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503" t="s">
        <v>2134</v>
      </c>
      <c r="F694" s="2503"/>
      <c r="G694" s="2503"/>
      <c r="H694" s="2503"/>
      <c r="I694" s="2503"/>
      <c r="J694" s="2503"/>
      <c r="K694" s="2503"/>
      <c r="L694" s="2503"/>
      <c r="M694" s="2503"/>
      <c r="N694" s="2503"/>
      <c r="O694" s="2503"/>
      <c r="P694" s="2503"/>
      <c r="Q694" s="2503"/>
      <c r="R694" s="2503"/>
      <c r="S694" s="2503"/>
      <c r="T694" s="2503"/>
      <c r="U694" s="2503"/>
      <c r="V694" s="2503"/>
      <c r="W694" s="2503"/>
      <c r="X694" s="2503"/>
      <c r="Y694" s="2503"/>
      <c r="Z694" s="2503"/>
      <c r="AA694" s="2503"/>
      <c r="AB694" s="2503"/>
      <c r="AC694" s="536"/>
      <c r="AD694" s="536"/>
      <c r="AE694" s="536"/>
      <c r="AF694" s="2447" t="s">
        <v>1352</v>
      </c>
      <c r="AG694" s="2447"/>
      <c r="AH694" s="2447"/>
      <c r="AI694" s="2447"/>
      <c r="AJ694" s="2447"/>
      <c r="AK694" s="2447"/>
      <c r="AL694" s="2447"/>
      <c r="AN694" s="597"/>
      <c r="AW694" s="22" t="s">
        <v>2188</v>
      </c>
      <c r="AX694" s="550">
        <f>AX691+AX692+AX693</f>
        <v>0</v>
      </c>
    </row>
    <row r="695" spans="1:51" s="550" customFormat="1" ht="12.75" customHeight="1">
      <c r="B695" s="536"/>
      <c r="C695" s="940"/>
      <c r="D695" s="663"/>
      <c r="E695" s="2503"/>
      <c r="F695" s="2503"/>
      <c r="G695" s="2503"/>
      <c r="H695" s="2503"/>
      <c r="I695" s="2503"/>
      <c r="J695" s="2503"/>
      <c r="K695" s="2503"/>
      <c r="L695" s="2503"/>
      <c r="M695" s="2503"/>
      <c r="N695" s="2503"/>
      <c r="O695" s="2503"/>
      <c r="P695" s="2503"/>
      <c r="Q695" s="2503"/>
      <c r="R695" s="2503"/>
      <c r="S695" s="2503"/>
      <c r="T695" s="2503"/>
      <c r="U695" s="2503"/>
      <c r="V695" s="2503"/>
      <c r="W695" s="2503"/>
      <c r="X695" s="2503"/>
      <c r="Y695" s="2503"/>
      <c r="Z695" s="2503"/>
      <c r="AA695" s="2503"/>
      <c r="AB695" s="2503"/>
      <c r="AC695" s="536"/>
      <c r="AD695" s="536"/>
      <c r="AE695" s="616"/>
      <c r="AF695" s="536"/>
      <c r="AG695" s="536"/>
      <c r="AH695" s="536"/>
      <c r="AI695" s="536"/>
      <c r="AJ695" s="536"/>
      <c r="AK695" s="536"/>
      <c r="AL695" s="536"/>
      <c r="AN695" s="597"/>
      <c r="AO695" s="2538" t="b">
        <f>IF(Application!D211="Special Needs",IF(AY695&gt;=0.25,TRUE,FALSE),IF(AX695&gt;=0.25,TRUE,FALSE))</f>
        <v>0</v>
      </c>
      <c r="AP695" s="2538"/>
      <c r="AW695" s="22" t="s">
        <v>2189</v>
      </c>
      <c r="AX695" s="550">
        <f>IFERROR(AX694/AX690,0)</f>
        <v>0</v>
      </c>
      <c r="AY695" s="550">
        <f>IFERROR(AX694/(AX690-AX689),0)</f>
        <v>0</v>
      </c>
    </row>
    <row r="696" spans="1:51" s="550" customFormat="1" ht="12.75" customHeight="1">
      <c r="B696" s="536"/>
      <c r="C696" s="940"/>
      <c r="E696" s="2503"/>
      <c r="F696" s="2503"/>
      <c r="G696" s="2503"/>
      <c r="H696" s="2503"/>
      <c r="I696" s="2503"/>
      <c r="J696" s="2503"/>
      <c r="K696" s="2503"/>
      <c r="L696" s="2503"/>
      <c r="M696" s="2503"/>
      <c r="N696" s="2503"/>
      <c r="O696" s="2503"/>
      <c r="P696" s="2503"/>
      <c r="Q696" s="2503"/>
      <c r="R696" s="2503"/>
      <c r="S696" s="2503"/>
      <c r="T696" s="2503"/>
      <c r="U696" s="2503"/>
      <c r="V696" s="2503"/>
      <c r="W696" s="2503"/>
      <c r="X696" s="2503"/>
      <c r="Y696" s="2503"/>
      <c r="Z696" s="2503"/>
      <c r="AA696" s="2503"/>
      <c r="AB696" s="2503"/>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3"/>
      <c r="F697" s="2503"/>
      <c r="G697" s="2503"/>
      <c r="H697" s="2503"/>
      <c r="I697" s="2503"/>
      <c r="J697" s="2503"/>
      <c r="K697" s="2503"/>
      <c r="L697" s="2503"/>
      <c r="M697" s="2503"/>
      <c r="N697" s="2503"/>
      <c r="O697" s="2503"/>
      <c r="P697" s="2503"/>
      <c r="Q697" s="2503"/>
      <c r="R697" s="2503"/>
      <c r="S697" s="2503"/>
      <c r="T697" s="2503"/>
      <c r="U697" s="2503"/>
      <c r="V697" s="2503"/>
      <c r="W697" s="2503"/>
      <c r="X697" s="2503"/>
      <c r="Y697" s="2503"/>
      <c r="Z697" s="2503"/>
      <c r="AA697" s="2503"/>
      <c r="AB697" s="2503"/>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503" t="s">
        <v>2135</v>
      </c>
      <c r="F699" s="2503"/>
      <c r="G699" s="2503"/>
      <c r="H699" s="2503"/>
      <c r="I699" s="2503"/>
      <c r="J699" s="2503"/>
      <c r="K699" s="2503"/>
      <c r="L699" s="2503"/>
      <c r="M699" s="2503"/>
      <c r="N699" s="2503"/>
      <c r="O699" s="2503"/>
      <c r="P699" s="2503"/>
      <c r="Q699" s="2503"/>
      <c r="R699" s="2503"/>
      <c r="S699" s="2503"/>
      <c r="T699" s="2503"/>
      <c r="U699" s="2503"/>
      <c r="V699" s="2503"/>
      <c r="W699" s="2503"/>
      <c r="X699" s="2503"/>
      <c r="Y699" s="2503"/>
      <c r="Z699" s="2503"/>
      <c r="AA699" s="2503"/>
      <c r="AB699" s="2503"/>
      <c r="AC699" s="536"/>
      <c r="AD699" s="536"/>
      <c r="AE699" s="536"/>
      <c r="AF699" s="2447" t="s">
        <v>1408</v>
      </c>
      <c r="AG699" s="2447"/>
      <c r="AH699" s="2447"/>
      <c r="AI699" s="2447"/>
      <c r="AJ699" s="2447"/>
      <c r="AK699" s="2447"/>
      <c r="AL699" s="2447"/>
      <c r="AN699" s="597"/>
      <c r="AO699" s="611" t="s">
        <v>509</v>
      </c>
      <c r="AP699" s="550">
        <v>1</v>
      </c>
    </row>
    <row r="700" spans="1:51" s="550" customFormat="1" ht="12" customHeight="1">
      <c r="B700" s="536"/>
      <c r="C700" s="931"/>
      <c r="E700" s="2503"/>
      <c r="F700" s="2503"/>
      <c r="G700" s="2503"/>
      <c r="H700" s="2503"/>
      <c r="I700" s="2503"/>
      <c r="J700" s="2503"/>
      <c r="K700" s="2503"/>
      <c r="L700" s="2503"/>
      <c r="M700" s="2503"/>
      <c r="N700" s="2503"/>
      <c r="O700" s="2503"/>
      <c r="P700" s="2503"/>
      <c r="Q700" s="2503"/>
      <c r="R700" s="2503"/>
      <c r="S700" s="2503"/>
      <c r="T700" s="2503"/>
      <c r="U700" s="2503"/>
      <c r="V700" s="2503"/>
      <c r="W700" s="2503"/>
      <c r="X700" s="2503"/>
      <c r="Y700" s="2503"/>
      <c r="Z700" s="2503"/>
      <c r="AA700" s="2503"/>
      <c r="AB700" s="2503"/>
      <c r="AC700" s="536"/>
      <c r="AD700" s="536"/>
      <c r="AE700" s="616"/>
      <c r="AF700" s="536"/>
      <c r="AG700" s="536"/>
      <c r="AH700" s="536"/>
      <c r="AI700" s="536"/>
      <c r="AJ700" s="536"/>
      <c r="AK700" s="536"/>
      <c r="AL700" s="536"/>
      <c r="AN700" s="597"/>
    </row>
    <row r="701" spans="1:51" s="550" customFormat="1" ht="12" customHeight="1">
      <c r="B701" s="536"/>
      <c r="C701" s="931"/>
      <c r="D701" s="536"/>
      <c r="E701" s="2503"/>
      <c r="F701" s="2503"/>
      <c r="G701" s="2503"/>
      <c r="H701" s="2503"/>
      <c r="I701" s="2503"/>
      <c r="J701" s="2503"/>
      <c r="K701" s="2503"/>
      <c r="L701" s="2503"/>
      <c r="M701" s="2503"/>
      <c r="N701" s="2503"/>
      <c r="O701" s="2503"/>
      <c r="P701" s="2503"/>
      <c r="Q701" s="2503"/>
      <c r="R701" s="2503"/>
      <c r="S701" s="2503"/>
      <c r="T701" s="2503"/>
      <c r="U701" s="2503"/>
      <c r="V701" s="2503"/>
      <c r="W701" s="2503"/>
      <c r="X701" s="2503"/>
      <c r="Y701" s="2503"/>
      <c r="Z701" s="2503"/>
      <c r="AA701" s="2503"/>
      <c r="AB701" s="2503"/>
      <c r="AC701" s="536"/>
      <c r="AD701" s="536"/>
      <c r="AE701" s="616"/>
      <c r="AF701" s="536"/>
      <c r="AG701" s="536"/>
      <c r="AH701" s="536"/>
      <c r="AI701" s="536"/>
      <c r="AJ701" s="536"/>
      <c r="AK701" s="536"/>
      <c r="AL701" s="536"/>
      <c r="AN701" s="597"/>
    </row>
    <row r="702" spans="1:51" s="550" customFormat="1" ht="12" customHeight="1">
      <c r="B702" s="536"/>
      <c r="C702" s="931"/>
      <c r="D702" s="536"/>
      <c r="E702" s="2503"/>
      <c r="F702" s="2503"/>
      <c r="G702" s="2503"/>
      <c r="H702" s="2503"/>
      <c r="I702" s="2503"/>
      <c r="J702" s="2503"/>
      <c r="K702" s="2503"/>
      <c r="L702" s="2503"/>
      <c r="M702" s="2503"/>
      <c r="N702" s="2503"/>
      <c r="O702" s="2503"/>
      <c r="P702" s="2503"/>
      <c r="Q702" s="2503"/>
      <c r="R702" s="2503"/>
      <c r="S702" s="2503"/>
      <c r="T702" s="2503"/>
      <c r="U702" s="2503"/>
      <c r="V702" s="2503"/>
      <c r="W702" s="2503"/>
      <c r="X702" s="2503"/>
      <c r="Y702" s="2503"/>
      <c r="Z702" s="2503"/>
      <c r="AA702" s="2503"/>
      <c r="AB702" s="250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3"/>
      <c r="F703" s="2503"/>
      <c r="G703" s="2503"/>
      <c r="H703" s="2503"/>
      <c r="I703" s="2503"/>
      <c r="J703" s="2503"/>
      <c r="K703" s="2503"/>
      <c r="L703" s="2503"/>
      <c r="M703" s="2503"/>
      <c r="N703" s="2503"/>
      <c r="O703" s="2503"/>
      <c r="P703" s="2503"/>
      <c r="Q703" s="2503"/>
      <c r="R703" s="2503"/>
      <c r="S703" s="2503"/>
      <c r="T703" s="2503"/>
      <c r="U703" s="2503"/>
      <c r="V703" s="2503"/>
      <c r="W703" s="2503"/>
      <c r="X703" s="2503"/>
      <c r="Y703" s="2503"/>
      <c r="Z703" s="2503"/>
      <c r="AA703" s="2503"/>
      <c r="AB703" s="2503"/>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3" t="s">
        <v>1693</v>
      </c>
      <c r="F705" s="2503"/>
      <c r="G705" s="2503"/>
      <c r="H705" s="2503"/>
      <c r="I705" s="2503"/>
      <c r="J705" s="2503"/>
      <c r="K705" s="2503"/>
      <c r="L705" s="2503"/>
      <c r="M705" s="2503"/>
      <c r="N705" s="2503"/>
      <c r="O705" s="2503"/>
      <c r="P705" s="2503"/>
      <c r="Q705" s="2503"/>
      <c r="R705" s="2503"/>
      <c r="S705" s="2503"/>
      <c r="T705" s="2503"/>
      <c r="U705" s="2503"/>
      <c r="V705" s="2503"/>
      <c r="W705" s="2503"/>
      <c r="X705" s="2503"/>
      <c r="Y705" s="2503"/>
      <c r="Z705" s="2503"/>
      <c r="AA705" s="2503"/>
      <c r="AB705" s="2503"/>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503"/>
      <c r="F706" s="2503"/>
      <c r="G706" s="2503"/>
      <c r="H706" s="2503"/>
      <c r="I706" s="2503"/>
      <c r="J706" s="2503"/>
      <c r="K706" s="2503"/>
      <c r="L706" s="2503"/>
      <c r="M706" s="2503"/>
      <c r="N706" s="2503"/>
      <c r="O706" s="2503"/>
      <c r="P706" s="2503"/>
      <c r="Q706" s="2503"/>
      <c r="R706" s="2503"/>
      <c r="S706" s="2503"/>
      <c r="T706" s="2503"/>
      <c r="U706" s="2503"/>
      <c r="V706" s="2503"/>
      <c r="W706" s="2503"/>
      <c r="X706" s="2503"/>
      <c r="Y706" s="2503"/>
      <c r="Z706" s="2503"/>
      <c r="AA706" s="2503"/>
      <c r="AB706" s="2503"/>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503"/>
      <c r="F707" s="2503"/>
      <c r="G707" s="2503"/>
      <c r="H707" s="2503"/>
      <c r="I707" s="2503"/>
      <c r="J707" s="2503"/>
      <c r="K707" s="2503"/>
      <c r="L707" s="2503"/>
      <c r="M707" s="2503"/>
      <c r="N707" s="2503"/>
      <c r="O707" s="2503"/>
      <c r="P707" s="2503"/>
      <c r="Q707" s="2503"/>
      <c r="R707" s="2503"/>
      <c r="S707" s="2503"/>
      <c r="T707" s="2503"/>
      <c r="U707" s="2503"/>
      <c r="V707" s="2503"/>
      <c r="W707" s="2503"/>
      <c r="X707" s="2503"/>
      <c r="Y707" s="2503"/>
      <c r="Z707" s="2503"/>
      <c r="AA707" s="2503"/>
      <c r="AB707" s="250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32" t="s">
        <v>687</v>
      </c>
      <c r="I709" s="253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3">
        <f>VLOOKUP($H$709,$AO$703:$AP$706,2,FALSE)</f>
        <v>3</v>
      </c>
      <c r="AK711" s="2485"/>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40" t="s">
        <v>1695</v>
      </c>
      <c r="F715" s="2540"/>
      <c r="G715" s="2540"/>
      <c r="H715" s="2540"/>
      <c r="I715" s="2540"/>
      <c r="J715" s="2540"/>
      <c r="K715" s="2540"/>
      <c r="L715" s="2540"/>
      <c r="M715" s="2540"/>
      <c r="N715" s="2540"/>
      <c r="O715" s="2540"/>
      <c r="P715" s="2540"/>
      <c r="Q715" s="2540"/>
      <c r="R715" s="2540"/>
      <c r="S715" s="2540"/>
      <c r="T715" s="2540"/>
      <c r="U715" s="2540"/>
      <c r="V715" s="2540"/>
      <c r="W715" s="2540"/>
      <c r="X715" s="2540"/>
      <c r="Y715" s="2540"/>
      <c r="Z715" s="2540"/>
      <c r="AA715" s="2540"/>
      <c r="AB715" s="2540"/>
      <c r="AC715" s="536"/>
      <c r="AD715" s="536"/>
      <c r="AE715" s="536"/>
      <c r="AF715" s="2447" t="s">
        <v>1352</v>
      </c>
      <c r="AG715" s="2447"/>
      <c r="AH715" s="2447"/>
      <c r="AI715" s="2447"/>
      <c r="AJ715" s="2447"/>
      <c r="AK715" s="2447"/>
      <c r="AL715" s="2447"/>
      <c r="AM715" s="550"/>
      <c r="AN715" s="684"/>
      <c r="AP715" s="570" t="s">
        <v>1432</v>
      </c>
    </row>
    <row r="716" spans="1:43" s="570" customFormat="1" ht="11.85" customHeight="1">
      <c r="A716" s="550"/>
      <c r="B716" s="536"/>
      <c r="C716" s="933"/>
      <c r="D716" s="663"/>
      <c r="E716" s="2540"/>
      <c r="F716" s="2540"/>
      <c r="G716" s="2540"/>
      <c r="H716" s="2540"/>
      <c r="I716" s="2540"/>
      <c r="J716" s="2540"/>
      <c r="K716" s="2540"/>
      <c r="L716" s="2540"/>
      <c r="M716" s="2540"/>
      <c r="N716" s="2540"/>
      <c r="O716" s="2540"/>
      <c r="P716" s="2540"/>
      <c r="Q716" s="2540"/>
      <c r="R716" s="2540"/>
      <c r="S716" s="2540"/>
      <c r="T716" s="2540"/>
      <c r="U716" s="2540"/>
      <c r="V716" s="2540"/>
      <c r="W716" s="2540"/>
      <c r="X716" s="2540"/>
      <c r="Y716" s="2540"/>
      <c r="Z716" s="2540"/>
      <c r="AA716" s="2540"/>
      <c r="AB716" s="2540"/>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40"/>
      <c r="F717" s="2540"/>
      <c r="G717" s="2540"/>
      <c r="H717" s="2540"/>
      <c r="I717" s="2540"/>
      <c r="J717" s="2540"/>
      <c r="K717" s="2540"/>
      <c r="L717" s="2540"/>
      <c r="M717" s="2540"/>
      <c r="N717" s="2540"/>
      <c r="O717" s="2540"/>
      <c r="P717" s="2540"/>
      <c r="Q717" s="2540"/>
      <c r="R717" s="2540"/>
      <c r="S717" s="2540"/>
      <c r="T717" s="2540"/>
      <c r="U717" s="2540"/>
      <c r="V717" s="2540"/>
      <c r="W717" s="2540"/>
      <c r="X717" s="2540"/>
      <c r="Y717" s="2540"/>
      <c r="Z717" s="2540"/>
      <c r="AA717" s="2540"/>
      <c r="AB717" s="2540"/>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509</v>
      </c>
      <c r="E719" s="2541" t="s">
        <v>1435</v>
      </c>
      <c r="F719" s="2541"/>
      <c r="G719" s="2541"/>
      <c r="H719" s="2541"/>
      <c r="I719" s="2541"/>
      <c r="J719" s="2541"/>
      <c r="K719" s="2541"/>
      <c r="L719" s="2541"/>
      <c r="M719" s="2541"/>
      <c r="N719" s="2541"/>
      <c r="O719" s="2541"/>
      <c r="P719" s="2541"/>
      <c r="Q719" s="2541"/>
      <c r="R719" s="2541"/>
      <c r="S719" s="2541"/>
      <c r="T719" s="2541"/>
      <c r="U719" s="2541"/>
      <c r="V719" s="2541"/>
      <c r="W719" s="2541"/>
      <c r="X719" s="2541"/>
      <c r="Y719" s="2541"/>
      <c r="Z719" s="2541"/>
      <c r="AA719" s="2541"/>
      <c r="AB719" s="2541"/>
      <c r="AC719" s="536"/>
      <c r="AD719" s="536"/>
      <c r="AE719" s="536"/>
      <c r="AF719" s="2447" t="s">
        <v>1408</v>
      </c>
      <c r="AG719" s="2447"/>
      <c r="AH719" s="2447"/>
      <c r="AI719" s="2447"/>
      <c r="AJ719" s="2447"/>
      <c r="AK719" s="2447"/>
      <c r="AL719" s="2447"/>
      <c r="AM719" s="550"/>
      <c r="AN719" s="685"/>
    </row>
    <row r="720" spans="1:43" s="570" customFormat="1" ht="12.75" customHeight="1">
      <c r="A720" s="550"/>
      <c r="B720" s="536"/>
      <c r="C720" s="933"/>
      <c r="D720" s="536"/>
      <c r="E720" s="2541"/>
      <c r="F720" s="2541"/>
      <c r="G720" s="2541"/>
      <c r="H720" s="2541"/>
      <c r="I720" s="2541"/>
      <c r="J720" s="2541"/>
      <c r="K720" s="2541"/>
      <c r="L720" s="2541"/>
      <c r="M720" s="2541"/>
      <c r="N720" s="2541"/>
      <c r="O720" s="2541"/>
      <c r="P720" s="2541"/>
      <c r="Q720" s="2541"/>
      <c r="R720" s="2541"/>
      <c r="S720" s="2541"/>
      <c r="T720" s="2541"/>
      <c r="U720" s="2541"/>
      <c r="V720" s="2541"/>
      <c r="W720" s="2541"/>
      <c r="X720" s="2541"/>
      <c r="Y720" s="2541"/>
      <c r="Z720" s="2541"/>
      <c r="AA720" s="2541"/>
      <c r="AB720" s="2541"/>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41"/>
      <c r="F721" s="2541"/>
      <c r="G721" s="2541"/>
      <c r="H721" s="2541"/>
      <c r="I721" s="2541"/>
      <c r="J721" s="2541"/>
      <c r="K721" s="2541"/>
      <c r="L721" s="2541"/>
      <c r="M721" s="2541"/>
      <c r="N721" s="2541"/>
      <c r="O721" s="2541"/>
      <c r="P721" s="2541"/>
      <c r="Q721" s="2541"/>
      <c r="R721" s="2541"/>
      <c r="S721" s="2541"/>
      <c r="T721" s="2541"/>
      <c r="U721" s="2541"/>
      <c r="V721" s="2541"/>
      <c r="W721" s="2541"/>
      <c r="X721" s="2541"/>
      <c r="Y721" s="2541"/>
      <c r="Z721" s="2541"/>
      <c r="AA721" s="2541"/>
      <c r="AB721" s="2541"/>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1400</v>
      </c>
      <c r="E723" s="936"/>
      <c r="F723" s="936"/>
      <c r="G723" s="936"/>
      <c r="H723" s="2532" t="s">
        <v>591</v>
      </c>
      <c r="I723" s="253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3">
        <f>VLOOKUP($H$723,$AP$720:$AQ$722,2,FALSE)</f>
        <v>0</v>
      </c>
      <c r="AK725" s="2485"/>
      <c r="AL725" s="595"/>
      <c r="AM725" s="550"/>
      <c r="AN725" s="684"/>
      <c r="AP725" s="2483"/>
      <c r="AQ725" s="248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3" t="s">
        <v>1696</v>
      </c>
      <c r="F729" s="2503"/>
      <c r="G729" s="2503"/>
      <c r="H729" s="2503"/>
      <c r="I729" s="2503"/>
      <c r="J729" s="2503"/>
      <c r="K729" s="2503"/>
      <c r="L729" s="2503"/>
      <c r="M729" s="2503"/>
      <c r="N729" s="2503"/>
      <c r="O729" s="2503"/>
      <c r="P729" s="2503"/>
      <c r="Q729" s="2503"/>
      <c r="R729" s="2503"/>
      <c r="S729" s="2503"/>
      <c r="T729" s="2503"/>
      <c r="U729" s="2503"/>
      <c r="V729" s="2503"/>
      <c r="W729" s="2503"/>
      <c r="X729" s="2503"/>
      <c r="Y729" s="2503"/>
      <c r="Z729" s="2503"/>
      <c r="AA729" s="2503"/>
      <c r="AB729" s="2503"/>
      <c r="AC729" s="536"/>
      <c r="AD729" s="536"/>
      <c r="AE729" s="536"/>
      <c r="AF729" s="2447" t="s">
        <v>1352</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3"/>
      <c r="F730" s="2503"/>
      <c r="G730" s="2503"/>
      <c r="H730" s="2503"/>
      <c r="I730" s="2503"/>
      <c r="J730" s="2503"/>
      <c r="K730" s="2503"/>
      <c r="L730" s="2503"/>
      <c r="M730" s="2503"/>
      <c r="N730" s="2503"/>
      <c r="O730" s="2503"/>
      <c r="P730" s="2503"/>
      <c r="Q730" s="2503"/>
      <c r="R730" s="2503"/>
      <c r="S730" s="2503"/>
      <c r="T730" s="2503"/>
      <c r="U730" s="2503"/>
      <c r="V730" s="2503"/>
      <c r="W730" s="2503"/>
      <c r="X730" s="2503"/>
      <c r="Y730" s="2503"/>
      <c r="Z730" s="2503"/>
      <c r="AA730" s="2503"/>
      <c r="AB730" s="250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3" t="s">
        <v>1439</v>
      </c>
      <c r="F732" s="2503"/>
      <c r="G732" s="2503"/>
      <c r="H732" s="2503"/>
      <c r="I732" s="2503"/>
      <c r="J732" s="2503"/>
      <c r="K732" s="2503"/>
      <c r="L732" s="2503"/>
      <c r="M732" s="2503"/>
      <c r="N732" s="2503"/>
      <c r="O732" s="2503"/>
      <c r="P732" s="2503"/>
      <c r="Q732" s="2503"/>
      <c r="R732" s="2503"/>
      <c r="S732" s="2503"/>
      <c r="T732" s="2503"/>
      <c r="U732" s="2503"/>
      <c r="V732" s="2503"/>
      <c r="W732" s="2503"/>
      <c r="X732" s="2503"/>
      <c r="Y732" s="2503"/>
      <c r="Z732" s="2503"/>
      <c r="AA732" s="2503"/>
      <c r="AB732" s="2503"/>
      <c r="AC732" s="536"/>
      <c r="AD732" s="536"/>
      <c r="AE732" s="536"/>
      <c r="AF732" s="2447" t="s">
        <v>1408</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3"/>
      <c r="F733" s="2503"/>
      <c r="G733" s="2503"/>
      <c r="H733" s="2503"/>
      <c r="I733" s="2503"/>
      <c r="J733" s="2503"/>
      <c r="K733" s="2503"/>
      <c r="L733" s="2503"/>
      <c r="M733" s="2503"/>
      <c r="N733" s="2503"/>
      <c r="O733" s="2503"/>
      <c r="P733" s="2503"/>
      <c r="Q733" s="2503"/>
      <c r="R733" s="2503"/>
      <c r="S733" s="2503"/>
      <c r="T733" s="2503"/>
      <c r="U733" s="2503"/>
      <c r="V733" s="2503"/>
      <c r="W733" s="2503"/>
      <c r="X733" s="2503"/>
      <c r="Y733" s="2503"/>
      <c r="Z733" s="2503"/>
      <c r="AA733" s="2503"/>
      <c r="AB733" s="250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32" t="s">
        <v>591</v>
      </c>
      <c r="I735" s="253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3">
        <f>VLOOKUP($H$735,$AO$666:$AP$668,2,FALSE)</f>
        <v>0</v>
      </c>
      <c r="AK737" s="248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3" t="s">
        <v>1442</v>
      </c>
      <c r="F741" s="2503"/>
      <c r="G741" s="2503"/>
      <c r="H741" s="2503"/>
      <c r="I741" s="2503"/>
      <c r="J741" s="2503"/>
      <c r="K741" s="2503"/>
      <c r="L741" s="2503"/>
      <c r="M741" s="2503"/>
      <c r="N741" s="2503"/>
      <c r="O741" s="2503"/>
      <c r="P741" s="2503"/>
      <c r="Q741" s="2503"/>
      <c r="R741" s="2503"/>
      <c r="S741" s="2503"/>
      <c r="T741" s="2503"/>
      <c r="U741" s="2503"/>
      <c r="V741" s="2503"/>
      <c r="W741" s="2503"/>
      <c r="X741" s="2503"/>
      <c r="Y741" s="2503"/>
      <c r="Z741" s="2503"/>
      <c r="AA741" s="2503"/>
      <c r="AB741" s="2503"/>
      <c r="AC741" s="536"/>
      <c r="AD741" s="536"/>
      <c r="AE741" s="536"/>
      <c r="AF741" s="2447" t="s">
        <v>1352</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3"/>
      <c r="F742" s="2503"/>
      <c r="G742" s="2503"/>
      <c r="H742" s="2503"/>
      <c r="I742" s="2503"/>
      <c r="J742" s="2503"/>
      <c r="K742" s="2503"/>
      <c r="L742" s="2503"/>
      <c r="M742" s="2503"/>
      <c r="N742" s="2503"/>
      <c r="O742" s="2503"/>
      <c r="P742" s="2503"/>
      <c r="Q742" s="2503"/>
      <c r="R742" s="2503"/>
      <c r="S742" s="2503"/>
      <c r="T742" s="2503"/>
      <c r="U742" s="2503"/>
      <c r="V742" s="2503"/>
      <c r="W742" s="2503"/>
      <c r="X742" s="2503"/>
      <c r="Y742" s="2503"/>
      <c r="Z742" s="2503"/>
      <c r="AA742" s="2503"/>
      <c r="AB742" s="250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3"/>
      <c r="F743" s="2503"/>
      <c r="G743" s="2503"/>
      <c r="H743" s="2503"/>
      <c r="I743" s="2503"/>
      <c r="J743" s="2503"/>
      <c r="K743" s="2503"/>
      <c r="L743" s="2503"/>
      <c r="M743" s="2503"/>
      <c r="N743" s="2503"/>
      <c r="O743" s="2503"/>
      <c r="P743" s="2503"/>
      <c r="Q743" s="2503"/>
      <c r="R743" s="2503"/>
      <c r="S743" s="2503"/>
      <c r="T743" s="2503"/>
      <c r="U743" s="2503"/>
      <c r="V743" s="2503"/>
      <c r="W743" s="2503"/>
      <c r="X743" s="2503"/>
      <c r="Y743" s="2503"/>
      <c r="Z743" s="2503"/>
      <c r="AA743" s="2503"/>
      <c r="AB743" s="250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3"/>
      <c r="F744" s="2503"/>
      <c r="G744" s="2503"/>
      <c r="H744" s="2503"/>
      <c r="I744" s="2503"/>
      <c r="J744" s="2503"/>
      <c r="K744" s="2503"/>
      <c r="L744" s="2503"/>
      <c r="M744" s="2503"/>
      <c r="N744" s="2503"/>
      <c r="O744" s="2503"/>
      <c r="P744" s="2503"/>
      <c r="Q744" s="2503"/>
      <c r="R744" s="2503"/>
      <c r="S744" s="2503"/>
      <c r="T744" s="2503"/>
      <c r="U744" s="2503"/>
      <c r="V744" s="2503"/>
      <c r="W744" s="2503"/>
      <c r="X744" s="2503"/>
      <c r="Y744" s="2503"/>
      <c r="Z744" s="2503"/>
      <c r="AA744" s="2503"/>
      <c r="AB744" s="250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3" t="s">
        <v>1443</v>
      </c>
      <c r="F746" s="2503"/>
      <c r="G746" s="2503"/>
      <c r="H746" s="2503"/>
      <c r="I746" s="2503"/>
      <c r="J746" s="2503"/>
      <c r="K746" s="2503"/>
      <c r="L746" s="2503"/>
      <c r="M746" s="2503"/>
      <c r="N746" s="2503"/>
      <c r="O746" s="2503"/>
      <c r="P746" s="2503"/>
      <c r="Q746" s="2503"/>
      <c r="R746" s="2503"/>
      <c r="S746" s="2503"/>
      <c r="T746" s="2503"/>
      <c r="U746" s="2503"/>
      <c r="V746" s="2503"/>
      <c r="W746" s="2503"/>
      <c r="X746" s="2503"/>
      <c r="Y746" s="2503"/>
      <c r="Z746" s="2503"/>
      <c r="AA746" s="2503"/>
      <c r="AB746" s="575"/>
      <c r="AC746" s="536"/>
      <c r="AD746" s="536"/>
      <c r="AE746" s="536"/>
      <c r="AF746" s="2447" t="s">
        <v>1408</v>
      </c>
      <c r="AG746" s="2447"/>
      <c r="AH746" s="2447"/>
      <c r="AI746" s="2447"/>
      <c r="AJ746" s="2447"/>
      <c r="AK746" s="2447"/>
      <c r="AL746" s="2447"/>
      <c r="AM746" s="550"/>
      <c r="AN746" s="684"/>
      <c r="AO746" s="30"/>
      <c r="AP746" s="14"/>
    </row>
    <row r="747" spans="1:81" s="570" customFormat="1">
      <c r="A747" s="550"/>
      <c r="B747" s="536"/>
      <c r="C747" s="931"/>
      <c r="D747" s="663"/>
      <c r="E747" s="2503"/>
      <c r="F747" s="2503"/>
      <c r="G747" s="2503"/>
      <c r="H747" s="2503"/>
      <c r="I747" s="2503"/>
      <c r="J747" s="2503"/>
      <c r="K747" s="2503"/>
      <c r="L747" s="2503"/>
      <c r="M747" s="2503"/>
      <c r="N747" s="2503"/>
      <c r="O747" s="2503"/>
      <c r="P747" s="2503"/>
      <c r="Q747" s="2503"/>
      <c r="R747" s="2503"/>
      <c r="S747" s="2503"/>
      <c r="T747" s="2503"/>
      <c r="U747" s="2503"/>
      <c r="V747" s="2503"/>
      <c r="W747" s="2503"/>
      <c r="X747" s="2503"/>
      <c r="Y747" s="2503"/>
      <c r="Z747" s="2503"/>
      <c r="AA747" s="250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3"/>
      <c r="F748" s="2503"/>
      <c r="G748" s="2503"/>
      <c r="H748" s="2503"/>
      <c r="I748" s="2503"/>
      <c r="J748" s="2503"/>
      <c r="K748" s="2503"/>
      <c r="L748" s="2503"/>
      <c r="M748" s="2503"/>
      <c r="N748" s="2503"/>
      <c r="O748" s="2503"/>
      <c r="P748" s="2503"/>
      <c r="Q748" s="2503"/>
      <c r="R748" s="2503"/>
      <c r="S748" s="2503"/>
      <c r="T748" s="2503"/>
      <c r="U748" s="2503"/>
      <c r="V748" s="2503"/>
      <c r="W748" s="2503"/>
      <c r="X748" s="2503"/>
      <c r="Y748" s="2503"/>
      <c r="Z748" s="2503"/>
      <c r="AA748" s="250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3"/>
      <c r="F749" s="2503"/>
      <c r="G749" s="2503"/>
      <c r="H749" s="2503"/>
      <c r="I749" s="2503"/>
      <c r="J749" s="2503"/>
      <c r="K749" s="2503"/>
      <c r="L749" s="2503"/>
      <c r="M749" s="2503"/>
      <c r="N749" s="2503"/>
      <c r="O749" s="2503"/>
      <c r="P749" s="2503"/>
      <c r="Q749" s="2503"/>
      <c r="R749" s="2503"/>
      <c r="S749" s="2503"/>
      <c r="T749" s="2503"/>
      <c r="U749" s="2503"/>
      <c r="V749" s="2503"/>
      <c r="W749" s="2503"/>
      <c r="X749" s="2503"/>
      <c r="Y749" s="2503"/>
      <c r="Z749" s="2503"/>
      <c r="AA749" s="250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32" t="s">
        <v>509</v>
      </c>
      <c r="I751" s="253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3">
        <f>VLOOKUP($H$751,$AO$680:$AP$682,2,FALSE)</f>
        <v>2</v>
      </c>
      <c r="AK753" s="248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3" t="s">
        <v>1445</v>
      </c>
      <c r="F757" s="2503"/>
      <c r="G757" s="2503"/>
      <c r="H757" s="2503"/>
      <c r="I757" s="2503"/>
      <c r="J757" s="2503"/>
      <c r="K757" s="2503"/>
      <c r="L757" s="2503"/>
      <c r="M757" s="2503"/>
      <c r="N757" s="2503"/>
      <c r="O757" s="2503"/>
      <c r="P757" s="2503"/>
      <c r="Q757" s="2503"/>
      <c r="R757" s="2503"/>
      <c r="S757" s="2503"/>
      <c r="T757" s="2503"/>
      <c r="U757" s="2503"/>
      <c r="V757" s="2503"/>
      <c r="W757" s="2503"/>
      <c r="X757" s="2503"/>
      <c r="Y757" s="2503"/>
      <c r="Z757" s="2503"/>
      <c r="AA757" s="2503"/>
      <c r="AB757" s="2503"/>
      <c r="AC757" s="536"/>
      <c r="AD757" s="536"/>
      <c r="AE757" s="536"/>
      <c r="AF757" s="2447" t="s">
        <v>1408</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3"/>
      <c r="F758" s="2503"/>
      <c r="G758" s="2503"/>
      <c r="H758" s="2503"/>
      <c r="I758" s="2503"/>
      <c r="J758" s="2503"/>
      <c r="K758" s="2503"/>
      <c r="L758" s="2503"/>
      <c r="M758" s="2503"/>
      <c r="N758" s="2503"/>
      <c r="O758" s="2503"/>
      <c r="P758" s="2503"/>
      <c r="Q758" s="2503"/>
      <c r="R758" s="2503"/>
      <c r="S758" s="2503"/>
      <c r="T758" s="2503"/>
      <c r="U758" s="2503"/>
      <c r="V758" s="2503"/>
      <c r="W758" s="2503"/>
      <c r="X758" s="2503"/>
      <c r="Y758" s="2503"/>
      <c r="Z758" s="2503"/>
      <c r="AA758" s="2503"/>
      <c r="AB758" s="250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3" t="s">
        <v>1446</v>
      </c>
      <c r="F760" s="2503"/>
      <c r="G760" s="2503"/>
      <c r="H760" s="2503"/>
      <c r="I760" s="2503"/>
      <c r="J760" s="2503"/>
      <c r="K760" s="2503"/>
      <c r="L760" s="2503"/>
      <c r="M760" s="2503"/>
      <c r="N760" s="2503"/>
      <c r="O760" s="2503"/>
      <c r="P760" s="2503"/>
      <c r="Q760" s="2503"/>
      <c r="R760" s="2503"/>
      <c r="S760" s="2503"/>
      <c r="T760" s="2503"/>
      <c r="U760" s="2503"/>
      <c r="V760" s="2503"/>
      <c r="W760" s="2503"/>
      <c r="X760" s="2503"/>
      <c r="Y760" s="2503"/>
      <c r="Z760" s="2503"/>
      <c r="AA760" s="2503"/>
      <c r="AB760" s="2503"/>
      <c r="AC760" s="536"/>
      <c r="AD760" s="536"/>
      <c r="AE760" s="536"/>
      <c r="AF760" s="2447" t="s">
        <v>1425</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3"/>
      <c r="F761" s="2503"/>
      <c r="G761" s="2503"/>
      <c r="H761" s="2503"/>
      <c r="I761" s="2503"/>
      <c r="J761" s="2503"/>
      <c r="K761" s="2503"/>
      <c r="L761" s="2503"/>
      <c r="M761" s="2503"/>
      <c r="N761" s="2503"/>
      <c r="O761" s="2503"/>
      <c r="P761" s="2503"/>
      <c r="Q761" s="2503"/>
      <c r="R761" s="2503"/>
      <c r="S761" s="2503"/>
      <c r="T761" s="2503"/>
      <c r="U761" s="2503"/>
      <c r="V761" s="2503"/>
      <c r="W761" s="2503"/>
      <c r="X761" s="2503"/>
      <c r="Y761" s="2503"/>
      <c r="Z761" s="2503"/>
      <c r="AA761" s="2503"/>
      <c r="AB761" s="250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32" t="s">
        <v>687</v>
      </c>
      <c r="I763" s="253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3">
        <f>VLOOKUP($H$763,$AO$697:$AP$699,2,FALSE)</f>
        <v>2</v>
      </c>
      <c r="AK765" s="248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503" t="s">
        <v>1692</v>
      </c>
      <c r="F769" s="2503"/>
      <c r="G769" s="2503"/>
      <c r="H769" s="2503"/>
      <c r="I769" s="2503"/>
      <c r="J769" s="2503"/>
      <c r="K769" s="2503"/>
      <c r="L769" s="2503"/>
      <c r="M769" s="2503"/>
      <c r="N769" s="2503"/>
      <c r="O769" s="2503"/>
      <c r="P769" s="2503"/>
      <c r="Q769" s="2503"/>
      <c r="R769" s="2503"/>
      <c r="S769" s="2503"/>
      <c r="T769" s="2503"/>
      <c r="U769" s="2503"/>
      <c r="V769" s="2503"/>
      <c r="W769" s="2503"/>
      <c r="X769" s="2503"/>
      <c r="Y769" s="2503"/>
      <c r="Z769" s="2503"/>
      <c r="AA769" s="2503"/>
      <c r="AB769" s="2503"/>
      <c r="AC769" s="2503"/>
      <c r="AD769" s="2503"/>
      <c r="AE769" s="536"/>
      <c r="AF769" s="2447" t="s">
        <v>1408</v>
      </c>
      <c r="AG769" s="2447"/>
      <c r="AH769" s="2447"/>
      <c r="AI769" s="2447"/>
      <c r="AJ769" s="2447"/>
      <c r="AK769" s="2447"/>
      <c r="AL769" s="2447"/>
      <c r="AM769" s="613"/>
      <c r="AN769" s="684"/>
      <c r="AO769" s="550" t="s">
        <v>591</v>
      </c>
      <c r="AP769" s="673">
        <v>0</v>
      </c>
    </row>
    <row r="770" spans="1:81" s="570" customFormat="1" ht="13.7" customHeight="1">
      <c r="A770" s="550"/>
      <c r="B770" s="616"/>
      <c r="C770" s="940"/>
      <c r="D770" s="663"/>
      <c r="E770" s="2503"/>
      <c r="F770" s="2503"/>
      <c r="G770" s="2503"/>
      <c r="H770" s="2503"/>
      <c r="I770" s="2503"/>
      <c r="J770" s="2503"/>
      <c r="K770" s="2503"/>
      <c r="L770" s="2503"/>
      <c r="M770" s="2503"/>
      <c r="N770" s="2503"/>
      <c r="O770" s="2503"/>
      <c r="P770" s="2503"/>
      <c r="Q770" s="2503"/>
      <c r="R770" s="2503"/>
      <c r="S770" s="2503"/>
      <c r="T770" s="2503"/>
      <c r="U770" s="2503"/>
      <c r="V770" s="2503"/>
      <c r="W770" s="2503"/>
      <c r="X770" s="2503"/>
      <c r="Y770" s="2503"/>
      <c r="Z770" s="2503"/>
      <c r="AA770" s="2503"/>
      <c r="AB770" s="2503"/>
      <c r="AC770" s="2503"/>
      <c r="AD770" s="2503"/>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3"/>
      <c r="F771" s="2503"/>
      <c r="G771" s="2503"/>
      <c r="H771" s="2503"/>
      <c r="I771" s="2503"/>
      <c r="J771" s="2503"/>
      <c r="K771" s="2503"/>
      <c r="L771" s="2503"/>
      <c r="M771" s="2503"/>
      <c r="N771" s="2503"/>
      <c r="O771" s="2503"/>
      <c r="P771" s="2503"/>
      <c r="Q771" s="2503"/>
      <c r="R771" s="2503"/>
      <c r="S771" s="2503"/>
      <c r="T771" s="2503"/>
      <c r="U771" s="2503"/>
      <c r="V771" s="2503"/>
      <c r="W771" s="2503"/>
      <c r="X771" s="2503"/>
      <c r="Y771" s="2503"/>
      <c r="Z771" s="2503"/>
      <c r="AA771" s="2503"/>
      <c r="AB771" s="2503"/>
      <c r="AC771" s="2503"/>
      <c r="AD771" s="2503"/>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3"/>
      <c r="F772" s="2503"/>
      <c r="G772" s="2503"/>
      <c r="H772" s="2503"/>
      <c r="I772" s="2503"/>
      <c r="J772" s="2503"/>
      <c r="K772" s="2503"/>
      <c r="L772" s="2503"/>
      <c r="M772" s="2503"/>
      <c r="N772" s="2503"/>
      <c r="O772" s="2503"/>
      <c r="P772" s="2503"/>
      <c r="Q772" s="2503"/>
      <c r="R772" s="2503"/>
      <c r="S772" s="2503"/>
      <c r="T772" s="2503"/>
      <c r="U772" s="2503"/>
      <c r="V772" s="2503"/>
      <c r="W772" s="2503"/>
      <c r="X772" s="2503"/>
      <c r="Y772" s="2503"/>
      <c r="Z772" s="2503"/>
      <c r="AA772" s="2503"/>
      <c r="AB772" s="2503"/>
      <c r="AC772" s="2503"/>
      <c r="AD772" s="250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2" t="s">
        <v>1697</v>
      </c>
      <c r="F774" s="2542"/>
      <c r="G774" s="2542"/>
      <c r="H774" s="2542"/>
      <c r="I774" s="2542"/>
      <c r="J774" s="2542"/>
      <c r="K774" s="2542"/>
      <c r="L774" s="2542"/>
      <c r="M774" s="2542"/>
      <c r="N774" s="2542"/>
      <c r="O774" s="2542"/>
      <c r="P774" s="2542"/>
      <c r="Q774" s="2542"/>
      <c r="R774" s="2542"/>
      <c r="S774" s="2542"/>
      <c r="T774" s="2542"/>
      <c r="U774" s="2542"/>
      <c r="V774" s="2542"/>
      <c r="W774" s="2542"/>
      <c r="X774" s="2542"/>
      <c r="Y774" s="2542"/>
      <c r="Z774" s="2542"/>
      <c r="AA774" s="2542"/>
      <c r="AB774" s="2542"/>
      <c r="AC774" s="2542"/>
      <c r="AD774" s="2542"/>
      <c r="AE774" s="536"/>
      <c r="AF774" s="2447" t="s">
        <v>1352</v>
      </c>
      <c r="AG774" s="2447"/>
      <c r="AH774" s="2447"/>
      <c r="AI774" s="2447"/>
      <c r="AJ774" s="2447"/>
      <c r="AK774" s="2447"/>
      <c r="AL774" s="2447"/>
      <c r="AM774" s="613"/>
      <c r="AN774" s="597"/>
    </row>
    <row r="775" spans="1:81" s="550" customFormat="1" ht="12.75" customHeight="1">
      <c r="B775" s="616"/>
      <c r="C775" s="940"/>
      <c r="D775" s="663"/>
      <c r="E775" s="2542"/>
      <c r="F775" s="2542"/>
      <c r="G775" s="2542"/>
      <c r="H775" s="2542"/>
      <c r="I775" s="2542"/>
      <c r="J775" s="2542"/>
      <c r="K775" s="2542"/>
      <c r="L775" s="2542"/>
      <c r="M775" s="2542"/>
      <c r="N775" s="2542"/>
      <c r="O775" s="2542"/>
      <c r="P775" s="2542"/>
      <c r="Q775" s="2542"/>
      <c r="R775" s="2542"/>
      <c r="S775" s="2542"/>
      <c r="T775" s="2542"/>
      <c r="U775" s="2542"/>
      <c r="V775" s="2542"/>
      <c r="W775" s="2542"/>
      <c r="X775" s="2542"/>
      <c r="Y775" s="2542"/>
      <c r="Z775" s="2542"/>
      <c r="AA775" s="2542"/>
      <c r="AB775" s="2542"/>
      <c r="AC775" s="2542"/>
      <c r="AD775" s="2542"/>
      <c r="AE775" s="594"/>
      <c r="AF775" s="594"/>
      <c r="AG775" s="594"/>
      <c r="AH775" s="594"/>
      <c r="AI775" s="594"/>
      <c r="AJ775" s="594"/>
      <c r="AK775" s="594"/>
      <c r="AL775" s="594"/>
      <c r="AM775" s="613"/>
      <c r="AN775" s="597"/>
    </row>
    <row r="776" spans="1:81" s="550" customFormat="1" ht="12.75" customHeight="1">
      <c r="B776" s="616"/>
      <c r="C776" s="940"/>
      <c r="D776" s="663"/>
      <c r="E776" s="2542"/>
      <c r="F776" s="2542"/>
      <c r="G776" s="2542"/>
      <c r="H776" s="2542"/>
      <c r="I776" s="2542"/>
      <c r="J776" s="2542"/>
      <c r="K776" s="2542"/>
      <c r="L776" s="2542"/>
      <c r="M776" s="2542"/>
      <c r="N776" s="2542"/>
      <c r="O776" s="2542"/>
      <c r="P776" s="2542"/>
      <c r="Q776" s="2542"/>
      <c r="R776" s="2542"/>
      <c r="S776" s="2542"/>
      <c r="T776" s="2542"/>
      <c r="U776" s="2542"/>
      <c r="V776" s="2542"/>
      <c r="W776" s="2542"/>
      <c r="X776" s="2542"/>
      <c r="Y776" s="2542"/>
      <c r="Z776" s="2542"/>
      <c r="AA776" s="2542"/>
      <c r="AB776" s="2542"/>
      <c r="AC776" s="2542"/>
      <c r="AD776" s="2542"/>
      <c r="AE776" s="594"/>
      <c r="AF776" s="594"/>
      <c r="AG776" s="594"/>
      <c r="AH776" s="594"/>
      <c r="AI776" s="594"/>
      <c r="AJ776" s="594"/>
      <c r="AK776" s="594"/>
      <c r="AL776" s="594"/>
      <c r="AM776" s="613"/>
      <c r="AN776" s="597"/>
    </row>
    <row r="777" spans="1:81" s="550" customFormat="1" ht="12.75" customHeight="1">
      <c r="B777" s="616"/>
      <c r="C777" s="940"/>
      <c r="D777" s="663"/>
      <c r="E777" s="2542"/>
      <c r="F777" s="2542"/>
      <c r="G777" s="2542"/>
      <c r="H777" s="2542"/>
      <c r="I777" s="2542"/>
      <c r="J777" s="2542"/>
      <c r="K777" s="2542"/>
      <c r="L777" s="2542"/>
      <c r="M777" s="2542"/>
      <c r="N777" s="2542"/>
      <c r="O777" s="2542"/>
      <c r="P777" s="2542"/>
      <c r="Q777" s="2542"/>
      <c r="R777" s="2542"/>
      <c r="S777" s="2542"/>
      <c r="T777" s="2542"/>
      <c r="U777" s="2542"/>
      <c r="V777" s="2542"/>
      <c r="W777" s="2542"/>
      <c r="X777" s="2542"/>
      <c r="Y777" s="2542"/>
      <c r="Z777" s="2542"/>
      <c r="AA777" s="2542"/>
      <c r="AB777" s="2542"/>
      <c r="AC777" s="2542"/>
      <c r="AD777" s="254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32" t="s">
        <v>591</v>
      </c>
      <c r="I779" s="253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3">
        <f>VLOOKUP($H$779,$AO$769:$AP$771,2,FALSE)</f>
        <v>0</v>
      </c>
      <c r="AK781" s="248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503" t="s">
        <v>2033</v>
      </c>
      <c r="F785" s="2503"/>
      <c r="G785" s="2503"/>
      <c r="H785" s="2503"/>
      <c r="I785" s="2503"/>
      <c r="J785" s="2503"/>
      <c r="K785" s="2503"/>
      <c r="L785" s="2503"/>
      <c r="M785" s="2503"/>
      <c r="N785" s="2503"/>
      <c r="O785" s="2503"/>
      <c r="P785" s="2503"/>
      <c r="Q785" s="2503"/>
      <c r="R785" s="2503"/>
      <c r="S785" s="2503"/>
      <c r="T785" s="2503"/>
      <c r="U785" s="2503"/>
      <c r="V785" s="2503"/>
      <c r="W785" s="2503"/>
      <c r="X785" s="2503"/>
      <c r="Y785" s="2503"/>
      <c r="Z785" s="2503"/>
      <c r="AA785" s="2503"/>
      <c r="AB785" s="2503"/>
      <c r="AC785" s="2503"/>
      <c r="AD785" s="2503"/>
      <c r="AE785" s="536"/>
      <c r="AF785" s="2447" t="s">
        <v>1352</v>
      </c>
      <c r="AG785" s="2447"/>
      <c r="AH785" s="2447"/>
      <c r="AI785" s="2447"/>
      <c r="AJ785" s="2447"/>
      <c r="AK785" s="2447"/>
      <c r="AL785" s="2447"/>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503"/>
      <c r="F786" s="2503"/>
      <c r="G786" s="2503"/>
      <c r="H786" s="2503"/>
      <c r="I786" s="2503"/>
      <c r="J786" s="2503"/>
      <c r="K786" s="2503"/>
      <c r="L786" s="2503"/>
      <c r="M786" s="2503"/>
      <c r="N786" s="2503"/>
      <c r="O786" s="2503"/>
      <c r="P786" s="2503"/>
      <c r="Q786" s="2503"/>
      <c r="R786" s="2503"/>
      <c r="S786" s="2503"/>
      <c r="T786" s="2503"/>
      <c r="U786" s="2503"/>
      <c r="V786" s="2503"/>
      <c r="W786" s="2503"/>
      <c r="X786" s="2503"/>
      <c r="Y786" s="2503"/>
      <c r="Z786" s="2503"/>
      <c r="AA786" s="2503"/>
      <c r="AB786" s="2503"/>
      <c r="AC786" s="2503"/>
      <c r="AD786" s="250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3"/>
      <c r="F787" s="2503"/>
      <c r="G787" s="2503"/>
      <c r="H787" s="2503"/>
      <c r="I787" s="2503"/>
      <c r="J787" s="2503"/>
      <c r="K787" s="2503"/>
      <c r="L787" s="2503"/>
      <c r="M787" s="2503"/>
      <c r="N787" s="2503"/>
      <c r="O787" s="2503"/>
      <c r="P787" s="2503"/>
      <c r="Q787" s="2503"/>
      <c r="R787" s="2503"/>
      <c r="S787" s="2503"/>
      <c r="T787" s="2503"/>
      <c r="U787" s="2503"/>
      <c r="V787" s="2503"/>
      <c r="W787" s="2503"/>
      <c r="X787" s="2503"/>
      <c r="Y787" s="2503"/>
      <c r="Z787" s="2503"/>
      <c r="AA787" s="2503"/>
      <c r="AB787" s="2503"/>
      <c r="AC787" s="2503"/>
      <c r="AD787" s="250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3"/>
      <c r="F788" s="2503"/>
      <c r="G788" s="2503"/>
      <c r="H788" s="2503"/>
      <c r="I788" s="2503"/>
      <c r="J788" s="2503"/>
      <c r="K788" s="2503"/>
      <c r="L788" s="2503"/>
      <c r="M788" s="2503"/>
      <c r="N788" s="2503"/>
      <c r="O788" s="2503"/>
      <c r="P788" s="2503"/>
      <c r="Q788" s="2503"/>
      <c r="R788" s="2503"/>
      <c r="S788" s="2503"/>
      <c r="T788" s="2503"/>
      <c r="U788" s="2503"/>
      <c r="V788" s="2503"/>
      <c r="W788" s="2503"/>
      <c r="X788" s="2503"/>
      <c r="Y788" s="2503"/>
      <c r="Z788" s="2503"/>
      <c r="AA788" s="2503"/>
      <c r="AB788" s="2503"/>
      <c r="AC788" s="2503"/>
      <c r="AD788" s="250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32" t="s">
        <v>591</v>
      </c>
      <c r="I790" s="253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3">
        <f>VLOOKUP($H$790,$AO$784:$AP$785,2,FALSE)</f>
        <v>0</v>
      </c>
      <c r="AK792" s="248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3">
        <f>IF(($AJ$621+$AJ$640+$AJ$652+$AJ$687+$AJ$711+$AJ$725+$AJ$737+$AJ$753+$AJ$765+$AJ$781+AJ792)&gt;10,10,($AJ$621+$AJ$640+$AJ$652+$AJ$687+$AJ$711+$AJ$725+$AJ$737+$AJ$753+$AJ$765+$AJ$781+AJ792))</f>
        <v>10</v>
      </c>
      <c r="AL794" s="2484"/>
      <c r="AM794" s="248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6" t="s">
        <v>1568</v>
      </c>
      <c r="B797" s="2577"/>
      <c r="C797" s="2577"/>
      <c r="D797" s="2577"/>
      <c r="E797" s="2577"/>
      <c r="F797" s="2577"/>
      <c r="G797" s="2577"/>
      <c r="H797" s="2577"/>
      <c r="I797" s="2577"/>
      <c r="J797" s="2577"/>
      <c r="K797" s="2577"/>
      <c r="L797" s="2577"/>
      <c r="M797" s="2577"/>
      <c r="N797" s="2577"/>
      <c r="O797" s="2577"/>
      <c r="P797" s="2577"/>
      <c r="Q797" s="2577"/>
      <c r="R797" s="2577"/>
      <c r="S797" s="2577"/>
      <c r="T797" s="2577"/>
      <c r="U797" s="2577"/>
      <c r="V797" s="2577"/>
      <c r="W797" s="2577"/>
      <c r="X797" s="2577"/>
      <c r="Y797" s="2577"/>
      <c r="Z797" s="2577"/>
      <c r="AA797" s="2577"/>
      <c r="AB797" s="2577"/>
      <c r="AC797" s="2577"/>
      <c r="AD797" s="2577"/>
      <c r="AE797" s="2577"/>
      <c r="AF797" s="2577"/>
      <c r="AG797" s="2577"/>
      <c r="AH797" s="2577"/>
      <c r="AI797" s="2577"/>
      <c r="AJ797" s="2577"/>
      <c r="AK797" s="2577"/>
      <c r="AL797" s="2577"/>
      <c r="AM797" s="2577"/>
    </row>
    <row r="798" spans="1:81">
      <c r="A798" s="2578"/>
      <c r="B798" s="2578"/>
      <c r="C798" s="2578"/>
      <c r="D798" s="2578"/>
      <c r="E798" s="2578"/>
      <c r="F798" s="2578"/>
      <c r="G798" s="2578"/>
      <c r="H798" s="2578"/>
      <c r="I798" s="2578"/>
      <c r="J798" s="2578"/>
      <c r="K798" s="2578"/>
      <c r="L798" s="2578"/>
      <c r="M798" s="2578"/>
      <c r="N798" s="2578"/>
      <c r="O798" s="2578"/>
      <c r="P798" s="2578"/>
      <c r="Q798" s="2578"/>
      <c r="R798" s="2578"/>
      <c r="S798" s="2578"/>
      <c r="T798" s="2578"/>
      <c r="U798" s="2578"/>
      <c r="V798" s="2578"/>
      <c r="W798" s="2578"/>
      <c r="X798" s="2578"/>
      <c r="Y798" s="2578"/>
      <c r="Z798" s="2578"/>
      <c r="AA798" s="2578"/>
      <c r="AB798" s="2578"/>
      <c r="AC798" s="2578"/>
      <c r="AD798" s="2578"/>
      <c r="AE798" s="2578"/>
      <c r="AF798" s="2578"/>
      <c r="AG798" s="2578"/>
      <c r="AH798" s="2578"/>
      <c r="AI798" s="2578"/>
      <c r="AJ798" s="2578"/>
      <c r="AK798" s="2578"/>
      <c r="AL798" s="2578"/>
      <c r="AM798" s="257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4"/>
      <c r="B800" s="2524"/>
      <c r="C800" s="2524"/>
      <c r="D800" s="2524"/>
      <c r="E800" s="2524"/>
      <c r="F800" s="2524"/>
      <c r="G800" s="2524"/>
      <c r="H800" s="2524"/>
      <c r="I800" s="2524"/>
      <c r="J800" s="2524"/>
      <c r="K800" s="2524"/>
      <c r="L800" s="2524"/>
      <c r="M800" s="2524"/>
      <c r="N800" s="2524"/>
      <c r="O800" s="2524"/>
      <c r="P800" s="2524"/>
      <c r="Q800" s="2524"/>
      <c r="R800" s="2524"/>
      <c r="S800" s="2524"/>
      <c r="T800" s="2524"/>
      <c r="U800" s="2524"/>
      <c r="V800" s="2524"/>
      <c r="W800" s="2524"/>
      <c r="X800" s="2524"/>
      <c r="Y800" s="2524"/>
      <c r="Z800" s="2524"/>
      <c r="AA800" s="2524"/>
      <c r="AB800" s="2524"/>
      <c r="AC800" s="2524"/>
      <c r="AD800" s="2524"/>
      <c r="AE800" s="2524"/>
      <c r="AF800" s="2524"/>
      <c r="AG800" s="2524"/>
      <c r="AH800" s="2524"/>
      <c r="AI800" s="2524"/>
      <c r="AJ800" s="2524"/>
      <c r="AK800" s="2524"/>
      <c r="AL800" s="2524"/>
      <c r="AM800" s="2524"/>
      <c r="AP800" s="816"/>
      <c r="AQ800" s="816"/>
    </row>
    <row r="801" spans="1:81">
      <c r="A801" s="2524"/>
      <c r="B801" s="2524"/>
      <c r="C801" s="2524"/>
      <c r="D801" s="2524"/>
      <c r="E801" s="2524"/>
      <c r="F801" s="2524"/>
      <c r="G801" s="2524"/>
      <c r="H801" s="2524"/>
      <c r="I801" s="2524"/>
      <c r="J801" s="2524"/>
      <c r="K801" s="2524"/>
      <c r="L801" s="2524"/>
      <c r="M801" s="2524"/>
      <c r="N801" s="2524"/>
      <c r="O801" s="2524"/>
      <c r="P801" s="2524"/>
      <c r="Q801" s="2524"/>
      <c r="R801" s="2524"/>
      <c r="S801" s="2524"/>
      <c r="T801" s="2524"/>
      <c r="U801" s="2524"/>
      <c r="V801" s="2524"/>
      <c r="W801" s="2524"/>
      <c r="X801" s="2524"/>
      <c r="Y801" s="2524"/>
      <c r="Z801" s="2524"/>
      <c r="AA801" s="2524"/>
      <c r="AB801" s="2524"/>
      <c r="AC801" s="2524"/>
      <c r="AD801" s="2524"/>
      <c r="AE801" s="2524"/>
      <c r="AF801" s="2524"/>
      <c r="AG801" s="2524"/>
      <c r="AH801" s="2524"/>
      <c r="AI801" s="2524"/>
      <c r="AJ801" s="2524"/>
      <c r="AK801" s="2524"/>
      <c r="AL801" s="2524"/>
      <c r="AM801" s="252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9" t="s">
        <v>1569</v>
      </c>
      <c r="U802" s="2580"/>
      <c r="V802" s="2580"/>
      <c r="W802" s="2580"/>
      <c r="X802" s="2580"/>
      <c r="Y802" s="2581"/>
      <c r="Z802" s="2579" t="s">
        <v>1570</v>
      </c>
      <c r="AA802" s="2580"/>
      <c r="AB802" s="2580"/>
      <c r="AC802" s="2580"/>
      <c r="AD802" s="2580"/>
      <c r="AE802" s="2581"/>
      <c r="AF802" s="2579" t="s">
        <v>1571</v>
      </c>
      <c r="AG802" s="2580"/>
      <c r="AH802" s="2580"/>
      <c r="AI802" s="2580"/>
      <c r="AJ802" s="2580"/>
      <c r="AK802" s="258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2"/>
      <c r="U803" s="2583"/>
      <c r="V803" s="2583"/>
      <c r="W803" s="2583"/>
      <c r="X803" s="2583"/>
      <c r="Y803" s="2584"/>
      <c r="Z803" s="2582"/>
      <c r="AA803" s="2583"/>
      <c r="AB803" s="2583"/>
      <c r="AC803" s="2583"/>
      <c r="AD803" s="2583"/>
      <c r="AE803" s="2584"/>
      <c r="AF803" s="2582"/>
      <c r="AG803" s="2583"/>
      <c r="AH803" s="2583"/>
      <c r="AI803" s="2583"/>
      <c r="AJ803" s="2583"/>
      <c r="AK803" s="2584"/>
      <c r="AL803" s="818"/>
      <c r="AM803" s="596"/>
      <c r="AO803" s="816"/>
      <c r="AP803" s="816"/>
      <c r="AQ803" s="816"/>
    </row>
    <row r="804" spans="1:81">
      <c r="A804" s="819" t="s">
        <v>757</v>
      </c>
      <c r="B804" s="2559" t="s">
        <v>1304</v>
      </c>
      <c r="C804" s="2559"/>
      <c r="D804" s="2559"/>
      <c r="E804" s="2559"/>
      <c r="F804" s="2559"/>
      <c r="G804" s="2559"/>
      <c r="H804" s="2559"/>
      <c r="I804" s="2559"/>
      <c r="J804" s="2559"/>
      <c r="K804" s="2559"/>
      <c r="L804" s="2559"/>
      <c r="M804" s="2559"/>
      <c r="N804" s="2559"/>
      <c r="O804" s="2559"/>
      <c r="P804" s="2559"/>
      <c r="Q804" s="2559"/>
      <c r="R804" s="2559"/>
      <c r="S804" s="2560"/>
      <c r="T804" s="2561">
        <f>AK62</f>
        <v>0</v>
      </c>
      <c r="U804" s="2562"/>
      <c r="V804" s="2562"/>
      <c r="W804" s="2562"/>
      <c r="X804" s="2562"/>
      <c r="Y804" s="2563"/>
      <c r="Z804" s="2564">
        <v>20</v>
      </c>
      <c r="AA804" s="2562"/>
      <c r="AB804" s="2562"/>
      <c r="AC804" s="2562"/>
      <c r="AD804" s="2562"/>
      <c r="AE804" s="2563"/>
      <c r="AF804" s="2545">
        <f>IF(T804&gt;Z804,Z804,T804)</f>
        <v>0</v>
      </c>
      <c r="AG804" s="2545"/>
      <c r="AH804" s="2545"/>
      <c r="AI804" s="2545"/>
      <c r="AJ804" s="2545"/>
      <c r="AK804" s="2545"/>
      <c r="AL804" s="818"/>
      <c r="AM804" s="596"/>
      <c r="AO804" s="816"/>
      <c r="AP804" s="816"/>
      <c r="AQ804" s="816"/>
    </row>
    <row r="805" spans="1:81">
      <c r="A805" s="819" t="s">
        <v>1541</v>
      </c>
      <c r="B805" s="2559" t="s">
        <v>1313</v>
      </c>
      <c r="C805" s="2559"/>
      <c r="D805" s="2559"/>
      <c r="E805" s="2559"/>
      <c r="F805" s="2559"/>
      <c r="G805" s="2559"/>
      <c r="H805" s="2559"/>
      <c r="I805" s="2559"/>
      <c r="J805" s="2559"/>
      <c r="K805" s="2559"/>
      <c r="L805" s="2559"/>
      <c r="M805" s="2559"/>
      <c r="N805" s="2559"/>
      <c r="O805" s="2559"/>
      <c r="P805" s="2559"/>
      <c r="Q805" s="2559"/>
      <c r="R805" s="2559"/>
      <c r="S805" s="2560"/>
      <c r="T805" s="2561">
        <f>AK84</f>
        <v>10</v>
      </c>
      <c r="U805" s="2562"/>
      <c r="V805" s="2562"/>
      <c r="W805" s="2562"/>
      <c r="X805" s="2562"/>
      <c r="Y805" s="2563"/>
      <c r="Z805" s="2564">
        <v>10</v>
      </c>
      <c r="AA805" s="2562"/>
      <c r="AB805" s="2562"/>
      <c r="AC805" s="2562"/>
      <c r="AD805" s="2562"/>
      <c r="AE805" s="2563"/>
      <c r="AF805" s="2545">
        <f>IF(T805&gt;Z805,Z805,T805)</f>
        <v>10</v>
      </c>
      <c r="AG805" s="2545"/>
      <c r="AH805" s="2545"/>
      <c r="AI805" s="2545"/>
      <c r="AJ805" s="2545"/>
      <c r="AK805" s="2545"/>
      <c r="AL805" s="818"/>
      <c r="AM805" s="596"/>
      <c r="AO805" s="816"/>
      <c r="AP805" s="816"/>
      <c r="AQ805" s="816"/>
    </row>
    <row r="806" spans="1:81">
      <c r="A806" s="819" t="s">
        <v>1550</v>
      </c>
      <c r="B806" s="2559" t="s">
        <v>1323</v>
      </c>
      <c r="C806" s="2559"/>
      <c r="D806" s="2559"/>
      <c r="E806" s="2559"/>
      <c r="F806" s="2559"/>
      <c r="G806" s="2559"/>
      <c r="H806" s="2559"/>
      <c r="I806" s="2559"/>
      <c r="J806" s="2559"/>
      <c r="K806" s="2559"/>
      <c r="L806" s="2559"/>
      <c r="M806" s="2559"/>
      <c r="N806" s="2559"/>
      <c r="O806" s="2559"/>
      <c r="P806" s="2559"/>
      <c r="Q806" s="2559"/>
      <c r="R806" s="2559"/>
      <c r="S806" s="2560"/>
      <c r="T806" s="2561">
        <f>AK109</f>
        <v>20</v>
      </c>
      <c r="U806" s="2562"/>
      <c r="V806" s="2562"/>
      <c r="W806" s="2562"/>
      <c r="X806" s="2562"/>
      <c r="Y806" s="2563"/>
      <c r="Z806" s="2564">
        <v>20</v>
      </c>
      <c r="AA806" s="2562"/>
      <c r="AB806" s="2562"/>
      <c r="AC806" s="2562"/>
      <c r="AD806" s="2562"/>
      <c r="AE806" s="2563"/>
      <c r="AF806" s="2545">
        <f>IF(T806&gt;Z806,Z806,T806)</f>
        <v>20</v>
      </c>
      <c r="AG806" s="2545"/>
      <c r="AH806" s="2545"/>
      <c r="AI806" s="2545"/>
      <c r="AJ806" s="2545"/>
      <c r="AK806" s="2545"/>
      <c r="AL806" s="818"/>
      <c r="AM806" s="596"/>
      <c r="AO806" s="816"/>
      <c r="AP806" s="816"/>
      <c r="AQ806" s="816"/>
    </row>
    <row r="807" spans="1:81">
      <c r="A807" s="819" t="s">
        <v>1572</v>
      </c>
      <c r="B807" s="2559" t="s">
        <v>1333</v>
      </c>
      <c r="C807" s="2559"/>
      <c r="D807" s="2559"/>
      <c r="E807" s="2559"/>
      <c r="F807" s="2559"/>
      <c r="G807" s="2559"/>
      <c r="H807" s="2559"/>
      <c r="I807" s="2559"/>
      <c r="J807" s="2559"/>
      <c r="K807" s="2559"/>
      <c r="L807" s="2559"/>
      <c r="M807" s="2559"/>
      <c r="N807" s="2559"/>
      <c r="O807" s="2559"/>
      <c r="P807" s="2559"/>
      <c r="Q807" s="2559"/>
      <c r="R807" s="2559"/>
      <c r="S807" s="2560"/>
      <c r="T807" s="2561">
        <f>AK143</f>
        <v>10</v>
      </c>
      <c r="U807" s="2562"/>
      <c r="V807" s="2562"/>
      <c r="W807" s="2562"/>
      <c r="X807" s="2562"/>
      <c r="Y807" s="2563"/>
      <c r="Z807" s="2564">
        <v>10</v>
      </c>
      <c r="AA807" s="2562"/>
      <c r="AB807" s="2562"/>
      <c r="AC807" s="2562"/>
      <c r="AD807" s="2562"/>
      <c r="AE807" s="2563"/>
      <c r="AF807" s="2545">
        <f>IF(T807&gt;Z807,Z807,T807)</f>
        <v>10</v>
      </c>
      <c r="AG807" s="2545"/>
      <c r="AH807" s="2545"/>
      <c r="AI807" s="2545"/>
      <c r="AJ807" s="2545"/>
      <c r="AK807" s="2545"/>
      <c r="AL807" s="818"/>
      <c r="AM807" s="596"/>
      <c r="AO807" s="816"/>
      <c r="AP807" s="816"/>
      <c r="AQ807" s="816"/>
    </row>
    <row r="808" spans="1:81">
      <c r="A808" s="820" t="s">
        <v>1573</v>
      </c>
      <c r="B808" s="2559" t="s">
        <v>1574</v>
      </c>
      <c r="C808" s="2559"/>
      <c r="D808" s="2559"/>
      <c r="E808" s="2559"/>
      <c r="F808" s="2559"/>
      <c r="G808" s="2559"/>
      <c r="H808" s="2559"/>
      <c r="I808" s="2559"/>
      <c r="J808" s="2559"/>
      <c r="K808" s="2559"/>
      <c r="L808" s="2559"/>
      <c r="M808" s="2559"/>
      <c r="N808" s="2559"/>
      <c r="O808" s="2559"/>
      <c r="P808" s="2559"/>
      <c r="Q808" s="2559"/>
      <c r="R808" s="2559"/>
      <c r="S808" s="2560"/>
      <c r="T808" s="2585">
        <f>SUM(T809:Y810)</f>
        <v>10</v>
      </c>
      <c r="U808" s="2585"/>
      <c r="V808" s="2585"/>
      <c r="W808" s="2585"/>
      <c r="X808" s="2585"/>
      <c r="Y808" s="2585"/>
      <c r="Z808" s="2545">
        <v>10</v>
      </c>
      <c r="AA808" s="2545"/>
      <c r="AB808" s="2545"/>
      <c r="AC808" s="2545"/>
      <c r="AD808" s="2545"/>
      <c r="AE808" s="2545"/>
      <c r="AF808" s="2545">
        <f>IF(T808&gt;Z808,Z808,T808)</f>
        <v>10</v>
      </c>
      <c r="AG808" s="2545"/>
      <c r="AH808" s="2545"/>
      <c r="AI808" s="2545"/>
      <c r="AJ808" s="2545"/>
      <c r="AK808" s="2545"/>
      <c r="AL808" s="818"/>
      <c r="AM808" s="596"/>
    </row>
    <row r="809" spans="1:81">
      <c r="A809" s="535"/>
      <c r="B809" s="601"/>
      <c r="C809" s="2586" t="s">
        <v>1575</v>
      </c>
      <c r="D809" s="2586"/>
      <c r="E809" s="2586"/>
      <c r="F809" s="2586"/>
      <c r="G809" s="2586"/>
      <c r="H809" s="2586"/>
      <c r="I809" s="2586"/>
      <c r="J809" s="2586"/>
      <c r="K809" s="2586"/>
      <c r="L809" s="2586"/>
      <c r="M809" s="2586"/>
      <c r="N809" s="2586"/>
      <c r="O809" s="2586"/>
      <c r="P809" s="2586"/>
      <c r="Q809" s="2586"/>
      <c r="R809" s="2586"/>
      <c r="S809" s="2587"/>
      <c r="T809" s="2478">
        <f>AJ166</f>
        <v>7</v>
      </c>
      <c r="U809" s="2478"/>
      <c r="V809" s="2478"/>
      <c r="W809" s="2478"/>
      <c r="X809" s="2478"/>
      <c r="Y809" s="2478"/>
      <c r="Z809" s="2479">
        <v>7</v>
      </c>
      <c r="AA809" s="2479"/>
      <c r="AB809" s="2479"/>
      <c r="AC809" s="2479"/>
      <c r="AD809" s="2479"/>
      <c r="AE809" s="2479"/>
      <c r="AF809" s="2588"/>
      <c r="AG809" s="2588"/>
      <c r="AH809" s="2588"/>
      <c r="AI809" s="2588"/>
      <c r="AJ809" s="2588"/>
      <c r="AK809" s="2588"/>
      <c r="AL809" s="818"/>
      <c r="AM809" s="596"/>
    </row>
    <row r="810" spans="1:81">
      <c r="A810" s="600"/>
      <c r="B810" s="601"/>
      <c r="C810" s="2586" t="s">
        <v>1576</v>
      </c>
      <c r="D810" s="2586"/>
      <c r="E810" s="2586"/>
      <c r="F810" s="2586"/>
      <c r="G810" s="2586"/>
      <c r="H810" s="2586"/>
      <c r="I810" s="2586"/>
      <c r="J810" s="2586"/>
      <c r="K810" s="2586"/>
      <c r="L810" s="2586"/>
      <c r="M810" s="2586"/>
      <c r="N810" s="2586"/>
      <c r="O810" s="2586"/>
      <c r="P810" s="2586"/>
      <c r="Q810" s="2586"/>
      <c r="R810" s="2586"/>
      <c r="S810" s="2587"/>
      <c r="T810" s="2478">
        <f>AJ180</f>
        <v>3</v>
      </c>
      <c r="U810" s="2478"/>
      <c r="V810" s="2478"/>
      <c r="W810" s="2478"/>
      <c r="X810" s="2478"/>
      <c r="Y810" s="2478"/>
      <c r="Z810" s="2479">
        <v>3</v>
      </c>
      <c r="AA810" s="2479"/>
      <c r="AB810" s="2479"/>
      <c r="AC810" s="2479"/>
      <c r="AD810" s="2479"/>
      <c r="AE810" s="2479"/>
      <c r="AF810" s="2588"/>
      <c r="AG810" s="2588"/>
      <c r="AH810" s="2588"/>
      <c r="AI810" s="2588"/>
      <c r="AJ810" s="2588"/>
      <c r="AK810" s="2588"/>
      <c r="AL810" s="818"/>
      <c r="AM810" s="596"/>
      <c r="AO810" s="550"/>
    </row>
    <row r="811" spans="1:81">
      <c r="A811" s="820" t="s">
        <v>1361</v>
      </c>
      <c r="B811" s="2559" t="s">
        <v>1577</v>
      </c>
      <c r="C811" s="2559"/>
      <c r="D811" s="2559"/>
      <c r="E811" s="2559"/>
      <c r="F811" s="2559"/>
      <c r="G811" s="2559"/>
      <c r="H811" s="2559"/>
      <c r="I811" s="2559"/>
      <c r="J811" s="2559"/>
      <c r="K811" s="2559"/>
      <c r="L811" s="2559"/>
      <c r="M811" s="2559"/>
      <c r="N811" s="2559"/>
      <c r="O811" s="2559"/>
      <c r="P811" s="2559"/>
      <c r="Q811" s="2559"/>
      <c r="R811" s="2559"/>
      <c r="S811" s="2560"/>
      <c r="T811" s="2585">
        <f>AK191</f>
        <v>10</v>
      </c>
      <c r="U811" s="2585"/>
      <c r="V811" s="2585"/>
      <c r="W811" s="2585"/>
      <c r="X811" s="2585"/>
      <c r="Y811" s="2585"/>
      <c r="Z811" s="2545">
        <v>10</v>
      </c>
      <c r="AA811" s="2545"/>
      <c r="AB811" s="2545"/>
      <c r="AC811" s="2545"/>
      <c r="AD811" s="2545"/>
      <c r="AE811" s="2545"/>
      <c r="AF811" s="2545">
        <f>IF(T811&gt;Z811,Z811,T811)</f>
        <v>10</v>
      </c>
      <c r="AG811" s="2545"/>
      <c r="AH811" s="2545"/>
      <c r="AI811" s="2545"/>
      <c r="AJ811" s="2545"/>
      <c r="AK811" s="2545"/>
      <c r="AL811" s="818"/>
      <c r="AM811" s="596"/>
    </row>
    <row r="812" spans="1:81">
      <c r="A812" s="819" t="s">
        <v>1370</v>
      </c>
      <c r="B812" s="2559" t="s">
        <v>1371</v>
      </c>
      <c r="C812" s="2559"/>
      <c r="D812" s="2559"/>
      <c r="E812" s="2559"/>
      <c r="F812" s="2559"/>
      <c r="G812" s="2559"/>
      <c r="H812" s="2559"/>
      <c r="I812" s="2559"/>
      <c r="J812" s="2559"/>
      <c r="K812" s="2559"/>
      <c r="L812" s="2559"/>
      <c r="M812" s="2559"/>
      <c r="N812" s="2559"/>
      <c r="O812" s="2559"/>
      <c r="P812" s="2559"/>
      <c r="Q812" s="2559"/>
      <c r="R812" s="2559"/>
      <c r="S812" s="2560"/>
      <c r="T812" s="2585">
        <f>AK273</f>
        <v>8</v>
      </c>
      <c r="U812" s="2585"/>
      <c r="V812" s="2585"/>
      <c r="W812" s="2585"/>
      <c r="X812" s="2585"/>
      <c r="Y812" s="2585"/>
      <c r="Z812" s="2564">
        <v>8</v>
      </c>
      <c r="AA812" s="2562"/>
      <c r="AB812" s="2562"/>
      <c r="AC812" s="2562"/>
      <c r="AD812" s="2562"/>
      <c r="AE812" s="2563"/>
      <c r="AF812" s="2545">
        <f>IF(T812&gt;Z812,Z812,T812)</f>
        <v>8</v>
      </c>
      <c r="AG812" s="2545"/>
      <c r="AH812" s="2545"/>
      <c r="AI812" s="2545"/>
      <c r="AJ812" s="2545"/>
      <c r="AK812" s="2545"/>
      <c r="AL812" s="818"/>
      <c r="AM812" s="596"/>
    </row>
    <row r="813" spans="1:81" s="534" customFormat="1" hidden="1">
      <c r="A813" s="820" t="s">
        <v>589</v>
      </c>
      <c r="B813" s="2559" t="s">
        <v>1578</v>
      </c>
      <c r="C813" s="2559"/>
      <c r="D813" s="2559"/>
      <c r="E813" s="2559"/>
      <c r="F813" s="2559"/>
      <c r="G813" s="2559"/>
      <c r="H813" s="2559"/>
      <c r="I813" s="2559"/>
      <c r="J813" s="2559"/>
      <c r="K813" s="2559"/>
      <c r="L813" s="2559"/>
      <c r="M813" s="2559"/>
      <c r="N813" s="2559"/>
      <c r="O813" s="2559"/>
      <c r="P813" s="2559"/>
      <c r="Q813" s="2559"/>
      <c r="R813" s="2559"/>
      <c r="S813" s="2560"/>
      <c r="T813" s="2585">
        <f>IF(AK535&gt;5,5,AK535)</f>
        <v>0</v>
      </c>
      <c r="U813" s="2585"/>
      <c r="V813" s="2585"/>
      <c r="W813" s="2585"/>
      <c r="X813" s="2585"/>
      <c r="Y813" s="2585"/>
      <c r="Z813" s="2545">
        <v>5</v>
      </c>
      <c r="AA813" s="2545"/>
      <c r="AB813" s="2545"/>
      <c r="AC813" s="2545"/>
      <c r="AD813" s="2545"/>
      <c r="AE813" s="2545"/>
      <c r="AF813" s="2545">
        <f>IF(T813&gt;Z813,5,T813)</f>
        <v>0</v>
      </c>
      <c r="AG813" s="2545"/>
      <c r="AH813" s="2545"/>
      <c r="AI813" s="2545"/>
      <c r="AJ813" s="2545"/>
      <c r="AK813" s="254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9" t="s">
        <v>1579</v>
      </c>
      <c r="C814" s="2559"/>
      <c r="D814" s="2559"/>
      <c r="E814" s="2559"/>
      <c r="F814" s="2559"/>
      <c r="G814" s="2559"/>
      <c r="H814" s="2559"/>
      <c r="I814" s="2559"/>
      <c r="J814" s="2559"/>
      <c r="K814" s="2559"/>
      <c r="L814" s="2559"/>
      <c r="M814" s="2559"/>
      <c r="N814" s="2559"/>
      <c r="O814" s="2559"/>
      <c r="P814" s="2559"/>
      <c r="Q814" s="2559"/>
      <c r="R814" s="2559"/>
      <c r="S814" s="2560"/>
      <c r="T814" s="2585">
        <f>AK285</f>
        <v>10</v>
      </c>
      <c r="U814" s="2585"/>
      <c r="V814" s="2585"/>
      <c r="W814" s="2585"/>
      <c r="X814" s="2585"/>
      <c r="Y814" s="2585"/>
      <c r="Z814" s="2545">
        <v>10</v>
      </c>
      <c r="AA814" s="2545"/>
      <c r="AB814" s="2545"/>
      <c r="AC814" s="2545"/>
      <c r="AD814" s="2545"/>
      <c r="AE814" s="2545"/>
      <c r="AF814" s="2591">
        <f>IF(T814&gt;Z814,Z814,T814)</f>
        <v>10</v>
      </c>
      <c r="AG814" s="2592"/>
      <c r="AH814" s="2592"/>
      <c r="AI814" s="2592"/>
      <c r="AJ814" s="2592"/>
      <c r="AK814" s="259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9" t="s">
        <v>1381</v>
      </c>
      <c r="C815" s="2559"/>
      <c r="D815" s="2559"/>
      <c r="E815" s="2559"/>
      <c r="F815" s="2559"/>
      <c r="G815" s="2559"/>
      <c r="H815" s="2559"/>
      <c r="I815" s="2559"/>
      <c r="J815" s="2559"/>
      <c r="K815" s="2559"/>
      <c r="L815" s="2559"/>
      <c r="M815" s="2559"/>
      <c r="N815" s="2559"/>
      <c r="O815" s="2559"/>
      <c r="P815" s="2559"/>
      <c r="Q815" s="2559"/>
      <c r="R815" s="2559"/>
      <c r="S815" s="2560"/>
      <c r="T815" s="2585">
        <f>AK338</f>
        <v>9</v>
      </c>
      <c r="U815" s="2585"/>
      <c r="V815" s="2585"/>
      <c r="W815" s="2585"/>
      <c r="X815" s="2585"/>
      <c r="Y815" s="2585"/>
      <c r="Z815" s="2591">
        <v>10</v>
      </c>
      <c r="AA815" s="2592"/>
      <c r="AB815" s="2592"/>
      <c r="AC815" s="2592"/>
      <c r="AD815" s="2592"/>
      <c r="AE815" s="2593"/>
      <c r="AF815" s="2591">
        <f>IF(T815&gt;Z815,Z815,T815)</f>
        <v>9</v>
      </c>
      <c r="AG815" s="2592"/>
      <c r="AH815" s="2592"/>
      <c r="AI815" s="2592"/>
      <c r="AJ815" s="2592"/>
      <c r="AK815" s="259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8">
        <f>AK338</f>
        <v>9</v>
      </c>
      <c r="U816" s="2478"/>
      <c r="V816" s="2478"/>
      <c r="W816" s="2478"/>
      <c r="X816" s="2478"/>
      <c r="Y816" s="2478"/>
      <c r="Z816" s="2483">
        <v>20</v>
      </c>
      <c r="AA816" s="2484"/>
      <c r="AB816" s="2484"/>
      <c r="AC816" s="2484"/>
      <c r="AD816" s="2484"/>
      <c r="AE816" s="2485"/>
      <c r="AF816" s="2588"/>
      <c r="AG816" s="2588"/>
      <c r="AH816" s="2588"/>
      <c r="AI816" s="2588"/>
      <c r="AJ816" s="2588"/>
      <c r="AK816" s="258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9" t="s">
        <v>845</v>
      </c>
      <c r="C817" s="2559"/>
      <c r="D817" s="2559"/>
      <c r="E817" s="2559"/>
      <c r="F817" s="2559"/>
      <c r="G817" s="2559"/>
      <c r="H817" s="2559"/>
      <c r="I817" s="2559"/>
      <c r="J817" s="2559"/>
      <c r="K817" s="2559"/>
      <c r="L817" s="2559"/>
      <c r="M817" s="2559"/>
      <c r="N817" s="2559"/>
      <c r="O817" s="2559"/>
      <c r="P817" s="2559"/>
      <c r="Q817" s="2559"/>
      <c r="R817" s="2559"/>
      <c r="S817" s="2560"/>
      <c r="T817" s="2585">
        <f>AK469</f>
        <v>10</v>
      </c>
      <c r="U817" s="2585"/>
      <c r="V817" s="2585"/>
      <c r="W817" s="2585"/>
      <c r="X817" s="2585"/>
      <c r="Y817" s="2585"/>
      <c r="Z817" s="2591">
        <v>10</v>
      </c>
      <c r="AA817" s="2592"/>
      <c r="AB817" s="2592"/>
      <c r="AC817" s="2592"/>
      <c r="AD817" s="2592"/>
      <c r="AE817" s="2593"/>
      <c r="AF817" s="2545">
        <f>IF(T817&gt;Z817,Z817,T817)</f>
        <v>10</v>
      </c>
      <c r="AG817" s="2545"/>
      <c r="AH817" s="2545"/>
      <c r="AI817" s="2545"/>
      <c r="AJ817" s="2545"/>
      <c r="AK817" s="254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9" t="s">
        <v>1559</v>
      </c>
      <c r="C818" s="2559"/>
      <c r="D818" s="2559"/>
      <c r="E818" s="2559"/>
      <c r="F818" s="2559"/>
      <c r="G818" s="2559"/>
      <c r="H818" s="2559"/>
      <c r="I818" s="2559"/>
      <c r="J818" s="2559"/>
      <c r="K818" s="2559"/>
      <c r="L818" s="2559"/>
      <c r="M818" s="2559"/>
      <c r="N818" s="2559"/>
      <c r="O818" s="2559"/>
      <c r="P818" s="2559"/>
      <c r="Q818" s="2559"/>
      <c r="R818" s="2559"/>
      <c r="S818" s="2560"/>
      <c r="T818" s="2585">
        <f>AK559</f>
        <v>12</v>
      </c>
      <c r="U818" s="2585"/>
      <c r="V818" s="2585"/>
      <c r="W818" s="2585"/>
      <c r="X818" s="2585"/>
      <c r="Y818" s="2585"/>
      <c r="Z818" s="2591">
        <v>12</v>
      </c>
      <c r="AA818" s="2592"/>
      <c r="AB818" s="2592"/>
      <c r="AC818" s="2592"/>
      <c r="AD818" s="2592"/>
      <c r="AE818" s="2593"/>
      <c r="AF818" s="2545">
        <f>IF(T818&gt;Z818,Z818,T818)</f>
        <v>12</v>
      </c>
      <c r="AG818" s="2545"/>
      <c r="AH818" s="2545"/>
      <c r="AI818" s="2545"/>
      <c r="AJ818" s="2545"/>
      <c r="AK818" s="254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9" t="s">
        <v>1581</v>
      </c>
      <c r="C819" s="2559"/>
      <c r="D819" s="2559"/>
      <c r="E819" s="2559"/>
      <c r="F819" s="2559"/>
      <c r="G819" s="2559"/>
      <c r="H819" s="2559"/>
      <c r="I819" s="2559"/>
      <c r="J819" s="2559"/>
      <c r="K819" s="2559"/>
      <c r="L819" s="2559"/>
      <c r="M819" s="2559"/>
      <c r="N819" s="2559"/>
      <c r="O819" s="2559"/>
      <c r="P819" s="2559"/>
      <c r="Q819" s="2559"/>
      <c r="R819" s="2559"/>
      <c r="S819" s="2560"/>
      <c r="T819" s="2585">
        <f>AK794</f>
        <v>10</v>
      </c>
      <c r="U819" s="2585"/>
      <c r="V819" s="2585"/>
      <c r="W819" s="2585"/>
      <c r="X819" s="2585"/>
      <c r="Y819" s="2585"/>
      <c r="Z819" s="2591">
        <v>10</v>
      </c>
      <c r="AA819" s="2592"/>
      <c r="AB819" s="2592"/>
      <c r="AC819" s="2592"/>
      <c r="AD819" s="2592"/>
      <c r="AE819" s="2593"/>
      <c r="AF819" s="2545">
        <f>IF(T819&gt;Z819,Z819,T819)</f>
        <v>10</v>
      </c>
      <c r="AG819" s="2545"/>
      <c r="AH819" s="2545"/>
      <c r="AI819" s="2545"/>
      <c r="AJ819" s="2545"/>
      <c r="AK819" s="254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9" t="s">
        <v>1582</v>
      </c>
      <c r="B820" s="2559"/>
      <c r="C820" s="2559"/>
      <c r="D820" s="2559"/>
      <c r="E820" s="2559"/>
      <c r="F820" s="2559"/>
      <c r="G820" s="2559"/>
      <c r="H820" s="2559"/>
      <c r="I820" s="2559"/>
      <c r="J820" s="2559"/>
      <c r="K820" s="2559"/>
      <c r="L820" s="2559"/>
      <c r="M820" s="2559"/>
      <c r="N820" s="2559"/>
      <c r="O820" s="2559"/>
      <c r="P820" s="2559"/>
      <c r="Q820" s="2559"/>
      <c r="R820" s="2559"/>
      <c r="S820" s="2560"/>
      <c r="T820" s="2590"/>
      <c r="U820" s="2590"/>
      <c r="V820" s="2590"/>
      <c r="W820" s="2590"/>
      <c r="X820" s="2590"/>
      <c r="Y820" s="2590"/>
      <c r="Z820" s="2479" t="s">
        <v>1583</v>
      </c>
      <c r="AA820" s="2479"/>
      <c r="AB820" s="2479"/>
      <c r="AC820" s="2479"/>
      <c r="AD820" s="2479"/>
      <c r="AE820" s="2479"/>
      <c r="AF820" s="2591">
        <f>IF(T820&gt;0,T820,0)</f>
        <v>0</v>
      </c>
      <c r="AG820" s="2592"/>
      <c r="AH820" s="2592"/>
      <c r="AI820" s="2592"/>
      <c r="AJ820" s="2592"/>
      <c r="AK820" s="259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4" t="s">
        <v>1584</v>
      </c>
      <c r="B821" s="2595"/>
      <c r="C821" s="2595"/>
      <c r="D821" s="2595"/>
      <c r="E821" s="2595"/>
      <c r="F821" s="2595"/>
      <c r="G821" s="2595"/>
      <c r="H821" s="2595"/>
      <c r="I821" s="2595"/>
      <c r="J821" s="2595"/>
      <c r="K821" s="2595"/>
      <c r="L821" s="2595"/>
      <c r="M821" s="2595"/>
      <c r="N821" s="2595"/>
      <c r="O821" s="2595"/>
      <c r="P821" s="2595"/>
      <c r="Q821" s="2595"/>
      <c r="R821" s="2595"/>
      <c r="S821" s="2595"/>
      <c r="T821" s="2595"/>
      <c r="U821" s="2595"/>
      <c r="V821" s="2595"/>
      <c r="W821" s="2595"/>
      <c r="X821" s="2595"/>
      <c r="Y821" s="2595"/>
      <c r="Z821" s="2595"/>
      <c r="AA821" s="2595"/>
      <c r="AB821" s="2595"/>
      <c r="AC821" s="2595"/>
      <c r="AD821" s="2595"/>
      <c r="AE821" s="2596"/>
      <c r="AF821" s="2600">
        <f>SUM(AF804:AK819)-AF820</f>
        <v>119</v>
      </c>
      <c r="AG821" s="2601"/>
      <c r="AH821" s="2601"/>
      <c r="AI821" s="2601"/>
      <c r="AJ821" s="2601"/>
      <c r="AK821" s="260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7"/>
      <c r="B822" s="2598"/>
      <c r="C822" s="2598"/>
      <c r="D822" s="2598"/>
      <c r="E822" s="2598"/>
      <c r="F822" s="2598"/>
      <c r="G822" s="2598"/>
      <c r="H822" s="2598"/>
      <c r="I822" s="2598"/>
      <c r="J822" s="2598"/>
      <c r="K822" s="2598"/>
      <c r="L822" s="2598"/>
      <c r="M822" s="2598"/>
      <c r="N822" s="2598"/>
      <c r="O822" s="2598"/>
      <c r="P822" s="2598"/>
      <c r="Q822" s="2598"/>
      <c r="R822" s="2598"/>
      <c r="S822" s="2598"/>
      <c r="T822" s="2598"/>
      <c r="U822" s="2598"/>
      <c r="V822" s="2598"/>
      <c r="W822" s="2598"/>
      <c r="X822" s="2598"/>
      <c r="Y822" s="2598"/>
      <c r="Z822" s="2598"/>
      <c r="AA822" s="2598"/>
      <c r="AB822" s="2598"/>
      <c r="AC822" s="2598"/>
      <c r="AD822" s="2598"/>
      <c r="AE822" s="2599"/>
      <c r="AF822" s="2603"/>
      <c r="AG822" s="2604"/>
      <c r="AH822" s="2604"/>
      <c r="AI822" s="2604"/>
      <c r="AJ822" s="2604"/>
      <c r="AK822" s="260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Joey Shields</cp:lastModifiedBy>
  <cp:lastPrinted>2025-05-15T21:56:54Z</cp:lastPrinted>
  <dcterms:created xsi:type="dcterms:W3CDTF">2007-12-27T18:26:28Z</dcterms:created>
  <dcterms:modified xsi:type="dcterms:W3CDTF">2025-05-20T01:16:10Z</dcterms:modified>
</cp:coreProperties>
</file>